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</externalReferences>
  <definedNames>
    <definedName name="_C111">TH!$Q$10:$Q$2958</definedName>
    <definedName name="_C112">TH!$T$10:$T$2958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BTGT!$A$345:$AB$586</definedName>
    <definedName name="_xlnm._FilterDatabase" localSheetId="3" hidden="1">CTTK!$A$13:$J$15</definedName>
    <definedName name="_xlnm._FilterDatabase" localSheetId="12" hidden="1">NXT!$A$11:$N$486</definedName>
    <definedName name="_xlnm._FilterDatabase" localSheetId="1" hidden="1">TH!$A$9:$AD$2837</definedName>
    <definedName name="_xlnm._FilterDatabase" localSheetId="15" hidden="1">TK!$A$1:$J$1</definedName>
    <definedName name="_M">TH!$B$10:$B$2958</definedName>
    <definedName name="_N111">TH!$P$10:$P$2958</definedName>
    <definedName name="_N112">TH!$S$10:$S$2958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'131'!$B$6:$B$21</definedName>
    <definedName name="DSGT1">BTGT!#REF!</definedName>
    <definedName name="DSGT2">BTGT!$B$7:$B$170</definedName>
    <definedName name="DSGT3">BTGT!$B$185:$B$338</definedName>
    <definedName name="DSGT4">BTGT!$B$346:$B$587</definedName>
    <definedName name="DSKH">'331'!$B$6:$B$15</definedName>
    <definedName name="DSKHusd">'[2]131'!$B$5:$B$15</definedName>
    <definedName name="DSSP1">BTGT!#REF!</definedName>
    <definedName name="DSSP2">BTGT!$B$7:$M$170</definedName>
    <definedName name="DSSP3">BTGT!$B$185:$M$338</definedName>
    <definedName name="DSSP4">BTGT!$B$346:$M$587</definedName>
    <definedName name="DSTK">CDPS!$A$10:$D$50</definedName>
    <definedName name="DSTS1">'SO-TS'!$D$14:$D$17</definedName>
    <definedName name="DSTS2">'SO-TS'!#REF!</definedName>
    <definedName name="KH">TH!$H$10:$H$2958</definedName>
    <definedName name="KHC">TH!$M$10:$M$2958</definedName>
    <definedName name="KHN">TH!$L$10:$L$2958</definedName>
    <definedName name="Loai">OFFSET(TH!$N$5,,,COUNTA(TH!$N$5:$N$41268))</definedName>
    <definedName name="Loai1">OFFSET(TH!$O$5,,,COUNTA(TH!$O$5:$O$41268))</definedName>
    <definedName name="Loai2">OFFSET(TH!$R$5,,,COUNTA(TH!$R$5:$R$41268))</definedName>
    <definedName name="Loai3">OFFSET('SO-TS'!$P$14,,,COUNTA('SO-TS'!$P$14:$P$3889))</definedName>
    <definedName name="Loai4">OFFSET(TH!$U$5,,,COUNTA(TH!$U$5:$U$41268))</definedName>
    <definedName name="Loai5">OFFSET(TH!$V$5,,,COUNTA(TH!$V$5:$V$41268))</definedName>
    <definedName name="Loai6">OFFSET(TH!$Z$5,,,COUNTA(TH!$Z$5:$Z$41268))</definedName>
    <definedName name="Loai7">OFFSET(TH!$W$5,,,COUNTA(TH!$W$5:$W$41268))</definedName>
    <definedName name="Loai8">OFFSET(TH!$X$5,,,COUNTA(TH!$X$5:$X$41268))</definedName>
    <definedName name="Loai9">OFFSET(TH!$Y$5,,,COUNTA(TH!$Y$5:$Y$41268))</definedName>
    <definedName name="MH">TH!$F$10:$F$2958</definedName>
    <definedName name="NXT">NXT!$A$12:$A$808</definedName>
    <definedName name="_xlnm.Print_Area" localSheetId="4">'111'!$A$1:$J$78</definedName>
    <definedName name="_xlnm.Print_Area" localSheetId="6">'112'!$A$1:$I$57</definedName>
    <definedName name="_xlnm.Print_Area" localSheetId="7">'131'!$A$1:$H$27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'331'!$A$1:$H$22</definedName>
    <definedName name="_xlnm.Print_Area" localSheetId="10">'331-CT'!$A$1:$J$109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BTGT!$A$2:$M$171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NXT!$B$1:$L$491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BTGT!$6:$6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TH!$I$10:$I$2958</definedName>
    <definedName name="TH">TH!$K$10:$K$2958</definedName>
    <definedName name="TM">TH!$A$10:$M$2958</definedName>
  </definedNames>
  <calcPr calcId="144525"/>
</workbook>
</file>

<file path=xl/calcChain.xml><?xml version="1.0" encoding="utf-8"?>
<calcChain xmlns="http://schemas.openxmlformats.org/spreadsheetml/2006/main">
  <c r="D51" i="15" l="1"/>
  <c r="E51" i="15"/>
  <c r="F51" i="15"/>
  <c r="G51" i="15"/>
  <c r="H51" i="15"/>
  <c r="C51" i="15"/>
  <c r="D26" i="15"/>
  <c r="C26" i="15"/>
  <c r="Y2429" i="34" l="1"/>
  <c r="X2429" i="34"/>
  <c r="T2429" i="34"/>
  <c r="S2429" i="34"/>
  <c r="R2429" i="34"/>
  <c r="N2429" i="34"/>
  <c r="B2429" i="34"/>
  <c r="Z2429" i="34" s="1"/>
  <c r="Y2413" i="34"/>
  <c r="X2413" i="34"/>
  <c r="T2413" i="34"/>
  <c r="S2413" i="34"/>
  <c r="R2413" i="34"/>
  <c r="N2413" i="34"/>
  <c r="B2413" i="34"/>
  <c r="Z2413" i="34" s="1"/>
  <c r="Y2408" i="34"/>
  <c r="X2408" i="34"/>
  <c r="T2408" i="34"/>
  <c r="S2408" i="34"/>
  <c r="R2408" i="34"/>
  <c r="N2408" i="34"/>
  <c r="B2408" i="34"/>
  <c r="Z2408" i="34" s="1"/>
  <c r="Y2400" i="34"/>
  <c r="X2400" i="34"/>
  <c r="T2400" i="34"/>
  <c r="S2400" i="34"/>
  <c r="R2400" i="34"/>
  <c r="N2400" i="34"/>
  <c r="B2400" i="34"/>
  <c r="Z2400" i="34" s="1"/>
  <c r="Y2392" i="34"/>
  <c r="X2392" i="34"/>
  <c r="T2392" i="34"/>
  <c r="S2392" i="34"/>
  <c r="R2392" i="34"/>
  <c r="N2392" i="34"/>
  <c r="B2392" i="34"/>
  <c r="Z2392" i="34" s="1"/>
  <c r="Y2367" i="34"/>
  <c r="X2367" i="34"/>
  <c r="T2367" i="34"/>
  <c r="S2367" i="34"/>
  <c r="R2367" i="34"/>
  <c r="N2367" i="34"/>
  <c r="B2367" i="34"/>
  <c r="Z2367" i="34" s="1"/>
  <c r="Y2358" i="34"/>
  <c r="X2358" i="34"/>
  <c r="T2358" i="34"/>
  <c r="N2358" i="34"/>
  <c r="B2358" i="34"/>
  <c r="Z2358" i="34" s="1"/>
  <c r="P2408" i="34" l="1"/>
  <c r="A2408" i="34"/>
  <c r="O2429" i="34"/>
  <c r="W2429" i="34"/>
  <c r="A2429" i="34"/>
  <c r="P2429" i="34"/>
  <c r="Q2429" i="34"/>
  <c r="U2429" i="34"/>
  <c r="O2413" i="34"/>
  <c r="W2413" i="34"/>
  <c r="A2413" i="34"/>
  <c r="P2413" i="34"/>
  <c r="Q2413" i="34"/>
  <c r="U2413" i="34"/>
  <c r="O2408" i="34"/>
  <c r="W2408" i="34"/>
  <c r="Q2408" i="34"/>
  <c r="U2408" i="34"/>
  <c r="O2400" i="34"/>
  <c r="W2400" i="34"/>
  <c r="A2400" i="34"/>
  <c r="P2400" i="34"/>
  <c r="Q2400" i="34"/>
  <c r="U2400" i="34"/>
  <c r="O2392" i="34"/>
  <c r="W2392" i="34"/>
  <c r="A2392" i="34"/>
  <c r="P2392" i="34"/>
  <c r="Q2392" i="34"/>
  <c r="U2392" i="34"/>
  <c r="O2367" i="34"/>
  <c r="W2367" i="34"/>
  <c r="A2367" i="34"/>
  <c r="P2367" i="34"/>
  <c r="U2367" i="34"/>
  <c r="Q2367" i="34"/>
  <c r="Q2358" i="34"/>
  <c r="U2358" i="34"/>
  <c r="O2358" i="34"/>
  <c r="S2358" i="34"/>
  <c r="W2358" i="34"/>
  <c r="A2358" i="34"/>
  <c r="P2358" i="34"/>
  <c r="R2358" i="34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41" i="60" l="1"/>
  <c r="A181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X163" i="34"/>
  <c r="Y163" i="34"/>
  <c r="N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R181" i="34"/>
  <c r="S181" i="34"/>
  <c r="T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R202" i="34"/>
  <c r="S202" i="34"/>
  <c r="T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9" i="34"/>
  <c r="X2359" i="34"/>
  <c r="Y2359" i="34"/>
  <c r="N2360" i="34"/>
  <c r="X2360" i="34"/>
  <c r="Y2360" i="34"/>
  <c r="N2361" i="34"/>
  <c r="X2361" i="34"/>
  <c r="Y2361" i="34"/>
  <c r="N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X2456" i="34"/>
  <c r="Y2456" i="34"/>
  <c r="N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K2741" i="34" l="1"/>
  <c r="K2708" i="34"/>
  <c r="K2459" i="34"/>
  <c r="K1968" i="34"/>
  <c r="K2018" i="34"/>
  <c r="K2433" i="34"/>
  <c r="K1950" i="34"/>
  <c r="K1931" i="34"/>
  <c r="K1902" i="34"/>
  <c r="K1861" i="34"/>
  <c r="K1801" i="34"/>
  <c r="K1770" i="34"/>
  <c r="K1741" i="34"/>
  <c r="K1612" i="34"/>
  <c r="K1699" i="34"/>
  <c r="K1483" i="34"/>
  <c r="K1165" i="34"/>
  <c r="K999" i="34"/>
  <c r="K407" i="34"/>
  <c r="K402" i="34"/>
  <c r="K393" i="34"/>
  <c r="K384" i="34"/>
  <c r="K270" i="34"/>
  <c r="K266" i="34"/>
  <c r="B2362" i="34"/>
  <c r="B2360" i="34"/>
  <c r="B1841" i="34"/>
  <c r="B1839" i="34"/>
  <c r="B1730" i="34"/>
  <c r="B1536" i="34"/>
  <c r="B1534" i="34"/>
  <c r="B1336" i="34"/>
  <c r="C994" i="34"/>
  <c r="B994" i="34" s="1"/>
  <c r="R2360" i="34" l="1"/>
  <c r="S2360" i="34"/>
  <c r="W2360" i="34"/>
  <c r="T2360" i="34"/>
  <c r="U2360" i="34"/>
  <c r="A2360" i="34"/>
  <c r="T2362" i="34"/>
  <c r="U2362" i="34"/>
  <c r="R2362" i="34"/>
  <c r="S2362" i="34"/>
  <c r="W2362" i="34"/>
  <c r="A2362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7" i="34"/>
  <c r="R2837" i="34"/>
  <c r="S2837" i="34"/>
  <c r="T2837" i="34"/>
  <c r="X2837" i="34"/>
  <c r="Y2837" i="34"/>
  <c r="B2709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21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9" i="34"/>
  <c r="U2709" i="34"/>
  <c r="A2709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W999" i="34" l="1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C105" i="34"/>
  <c r="B105" i="34" s="1"/>
  <c r="K104" i="34"/>
  <c r="C104" i="34"/>
  <c r="B104" i="34" s="1"/>
  <c r="W104" i="34" l="1"/>
  <c r="U104" i="34"/>
  <c r="A104" i="34"/>
  <c r="U105" i="34"/>
  <c r="W105" i="34"/>
  <c r="A105" i="34"/>
  <c r="C2617" i="34"/>
  <c r="C2625" i="34"/>
  <c r="C2626" i="34"/>
  <c r="C2627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B1538" i="34" l="1"/>
  <c r="C2676" i="34"/>
  <c r="C2677" i="34"/>
  <c r="B2677" i="34" s="1"/>
  <c r="W1538" i="34" l="1"/>
  <c r="U1538" i="34"/>
  <c r="A1538" i="34"/>
  <c r="W2677" i="34"/>
  <c r="U2677" i="34"/>
  <c r="A2677" i="34"/>
  <c r="B2676" i="34"/>
  <c r="C2675" i="34"/>
  <c r="B2675" i="34" s="1"/>
  <c r="C46" i="34"/>
  <c r="B46" i="34" s="1"/>
  <c r="U2675" i="34" l="1"/>
  <c r="W2675" i="34"/>
  <c r="A2675" i="34"/>
  <c r="W2676" i="34"/>
  <c r="U2676" i="34"/>
  <c r="A2676" i="34"/>
  <c r="U46" i="34"/>
  <c r="W46" i="34"/>
  <c r="A46" i="34"/>
  <c r="K1733" i="34"/>
  <c r="K1965" i="34"/>
  <c r="K1749" i="34"/>
  <c r="K1734" i="34"/>
  <c r="K2461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25" i="34"/>
  <c r="K2626" i="34"/>
  <c r="K2627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502" i="34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C2766" i="34"/>
  <c r="B2766" i="34" s="1"/>
  <c r="C2767" i="34"/>
  <c r="B2767" i="34" s="1"/>
  <c r="C2768" i="34"/>
  <c r="B2768" i="34" s="1"/>
  <c r="C2769" i="34"/>
  <c r="B2769" i="34" s="1"/>
  <c r="C2770" i="34"/>
  <c r="B2770" i="34" s="1"/>
  <c r="C2771" i="34"/>
  <c r="B2771" i="34" s="1"/>
  <c r="C2772" i="34"/>
  <c r="B2772" i="34" s="1"/>
  <c r="C2773" i="34"/>
  <c r="C2774" i="34"/>
  <c r="B2774" i="34" s="1"/>
  <c r="C2775" i="34"/>
  <c r="B2775" i="34" s="1"/>
  <c r="C2776" i="34"/>
  <c r="B2776" i="34" s="1"/>
  <c r="C2777" i="34"/>
  <c r="B2777" i="34" s="1"/>
  <c r="K2460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622" i="34"/>
  <c r="K2623" i="34"/>
  <c r="K2624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501" i="34"/>
  <c r="U537" i="60"/>
  <c r="C537" i="60" s="1"/>
  <c r="S557" i="60"/>
  <c r="S507" i="60"/>
  <c r="S576" i="60"/>
  <c r="S571" i="60"/>
  <c r="S578" i="60"/>
  <c r="S510" i="60"/>
  <c r="U510" i="60" s="1"/>
  <c r="C510" i="60" s="1"/>
  <c r="S519" i="60"/>
  <c r="U519" i="60" s="1"/>
  <c r="C519" i="60" s="1"/>
  <c r="S504" i="60"/>
  <c r="U504" i="60" s="1"/>
  <c r="C504" i="60" s="1"/>
  <c r="S541" i="60"/>
  <c r="U541" i="60" s="1"/>
  <c r="C541" i="60" s="1"/>
  <c r="S567" i="60"/>
  <c r="S555" i="60"/>
  <c r="S538" i="60"/>
  <c r="U538" i="60" s="1"/>
  <c r="C538" i="60" s="1"/>
  <c r="S574" i="60"/>
  <c r="S573" i="60"/>
  <c r="S570" i="60"/>
  <c r="S518" i="60"/>
  <c r="U518" i="60" s="1"/>
  <c r="C518" i="60" s="1"/>
  <c r="S515" i="60"/>
  <c r="U515" i="60" s="1"/>
  <c r="C515" i="60" s="1"/>
  <c r="S512" i="60"/>
  <c r="U512" i="60" s="1"/>
  <c r="C512" i="60" s="1"/>
  <c r="S503" i="60"/>
  <c r="U503" i="60" s="1"/>
  <c r="C503" i="60" s="1"/>
  <c r="S575" i="60"/>
  <c r="S564" i="60"/>
  <c r="S520" i="60"/>
  <c r="U520" i="60" s="1"/>
  <c r="C520" i="60" s="1"/>
  <c r="S514" i="60"/>
  <c r="U514" i="60" s="1"/>
  <c r="C514" i="60" s="1"/>
  <c r="S553" i="60"/>
  <c r="U553" i="60" s="1"/>
  <c r="C553" i="60" s="1"/>
  <c r="S561" i="60"/>
  <c r="U561" i="60" s="1"/>
  <c r="C561" i="60" s="1"/>
  <c r="S572" i="60"/>
  <c r="S566" i="60"/>
  <c r="S583" i="60"/>
  <c r="S580" i="60"/>
  <c r="S498" i="60"/>
  <c r="U498" i="60" s="1"/>
  <c r="C498" i="60" s="1"/>
  <c r="S506" i="60"/>
  <c r="U506" i="60" s="1"/>
  <c r="C506" i="60" s="1"/>
  <c r="S509" i="60"/>
  <c r="U509" i="60" s="1"/>
  <c r="C509" i="60" s="1"/>
  <c r="S513" i="60"/>
  <c r="S516" i="60"/>
  <c r="U516" i="60" s="1"/>
  <c r="C516" i="60" s="1"/>
  <c r="S517" i="60"/>
  <c r="U517" i="60" s="1"/>
  <c r="C517" i="60" s="1"/>
  <c r="S521" i="60"/>
  <c r="U521" i="60" s="1"/>
  <c r="C521" i="60" s="1"/>
  <c r="S522" i="60"/>
  <c r="U522" i="60" s="1"/>
  <c r="C522" i="60" s="1"/>
  <c r="S534" i="60"/>
  <c r="U534" i="60" s="1"/>
  <c r="C534" i="60" s="1"/>
  <c r="S535" i="60"/>
  <c r="U535" i="60" s="1"/>
  <c r="C535" i="60" s="1"/>
  <c r="S536" i="60"/>
  <c r="U536" i="60" s="1"/>
  <c r="C536" i="60" s="1"/>
  <c r="S543" i="60"/>
  <c r="U543" i="60" s="1"/>
  <c r="C543" i="60" s="1"/>
  <c r="S550" i="60"/>
  <c r="U550" i="60" s="1"/>
  <c r="C550" i="60" s="1"/>
  <c r="S551" i="60"/>
  <c r="U551" i="60" s="1"/>
  <c r="C551" i="60" s="1"/>
  <c r="S552" i="60"/>
  <c r="S554" i="60"/>
  <c r="U554" i="60" s="1"/>
  <c r="C554" i="60" s="1"/>
  <c r="S560" i="60"/>
  <c r="U560" i="60" s="1"/>
  <c r="C560" i="60" s="1"/>
  <c r="S562" i="60"/>
  <c r="U562" i="60" s="1"/>
  <c r="C562" i="60" s="1"/>
  <c r="S563" i="60"/>
  <c r="S565" i="60"/>
  <c r="S577" i="60"/>
  <c r="S579" i="60"/>
  <c r="S581" i="60"/>
  <c r="S582" i="60"/>
  <c r="S584" i="60"/>
  <c r="S585" i="60"/>
  <c r="S586" i="60"/>
  <c r="U513" i="60"/>
  <c r="C513" i="60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65" i="34"/>
  <c r="B2465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C2473" i="34"/>
  <c r="B2473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C2480" i="34"/>
  <c r="C2481" i="34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2487" i="34"/>
  <c r="B2487" i="34" s="1"/>
  <c r="C2488" i="34"/>
  <c r="B2488" i="34" s="1"/>
  <c r="C2489" i="34"/>
  <c r="B2489" i="34" s="1"/>
  <c r="C2490" i="34"/>
  <c r="B2490" i="34" s="1"/>
  <c r="C2491" i="34"/>
  <c r="B2491" i="34" s="1"/>
  <c r="C2497" i="34"/>
  <c r="B2497" i="34" s="1"/>
  <c r="C2498" i="34"/>
  <c r="B2498" i="34" s="1"/>
  <c r="C2499" i="34"/>
  <c r="B2499" i="34" s="1"/>
  <c r="C2500" i="34"/>
  <c r="B2500" i="34" s="1"/>
  <c r="C2538" i="34"/>
  <c r="B2538" i="34" s="1"/>
  <c r="C2539" i="34"/>
  <c r="B2539" i="34" s="1"/>
  <c r="C2540" i="34"/>
  <c r="B2540" i="34" s="1"/>
  <c r="C2541" i="34"/>
  <c r="B2541" i="34" s="1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641" i="34"/>
  <c r="C2642" i="34"/>
  <c r="B2642" i="34" s="1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501" i="34"/>
  <c r="B2501" i="34" s="1"/>
  <c r="C2460" i="34"/>
  <c r="B2460" i="34" s="1"/>
  <c r="C2550" i="34"/>
  <c r="B2550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K2450" i="34"/>
  <c r="K2451" i="34"/>
  <c r="K2452" i="34"/>
  <c r="K2453" i="34"/>
  <c r="K2454" i="34"/>
  <c r="K2455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7" i="34"/>
  <c r="K2498" i="34"/>
  <c r="K2499" i="34"/>
  <c r="K2500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641" i="34"/>
  <c r="K2642" i="34"/>
  <c r="K2643" i="34"/>
  <c r="K2644" i="34"/>
  <c r="K2645" i="34"/>
  <c r="K2646" i="34"/>
  <c r="K2647" i="34"/>
  <c r="K2648" i="34"/>
  <c r="K2649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448" i="34"/>
  <c r="K2449" i="34"/>
  <c r="U552" i="60"/>
  <c r="C552" i="60" s="1"/>
  <c r="Z531" i="60"/>
  <c r="U531" i="60"/>
  <c r="C531" i="60" s="1"/>
  <c r="Z530" i="60"/>
  <c r="U530" i="60"/>
  <c r="C530" i="60" s="1"/>
  <c r="Z529" i="60"/>
  <c r="U529" i="60"/>
  <c r="C529" i="60" s="1"/>
  <c r="Z528" i="60"/>
  <c r="U528" i="60"/>
  <c r="C528" i="60" s="1"/>
  <c r="Z527" i="60"/>
  <c r="U527" i="60"/>
  <c r="C527" i="60" s="1"/>
  <c r="Z526" i="60"/>
  <c r="U526" i="60"/>
  <c r="C526" i="60" s="1"/>
  <c r="Z525" i="60"/>
  <c r="U525" i="60"/>
  <c r="C525" i="60" s="1"/>
  <c r="Z524" i="60"/>
  <c r="U524" i="60"/>
  <c r="C524" i="60" s="1"/>
  <c r="Z523" i="60"/>
  <c r="U523" i="60"/>
  <c r="C523" i="60" s="1"/>
  <c r="Z522" i="60"/>
  <c r="Z521" i="60"/>
  <c r="Z520" i="60"/>
  <c r="Z519" i="60"/>
  <c r="Z518" i="60"/>
  <c r="Z517" i="60"/>
  <c r="Z516" i="60"/>
  <c r="Z515" i="60"/>
  <c r="Z514" i="60"/>
  <c r="Z513" i="60"/>
  <c r="Z512" i="60"/>
  <c r="Z511" i="60"/>
  <c r="U511" i="60"/>
  <c r="C511" i="60" s="1"/>
  <c r="Z510" i="60"/>
  <c r="Z509" i="60"/>
  <c r="Z508" i="60"/>
  <c r="U508" i="60"/>
  <c r="C508" i="60" s="1"/>
  <c r="Z507" i="60"/>
  <c r="U507" i="60"/>
  <c r="C507" i="60" s="1"/>
  <c r="Z506" i="60"/>
  <c r="Z505" i="60"/>
  <c r="U505" i="60"/>
  <c r="C505" i="60" s="1"/>
  <c r="Z504" i="60"/>
  <c r="Z503" i="60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1" i="34"/>
  <c r="B2620" i="34"/>
  <c r="B2619" i="34"/>
  <c r="B261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459" i="34"/>
  <c r="B2458" i="34"/>
  <c r="B2496" i="34"/>
  <c r="B2495" i="34"/>
  <c r="B2831" i="34"/>
  <c r="B2830" i="34"/>
  <c r="B2829" i="34"/>
  <c r="B2674" i="34"/>
  <c r="B2494" i="34"/>
  <c r="B2493" i="34"/>
  <c r="B2492" i="34"/>
  <c r="B2464" i="34"/>
  <c r="B2463" i="34"/>
  <c r="B2462" i="34"/>
  <c r="B2457" i="34"/>
  <c r="B2456" i="34"/>
  <c r="B2481" i="34"/>
  <c r="B2480" i="34"/>
  <c r="B2479" i="34"/>
  <c r="B2472" i="34"/>
  <c r="C2450" i="34"/>
  <c r="B2450" i="34" s="1"/>
  <c r="C2448" i="34"/>
  <c r="B2448" i="34" s="1"/>
  <c r="C2449" i="34"/>
  <c r="B2449" i="34" s="1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8" i="34"/>
  <c r="B2707" i="34"/>
  <c r="B2693" i="34"/>
  <c r="B2641" i="34"/>
  <c r="B2765" i="34"/>
  <c r="C2754" i="34"/>
  <c r="B2754" i="34" s="1"/>
  <c r="C2753" i="34"/>
  <c r="B2753" i="34" s="1"/>
  <c r="C2752" i="34"/>
  <c r="B2752" i="34" s="1"/>
  <c r="C2751" i="34"/>
  <c r="B2751" i="34" s="1"/>
  <c r="C2750" i="34"/>
  <c r="B2750" i="34" s="1"/>
  <c r="C2661" i="34"/>
  <c r="B2661" i="34" s="1"/>
  <c r="C2660" i="34"/>
  <c r="B2660" i="34" s="1"/>
  <c r="C2659" i="34"/>
  <c r="B2659" i="34" s="1"/>
  <c r="C2658" i="34"/>
  <c r="B2658" i="34" s="1"/>
  <c r="C2657" i="34"/>
  <c r="B2657" i="34" s="1"/>
  <c r="C2656" i="34"/>
  <c r="B2656" i="34" s="1"/>
  <c r="C2655" i="34"/>
  <c r="B2655" i="34" s="1"/>
  <c r="C2654" i="34"/>
  <c r="B2654" i="34" s="1"/>
  <c r="C2653" i="34"/>
  <c r="B2653" i="34" s="1"/>
  <c r="C2652" i="34"/>
  <c r="B2652" i="34" s="1"/>
  <c r="C2651" i="34"/>
  <c r="B2651" i="34" s="1"/>
  <c r="C2650" i="34"/>
  <c r="B2650" i="34" s="1"/>
  <c r="C2624" i="34"/>
  <c r="B2624" i="34" s="1"/>
  <c r="C2623" i="34"/>
  <c r="B2623" i="34" s="1"/>
  <c r="C2622" i="34"/>
  <c r="B2622" i="34" s="1"/>
  <c r="C2583" i="34"/>
  <c r="B2583" i="34" s="1"/>
  <c r="C2582" i="34"/>
  <c r="B2582" i="34" s="1"/>
  <c r="C2581" i="34"/>
  <c r="B2581" i="34" s="1"/>
  <c r="C2580" i="34"/>
  <c r="B2580" i="34" s="1"/>
  <c r="C2579" i="34"/>
  <c r="B2579" i="34" s="1"/>
  <c r="C2578" i="34"/>
  <c r="B2578" i="34" s="1"/>
  <c r="C2577" i="34"/>
  <c r="B2577" i="34" s="1"/>
  <c r="C2576" i="34"/>
  <c r="B2576" i="34" s="1"/>
  <c r="C2575" i="34"/>
  <c r="B2575" i="34" s="1"/>
  <c r="C2574" i="34"/>
  <c r="B2574" i="34" s="1"/>
  <c r="C2573" i="34"/>
  <c r="B2573" i="34" s="1"/>
  <c r="C2572" i="34"/>
  <c r="B2572" i="34" s="1"/>
  <c r="C2571" i="34"/>
  <c r="B2571" i="34" s="1"/>
  <c r="C2570" i="34"/>
  <c r="B2570" i="34" s="1"/>
  <c r="C2569" i="34"/>
  <c r="B2569" i="34" s="1"/>
  <c r="C2568" i="34"/>
  <c r="B2568" i="34" s="1"/>
  <c r="C2567" i="34"/>
  <c r="B2567" i="34" s="1"/>
  <c r="C2566" i="34"/>
  <c r="B2566" i="34" s="1"/>
  <c r="C2565" i="34"/>
  <c r="B2565" i="34" s="1"/>
  <c r="C2564" i="34"/>
  <c r="B2564" i="34" s="1"/>
  <c r="C2563" i="34"/>
  <c r="B2563" i="34" s="1"/>
  <c r="C2562" i="34"/>
  <c r="B2562" i="34" s="1"/>
  <c r="C2561" i="34"/>
  <c r="B2561" i="34" s="1"/>
  <c r="C2560" i="34"/>
  <c r="B2560" i="34" s="1"/>
  <c r="C2559" i="34"/>
  <c r="B2559" i="34" s="1"/>
  <c r="B2788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27" i="34"/>
  <c r="B2626" i="34"/>
  <c r="B2625" i="34"/>
  <c r="B2617" i="34"/>
  <c r="C2616" i="34"/>
  <c r="B2616" i="34" s="1"/>
  <c r="C2615" i="34"/>
  <c r="B2615" i="34" s="1"/>
  <c r="C2614" i="34"/>
  <c r="B2614" i="34" s="1"/>
  <c r="C2613" i="34"/>
  <c r="B2613" i="34" s="1"/>
  <c r="C2612" i="34"/>
  <c r="B2612" i="34" s="1"/>
  <c r="C2611" i="34"/>
  <c r="B2611" i="34" s="1"/>
  <c r="C2610" i="34"/>
  <c r="B2610" i="34" s="1"/>
  <c r="C2609" i="34"/>
  <c r="B2609" i="34" s="1"/>
  <c r="C2608" i="34"/>
  <c r="B2608" i="34" s="1"/>
  <c r="C2607" i="34"/>
  <c r="B2607" i="34" s="1"/>
  <c r="C2606" i="34"/>
  <c r="B2606" i="34" s="1"/>
  <c r="C2605" i="34"/>
  <c r="B2605" i="34" s="1"/>
  <c r="C2604" i="34"/>
  <c r="B2604" i="34" s="1"/>
  <c r="C2603" i="34"/>
  <c r="B2603" i="34" s="1"/>
  <c r="C2602" i="34"/>
  <c r="B2602" i="34" s="1"/>
  <c r="C2601" i="34"/>
  <c r="B2601" i="34" s="1"/>
  <c r="C2600" i="34"/>
  <c r="B2600" i="34" s="1"/>
  <c r="C2599" i="34"/>
  <c r="B2599" i="34" s="1"/>
  <c r="C2598" i="34"/>
  <c r="B2598" i="34" s="1"/>
  <c r="C2597" i="34"/>
  <c r="B2597" i="34" s="1"/>
  <c r="C2596" i="34"/>
  <c r="B2596" i="34" s="1"/>
  <c r="C2595" i="34"/>
  <c r="B2595" i="34" s="1"/>
  <c r="C2594" i="34"/>
  <c r="B2594" i="34" s="1"/>
  <c r="C2593" i="34"/>
  <c r="B2593" i="34" s="1"/>
  <c r="C2592" i="34"/>
  <c r="B2592" i="34" s="1"/>
  <c r="C2591" i="34"/>
  <c r="B2591" i="34" s="1"/>
  <c r="C2590" i="34"/>
  <c r="B2590" i="34" s="1"/>
  <c r="C2589" i="34"/>
  <c r="B2589" i="34" s="1"/>
  <c r="C2588" i="34"/>
  <c r="B2588" i="34" s="1"/>
  <c r="C2587" i="34"/>
  <c r="B2587" i="34" s="1"/>
  <c r="C2586" i="34"/>
  <c r="B2586" i="34" s="1"/>
  <c r="C2585" i="34"/>
  <c r="B2585" i="34" s="1"/>
  <c r="C2584" i="34"/>
  <c r="B2584" i="34" s="1"/>
  <c r="C2461" i="34"/>
  <c r="B2461" i="34" s="1"/>
  <c r="C2502" i="34"/>
  <c r="B2502" i="34" s="1"/>
  <c r="C2787" i="34"/>
  <c r="B2787" i="34" s="1"/>
  <c r="C2786" i="34"/>
  <c r="B2786" i="34" s="1"/>
  <c r="C2785" i="34"/>
  <c r="B2785" i="34" s="1"/>
  <c r="C2784" i="34"/>
  <c r="B2784" i="34" s="1"/>
  <c r="C2783" i="34"/>
  <c r="B2783" i="34" s="1"/>
  <c r="C2782" i="34"/>
  <c r="B2782" i="34" s="1"/>
  <c r="C2781" i="34"/>
  <c r="B2781" i="34" s="1"/>
  <c r="C2780" i="34"/>
  <c r="B2780" i="34" s="1"/>
  <c r="C2779" i="34"/>
  <c r="B2779" i="34" s="1"/>
  <c r="C2778" i="34"/>
  <c r="B2778" i="34" s="1"/>
  <c r="B2773" i="34"/>
  <c r="C1733" i="34"/>
  <c r="C1965" i="34"/>
  <c r="C1749" i="34"/>
  <c r="C1734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1979" i="34"/>
  <c r="K2383" i="34"/>
  <c r="K2384" i="34"/>
  <c r="K2385" i="34"/>
  <c r="K2386" i="34"/>
  <c r="K2387" i="34"/>
  <c r="K2388" i="34"/>
  <c r="K2389" i="34"/>
  <c r="K2442" i="34"/>
  <c r="K2443" i="34"/>
  <c r="K2444" i="34"/>
  <c r="K2445" i="34"/>
  <c r="K2446" i="34"/>
  <c r="K2035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1978" i="34"/>
  <c r="K2376" i="34"/>
  <c r="K2377" i="34"/>
  <c r="K2378" i="34"/>
  <c r="K2379" i="34"/>
  <c r="K2380" i="34"/>
  <c r="K2381" i="34"/>
  <c r="K2382" i="34"/>
  <c r="K2437" i="34"/>
  <c r="K2438" i="34"/>
  <c r="K2439" i="34"/>
  <c r="K2440" i="34"/>
  <c r="K2441" i="34"/>
  <c r="K2019" i="34"/>
  <c r="C2020" i="34"/>
  <c r="B2020" i="34" s="1"/>
  <c r="C2021" i="34"/>
  <c r="B2021" i="34" s="1"/>
  <c r="C2022" i="34"/>
  <c r="B2022" i="34" s="1"/>
  <c r="C2023" i="34"/>
  <c r="B2023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1978" i="34"/>
  <c r="B1978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2035" i="34"/>
  <c r="B203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C2050" i="34"/>
  <c r="B2050" i="34" s="1"/>
  <c r="C2097" i="34"/>
  <c r="B2097" i="34" s="1"/>
  <c r="C2098" i="34"/>
  <c r="B2098" i="34" s="1"/>
  <c r="C2099" i="34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210" i="34"/>
  <c r="B2210" i="34" s="1"/>
  <c r="C2211" i="34"/>
  <c r="B2211" i="34" s="1"/>
  <c r="C2212" i="34"/>
  <c r="B2212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1979" i="34"/>
  <c r="C2383" i="34"/>
  <c r="C2384" i="34"/>
  <c r="C2385" i="34"/>
  <c r="C2386" i="34"/>
  <c r="C2387" i="34"/>
  <c r="C2388" i="34"/>
  <c r="C2389" i="34"/>
  <c r="C2442" i="34"/>
  <c r="C2443" i="34"/>
  <c r="C2444" i="34"/>
  <c r="C2445" i="34"/>
  <c r="C2446" i="34"/>
  <c r="C2019" i="34"/>
  <c r="B2019" i="34" s="1"/>
  <c r="B2198" i="34"/>
  <c r="B2099" i="34"/>
  <c r="T326" i="60"/>
  <c r="T324" i="60"/>
  <c r="T318" i="60"/>
  <c r="T317" i="60"/>
  <c r="T316" i="60"/>
  <c r="T313" i="60"/>
  <c r="T303" i="60"/>
  <c r="T296" i="60"/>
  <c r="T288" i="60"/>
  <c r="T272" i="60"/>
  <c r="T271" i="60"/>
  <c r="T267" i="60"/>
  <c r="T253" i="60"/>
  <c r="T241" i="60"/>
  <c r="T238" i="60"/>
  <c r="T237" i="60"/>
  <c r="T235" i="60"/>
  <c r="T206" i="60"/>
  <c r="T204" i="60"/>
  <c r="T203" i="60"/>
  <c r="T192" i="60"/>
  <c r="T189" i="60"/>
  <c r="T188" i="60"/>
  <c r="K650" i="34"/>
  <c r="S466" i="60"/>
  <c r="U466" i="60" s="1"/>
  <c r="C466" i="60" s="1"/>
  <c r="S465" i="60"/>
  <c r="U465" i="60" s="1"/>
  <c r="C465" i="60" s="1"/>
  <c r="U468" i="60"/>
  <c r="C468" i="60" s="1"/>
  <c r="S485" i="60"/>
  <c r="U485" i="60" s="1"/>
  <c r="C485" i="60" s="1"/>
  <c r="S441" i="60"/>
  <c r="U441" i="60" s="1"/>
  <c r="C441" i="60" s="1"/>
  <c r="S440" i="60"/>
  <c r="U440" i="60" s="1"/>
  <c r="C440" i="60" s="1"/>
  <c r="S438" i="60"/>
  <c r="U438" i="60" s="1"/>
  <c r="C438" i="60" s="1"/>
  <c r="S453" i="60"/>
  <c r="U453" i="60" s="1"/>
  <c r="C453" i="60" s="1"/>
  <c r="U426" i="60"/>
  <c r="C426" i="60" s="1"/>
  <c r="S451" i="60"/>
  <c r="U451" i="60" s="1"/>
  <c r="C451" i="60" s="1"/>
  <c r="S445" i="60"/>
  <c r="U445" i="60" s="1"/>
  <c r="C445" i="60" s="1"/>
  <c r="S428" i="60"/>
  <c r="U428" i="60" s="1"/>
  <c r="C428" i="60" s="1"/>
  <c r="S394" i="60"/>
  <c r="S437" i="60"/>
  <c r="U437" i="60" s="1"/>
  <c r="C437" i="60" s="1"/>
  <c r="S436" i="60"/>
  <c r="U436" i="60" s="1"/>
  <c r="C436" i="60" s="1"/>
  <c r="S402" i="60"/>
  <c r="U402" i="60" s="1"/>
  <c r="C402" i="60" s="1"/>
  <c r="S462" i="60"/>
  <c r="U462" i="60" s="1"/>
  <c r="C462" i="60" s="1"/>
  <c r="S461" i="60"/>
  <c r="U461" i="60" s="1"/>
  <c r="C461" i="60" s="1"/>
  <c r="S457" i="60"/>
  <c r="U457" i="60" s="1"/>
  <c r="C457" i="60" s="1"/>
  <c r="S431" i="60"/>
  <c r="U431" i="60" s="1"/>
  <c r="C431" i="60" s="1"/>
  <c r="S414" i="60"/>
  <c r="U414" i="60" s="1"/>
  <c r="C414" i="60" s="1"/>
  <c r="S413" i="60"/>
  <c r="U413" i="60" s="1"/>
  <c r="C413" i="60" s="1"/>
  <c r="S397" i="60"/>
  <c r="S395" i="60"/>
  <c r="S434" i="60"/>
  <c r="U434" i="60" s="1"/>
  <c r="C434" i="60" s="1"/>
  <c r="S420" i="60"/>
  <c r="U420" i="60" s="1"/>
  <c r="C420" i="60" s="1"/>
  <c r="S404" i="60"/>
  <c r="U404" i="60" s="1"/>
  <c r="C404" i="60" s="1"/>
  <c r="S481" i="60"/>
  <c r="S450" i="60"/>
  <c r="U450" i="60" s="1"/>
  <c r="C450" i="60" s="1"/>
  <c r="S433" i="60"/>
  <c r="U433" i="60" s="1"/>
  <c r="C433" i="60" s="1"/>
  <c r="S416" i="60"/>
  <c r="U416" i="60" s="1"/>
  <c r="C416" i="60" s="1"/>
  <c r="S398" i="60"/>
  <c r="S460" i="60"/>
  <c r="U460" i="60" s="1"/>
  <c r="C460" i="60" s="1"/>
  <c r="S407" i="60"/>
  <c r="U407" i="60" s="1"/>
  <c r="C407" i="60" s="1"/>
  <c r="S484" i="60"/>
  <c r="U484" i="60" s="1"/>
  <c r="C484" i="60" s="1"/>
  <c r="S415" i="60"/>
  <c r="U415" i="60" s="1"/>
  <c r="C415" i="60" s="1"/>
  <c r="S430" i="60"/>
  <c r="U430" i="60" s="1"/>
  <c r="C430" i="60" s="1"/>
  <c r="S446" i="60"/>
  <c r="U446" i="60" s="1"/>
  <c r="C446" i="60" s="1"/>
  <c r="S396" i="60"/>
  <c r="S483" i="60"/>
  <c r="U483" i="60" s="1"/>
  <c r="C483" i="60" s="1"/>
  <c r="S479" i="60"/>
  <c r="S448" i="60"/>
  <c r="U448" i="60" s="1"/>
  <c r="C448" i="60" s="1"/>
  <c r="S406" i="60"/>
  <c r="U406" i="60" s="1"/>
  <c r="C406" i="60" s="1"/>
  <c r="S482" i="60"/>
  <c r="U482" i="60" s="1"/>
  <c r="C482" i="60" s="1"/>
  <c r="S477" i="60"/>
  <c r="S447" i="60"/>
  <c r="U447" i="60" s="1"/>
  <c r="C447" i="60" s="1"/>
  <c r="S443" i="60"/>
  <c r="U443" i="60" s="1"/>
  <c r="C443" i="60" s="1"/>
  <c r="S422" i="60"/>
  <c r="U422" i="60" s="1"/>
  <c r="C422" i="60" s="1"/>
  <c r="S409" i="60"/>
  <c r="U409" i="60" s="1"/>
  <c r="C409" i="60" s="1"/>
  <c r="U405" i="60"/>
  <c r="C405" i="60" s="1"/>
  <c r="U423" i="60"/>
  <c r="C423" i="60" s="1"/>
  <c r="S421" i="60"/>
  <c r="U421" i="60" s="1"/>
  <c r="C421" i="60" s="1"/>
  <c r="S399" i="60"/>
  <c r="U399" i="60" s="1"/>
  <c r="C399" i="60" s="1"/>
  <c r="S458" i="60"/>
  <c r="U458" i="60" s="1"/>
  <c r="C458" i="60" s="1"/>
  <c r="S412" i="60"/>
  <c r="U412" i="60" s="1"/>
  <c r="C412" i="60" s="1"/>
  <c r="S456" i="60"/>
  <c r="U456" i="60" s="1"/>
  <c r="C456" i="60" s="1"/>
  <c r="S429" i="60"/>
  <c r="U429" i="60" s="1"/>
  <c r="C429" i="60" s="1"/>
  <c r="S496" i="60"/>
  <c r="U496" i="60" s="1"/>
  <c r="C496" i="60" s="1"/>
  <c r="S489" i="60"/>
  <c r="U489" i="60" s="1"/>
  <c r="C489" i="60" s="1"/>
  <c r="U425" i="60"/>
  <c r="C425" i="60" s="1"/>
  <c r="S491" i="60"/>
  <c r="U491" i="60" s="1"/>
  <c r="C491" i="60" s="1"/>
  <c r="S490" i="60"/>
  <c r="U490" i="60" s="1"/>
  <c r="C490" i="60" s="1"/>
  <c r="K1973" i="34"/>
  <c r="K1974" i="34"/>
  <c r="K1975" i="34"/>
  <c r="K1976" i="34"/>
  <c r="K1977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51" i="34"/>
  <c r="K2052" i="34"/>
  <c r="K2053" i="34"/>
  <c r="K2054" i="34"/>
  <c r="K2055" i="34"/>
  <c r="K2056" i="34"/>
  <c r="K2057" i="34"/>
  <c r="K2058" i="34"/>
  <c r="K2059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74" i="34"/>
  <c r="K2175" i="34"/>
  <c r="K2176" i="34"/>
  <c r="K2177" i="34"/>
  <c r="K2178" i="34"/>
  <c r="K2179" i="34"/>
  <c r="K2180" i="34"/>
  <c r="K2181" i="34"/>
  <c r="K2182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1970" i="34"/>
  <c r="K2349" i="34"/>
  <c r="K2350" i="34"/>
  <c r="K2351" i="34"/>
  <c r="K2352" i="34"/>
  <c r="K2353" i="34"/>
  <c r="K2354" i="34"/>
  <c r="K2355" i="34"/>
  <c r="K2401" i="34"/>
  <c r="K2402" i="34"/>
  <c r="K2403" i="34"/>
  <c r="K2404" i="34"/>
  <c r="K2405" i="34"/>
  <c r="K1972" i="34"/>
  <c r="K1971" i="34"/>
  <c r="C1972" i="34"/>
  <c r="C1973" i="34"/>
  <c r="C1974" i="34"/>
  <c r="C1975" i="34"/>
  <c r="C1976" i="34"/>
  <c r="C1977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51" i="34"/>
  <c r="C2052" i="34"/>
  <c r="C2053" i="34"/>
  <c r="C2054" i="34"/>
  <c r="C2055" i="34"/>
  <c r="C2056" i="34"/>
  <c r="C2057" i="34"/>
  <c r="C2058" i="34"/>
  <c r="C2059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74" i="34"/>
  <c r="C2175" i="34"/>
  <c r="C2176" i="34"/>
  <c r="C2177" i="34"/>
  <c r="C2178" i="34"/>
  <c r="C2179" i="34"/>
  <c r="C2180" i="34"/>
  <c r="C2181" i="34"/>
  <c r="C2182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1970" i="34"/>
  <c r="C2349" i="34"/>
  <c r="C2350" i="34"/>
  <c r="C2351" i="34"/>
  <c r="C2352" i="34"/>
  <c r="C2353" i="34"/>
  <c r="C2354" i="34"/>
  <c r="C2355" i="34"/>
  <c r="C2401" i="34"/>
  <c r="C2402" i="34"/>
  <c r="C2403" i="34"/>
  <c r="C2404" i="34"/>
  <c r="C2405" i="34"/>
  <c r="C1971" i="34"/>
  <c r="S488" i="60"/>
  <c r="U488" i="60" s="1"/>
  <c r="C488" i="60" s="1"/>
  <c r="S419" i="60"/>
  <c r="U419" i="60" s="1"/>
  <c r="C419" i="60" s="1"/>
  <c r="S417" i="60"/>
  <c r="U417" i="60" s="1"/>
  <c r="C417" i="60" s="1"/>
  <c r="S411" i="60"/>
  <c r="U411" i="60" s="1"/>
  <c r="C411" i="60" s="1"/>
  <c r="S400" i="60"/>
  <c r="U452" i="60"/>
  <c r="C452" i="60" s="1"/>
  <c r="U487" i="60"/>
  <c r="C487" i="60" s="1"/>
  <c r="S455" i="60"/>
  <c r="U455" i="60" s="1"/>
  <c r="C455" i="60" s="1"/>
  <c r="Z434" i="60"/>
  <c r="Z433" i="60"/>
  <c r="Z432" i="60"/>
  <c r="U432" i="60"/>
  <c r="C432" i="60" s="1"/>
  <c r="Z431" i="60"/>
  <c r="Z430" i="60"/>
  <c r="Z429" i="60"/>
  <c r="Z428" i="60"/>
  <c r="Z427" i="60"/>
  <c r="U427" i="60"/>
  <c r="C427" i="60" s="1"/>
  <c r="Z426" i="60"/>
  <c r="Z425" i="60"/>
  <c r="Z424" i="60"/>
  <c r="U424" i="60"/>
  <c r="C424" i="60" s="1"/>
  <c r="Z423" i="60"/>
  <c r="Z422" i="60"/>
  <c r="Z421" i="60"/>
  <c r="Z420" i="60"/>
  <c r="Z419" i="60"/>
  <c r="Z418" i="60"/>
  <c r="U418" i="60"/>
  <c r="C418" i="60" s="1"/>
  <c r="Z417" i="60"/>
  <c r="Z416" i="60"/>
  <c r="Z415" i="60"/>
  <c r="Z414" i="60"/>
  <c r="Z413" i="60"/>
  <c r="Z412" i="60"/>
  <c r="Z411" i="60"/>
  <c r="Z410" i="60"/>
  <c r="U410" i="60"/>
  <c r="C410" i="60" s="1"/>
  <c r="Z409" i="60"/>
  <c r="Z408" i="60"/>
  <c r="U408" i="60"/>
  <c r="C408" i="60" s="1"/>
  <c r="Z407" i="60"/>
  <c r="Z406" i="60"/>
  <c r="Z405" i="60"/>
  <c r="Z404" i="60"/>
  <c r="Z403" i="60"/>
  <c r="U403" i="60"/>
  <c r="C403" i="60" s="1"/>
  <c r="Z402" i="60"/>
  <c r="Z401" i="60"/>
  <c r="U401" i="60"/>
  <c r="C401" i="60" s="1"/>
  <c r="Z468" i="60"/>
  <c r="Z467" i="60"/>
  <c r="U467" i="60"/>
  <c r="C467" i="60" s="1"/>
  <c r="Z466" i="60"/>
  <c r="Z465" i="60"/>
  <c r="Z464" i="60"/>
  <c r="U464" i="60"/>
  <c r="C464" i="60" s="1"/>
  <c r="Z463" i="60"/>
  <c r="U463" i="60"/>
  <c r="C463" i="60" s="1"/>
  <c r="Z462" i="60"/>
  <c r="Z461" i="60"/>
  <c r="Z460" i="60"/>
  <c r="Z459" i="60"/>
  <c r="U459" i="60"/>
  <c r="C459" i="60" s="1"/>
  <c r="Z458" i="60"/>
  <c r="Z457" i="60"/>
  <c r="Z456" i="60"/>
  <c r="Z455" i="60"/>
  <c r="Z454" i="60"/>
  <c r="U454" i="60"/>
  <c r="C454" i="60" s="1"/>
  <c r="Z453" i="60"/>
  <c r="Z452" i="60"/>
  <c r="Z451" i="60"/>
  <c r="Z450" i="60"/>
  <c r="Z449" i="60"/>
  <c r="U449" i="60"/>
  <c r="C449" i="60" s="1"/>
  <c r="Z448" i="60"/>
  <c r="Z447" i="60"/>
  <c r="Z446" i="60"/>
  <c r="Z445" i="60"/>
  <c r="Z444" i="60"/>
  <c r="U444" i="60"/>
  <c r="C444" i="60" s="1"/>
  <c r="Z443" i="60"/>
  <c r="Z442" i="60"/>
  <c r="U442" i="60"/>
  <c r="C442" i="60" s="1"/>
  <c r="Z441" i="60"/>
  <c r="Z440" i="60"/>
  <c r="Z439" i="60"/>
  <c r="U439" i="60"/>
  <c r="C439" i="60" s="1"/>
  <c r="Z438" i="60"/>
  <c r="Z437" i="60"/>
  <c r="Z436" i="60"/>
  <c r="Z435" i="60"/>
  <c r="U435" i="60"/>
  <c r="C435" i="60" s="1"/>
  <c r="Z536" i="60"/>
  <c r="Z535" i="60"/>
  <c r="Z534" i="60"/>
  <c r="Z533" i="60"/>
  <c r="U533" i="60"/>
  <c r="C533" i="60" s="1"/>
  <c r="Z532" i="60"/>
  <c r="U532" i="60"/>
  <c r="C532" i="60" s="1"/>
  <c r="Z502" i="60"/>
  <c r="U502" i="60"/>
  <c r="C502" i="60" s="1"/>
  <c r="Z501" i="60"/>
  <c r="U501" i="60"/>
  <c r="C501" i="60" s="1"/>
  <c r="Z500" i="60"/>
  <c r="U500" i="60"/>
  <c r="C500" i="60" s="1"/>
  <c r="Z499" i="60"/>
  <c r="U499" i="60"/>
  <c r="C499" i="60" s="1"/>
  <c r="Z498" i="60"/>
  <c r="Z497" i="60"/>
  <c r="U497" i="60"/>
  <c r="C497" i="60" s="1"/>
  <c r="Z496" i="60"/>
  <c r="Z495" i="60"/>
  <c r="U495" i="60"/>
  <c r="C495" i="60" s="1"/>
  <c r="Z494" i="60"/>
  <c r="U494" i="60"/>
  <c r="C494" i="60" s="1"/>
  <c r="Z493" i="60"/>
  <c r="U493" i="60"/>
  <c r="C493" i="60" s="1"/>
  <c r="Z492" i="60"/>
  <c r="U492" i="60"/>
  <c r="C492" i="60" s="1"/>
  <c r="Z491" i="60"/>
  <c r="Z490" i="60"/>
  <c r="Z489" i="60"/>
  <c r="Z488" i="60"/>
  <c r="Z487" i="60"/>
  <c r="Z486" i="60"/>
  <c r="U486" i="60"/>
  <c r="C486" i="60" s="1"/>
  <c r="Z485" i="60"/>
  <c r="Z484" i="60"/>
  <c r="Z483" i="60"/>
  <c r="Z482" i="60"/>
  <c r="Z562" i="60"/>
  <c r="Z561" i="60"/>
  <c r="Z560" i="60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Z552" i="60"/>
  <c r="Z551" i="60"/>
  <c r="Z550" i="60"/>
  <c r="Z549" i="60"/>
  <c r="U549" i="60"/>
  <c r="C549" i="60" s="1"/>
  <c r="Z548" i="60"/>
  <c r="U548" i="60"/>
  <c r="C548" i="60" s="1"/>
  <c r="Z547" i="60"/>
  <c r="U547" i="60"/>
  <c r="C547" i="60" s="1"/>
  <c r="Z546" i="60"/>
  <c r="U546" i="60"/>
  <c r="C546" i="60" s="1"/>
  <c r="Z545" i="60"/>
  <c r="U545" i="60"/>
  <c r="C545" i="60" s="1"/>
  <c r="Z544" i="60"/>
  <c r="U544" i="60"/>
  <c r="C544" i="60" s="1"/>
  <c r="Z543" i="60"/>
  <c r="Z542" i="60"/>
  <c r="U542" i="60"/>
  <c r="C542" i="60" s="1"/>
  <c r="Z541" i="60"/>
  <c r="Z540" i="60"/>
  <c r="U540" i="60"/>
  <c r="C540" i="60" s="1"/>
  <c r="Z539" i="60"/>
  <c r="U539" i="60"/>
  <c r="C539" i="60" s="1"/>
  <c r="Z538" i="60"/>
  <c r="Z537" i="60"/>
  <c r="C1743" i="34"/>
  <c r="C1780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913" i="34"/>
  <c r="C1914" i="34"/>
  <c r="C1915" i="34"/>
  <c r="C1916" i="34"/>
  <c r="C1917" i="34"/>
  <c r="C1918" i="34"/>
  <c r="C1919" i="34"/>
  <c r="C1920" i="34"/>
  <c r="C1921" i="34"/>
  <c r="C1922" i="34"/>
  <c r="C1940" i="34"/>
  <c r="C1941" i="34"/>
  <c r="C1942" i="34"/>
  <c r="C1943" i="34"/>
  <c r="C1944" i="34"/>
  <c r="C1945" i="34"/>
  <c r="C1946" i="34"/>
  <c r="C1947" i="34"/>
  <c r="C1953" i="34"/>
  <c r="C1954" i="34"/>
  <c r="K1780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913" i="34"/>
  <c r="K1914" i="34"/>
  <c r="K1915" i="34"/>
  <c r="K1916" i="34"/>
  <c r="K1917" i="34"/>
  <c r="K1918" i="34"/>
  <c r="K1919" i="34"/>
  <c r="K1920" i="34"/>
  <c r="K1921" i="34"/>
  <c r="K1922" i="34"/>
  <c r="K1940" i="34"/>
  <c r="K1941" i="34"/>
  <c r="K1942" i="34"/>
  <c r="K1943" i="34"/>
  <c r="K1944" i="34"/>
  <c r="K1945" i="34"/>
  <c r="K1946" i="34"/>
  <c r="K1947" i="34"/>
  <c r="K1953" i="34"/>
  <c r="K1954" i="34"/>
  <c r="K1743" i="34"/>
  <c r="C1872" i="34"/>
  <c r="C1873" i="34"/>
  <c r="C1874" i="34"/>
  <c r="C1875" i="34"/>
  <c r="C1876" i="34"/>
  <c r="C1877" i="34"/>
  <c r="C1903" i="34"/>
  <c r="C1904" i="34"/>
  <c r="C1905" i="34"/>
  <c r="C1906" i="34"/>
  <c r="C1907" i="34"/>
  <c r="C1908" i="34"/>
  <c r="C1909" i="34"/>
  <c r="C1910" i="34"/>
  <c r="C1911" i="34"/>
  <c r="C1912" i="34"/>
  <c r="C1932" i="34"/>
  <c r="C1933" i="34"/>
  <c r="C1934" i="34"/>
  <c r="C1935" i="34"/>
  <c r="C1936" i="34"/>
  <c r="C1937" i="34"/>
  <c r="C1938" i="34"/>
  <c r="C1939" i="34"/>
  <c r="C1951" i="34"/>
  <c r="C1952" i="34"/>
  <c r="K1873" i="34"/>
  <c r="K1874" i="34"/>
  <c r="K1875" i="34"/>
  <c r="K1876" i="34"/>
  <c r="K1877" i="34"/>
  <c r="K1903" i="34"/>
  <c r="K1904" i="34"/>
  <c r="K1905" i="34"/>
  <c r="K1906" i="34"/>
  <c r="K1907" i="34"/>
  <c r="K1908" i="34"/>
  <c r="K1909" i="34"/>
  <c r="K1910" i="34"/>
  <c r="K1911" i="34"/>
  <c r="K1912" i="34"/>
  <c r="K1932" i="34"/>
  <c r="K1933" i="34"/>
  <c r="K1934" i="34"/>
  <c r="K1935" i="34"/>
  <c r="K1936" i="34"/>
  <c r="K1937" i="34"/>
  <c r="K1938" i="34"/>
  <c r="K1939" i="34"/>
  <c r="K1951" i="34"/>
  <c r="K1952" i="34"/>
  <c r="S377" i="60"/>
  <c r="S363" i="60"/>
  <c r="S374" i="60"/>
  <c r="S360" i="60"/>
  <c r="K1779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64" i="34"/>
  <c r="K1865" i="34"/>
  <c r="K1866" i="34"/>
  <c r="K1867" i="34"/>
  <c r="K1868" i="34"/>
  <c r="K1869" i="34"/>
  <c r="K1870" i="34"/>
  <c r="K1871" i="34"/>
  <c r="K1872" i="34"/>
  <c r="K1742" i="34"/>
  <c r="K1736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71" i="34"/>
  <c r="K1772" i="34"/>
  <c r="K1773" i="34"/>
  <c r="K1774" i="34"/>
  <c r="K1775" i="34"/>
  <c r="K1776" i="34"/>
  <c r="K1777" i="34"/>
  <c r="K1778" i="34"/>
  <c r="K1802" i="34"/>
  <c r="K1803" i="34"/>
  <c r="K1804" i="34"/>
  <c r="K1805" i="34"/>
  <c r="K1806" i="34"/>
  <c r="K1807" i="34"/>
  <c r="K1808" i="34"/>
  <c r="K1809" i="34"/>
  <c r="K1810" i="34"/>
  <c r="K1811" i="34"/>
  <c r="K1781" i="34"/>
  <c r="K1782" i="34"/>
  <c r="K1783" i="34"/>
  <c r="K1784" i="34"/>
  <c r="K1785" i="34"/>
  <c r="K1786" i="34"/>
  <c r="K1787" i="34"/>
  <c r="K1788" i="34"/>
  <c r="K1862" i="34"/>
  <c r="K1863" i="34"/>
  <c r="K1735" i="34"/>
  <c r="C1736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71" i="34"/>
  <c r="C1772" i="34"/>
  <c r="C1773" i="34"/>
  <c r="C1774" i="34"/>
  <c r="C1775" i="34"/>
  <c r="C1776" i="34"/>
  <c r="C1777" i="34"/>
  <c r="C1778" i="34"/>
  <c r="C1802" i="34"/>
  <c r="C1803" i="34"/>
  <c r="C1804" i="34"/>
  <c r="C1805" i="34"/>
  <c r="C1806" i="34"/>
  <c r="C1807" i="34"/>
  <c r="C1808" i="34"/>
  <c r="C1809" i="34"/>
  <c r="C1810" i="34"/>
  <c r="C1811" i="34"/>
  <c r="C1781" i="34"/>
  <c r="C1782" i="34"/>
  <c r="C1783" i="34"/>
  <c r="C1784" i="34"/>
  <c r="C1785" i="34"/>
  <c r="C1786" i="34"/>
  <c r="C1787" i="34"/>
  <c r="C1788" i="34"/>
  <c r="C1862" i="34"/>
  <c r="C1863" i="34"/>
  <c r="C1742" i="34"/>
  <c r="C1779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64" i="34"/>
  <c r="C1865" i="34"/>
  <c r="C1866" i="34"/>
  <c r="C1867" i="34"/>
  <c r="C1868" i="34"/>
  <c r="C1869" i="34"/>
  <c r="C1870" i="34"/>
  <c r="C1871" i="34"/>
  <c r="C1735" i="34"/>
  <c r="A347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41" i="34"/>
  <c r="U2441" i="34"/>
  <c r="A2441" i="34"/>
  <c r="W2437" i="34"/>
  <c r="U2437" i="34"/>
  <c r="A2437" i="34"/>
  <c r="U2379" i="34"/>
  <c r="W2379" i="34"/>
  <c r="A2379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8" i="34"/>
  <c r="W2778" i="34"/>
  <c r="A2778" i="34"/>
  <c r="U2782" i="34"/>
  <c r="W2782" i="34"/>
  <c r="A2782" i="34"/>
  <c r="U2786" i="34"/>
  <c r="W2786" i="34"/>
  <c r="A2786" i="34"/>
  <c r="W2584" i="34"/>
  <c r="U2584" i="34"/>
  <c r="A2584" i="34"/>
  <c r="W2588" i="34"/>
  <c r="U2588" i="34"/>
  <c r="A2588" i="34"/>
  <c r="W2592" i="34"/>
  <c r="U2592" i="34"/>
  <c r="A2592" i="34"/>
  <c r="W2596" i="34"/>
  <c r="U2596" i="34"/>
  <c r="A2596" i="34"/>
  <c r="W2600" i="34"/>
  <c r="U2600" i="34"/>
  <c r="A2600" i="34"/>
  <c r="W2604" i="34"/>
  <c r="U2604" i="34"/>
  <c r="A2604" i="34"/>
  <c r="W2608" i="34"/>
  <c r="U2608" i="34"/>
  <c r="A2608" i="34"/>
  <c r="W2612" i="34"/>
  <c r="U2612" i="34"/>
  <c r="A2612" i="34"/>
  <c r="W2616" i="34"/>
  <c r="U2616" i="34"/>
  <c r="A2616" i="34"/>
  <c r="U2627" i="34"/>
  <c r="W2627" i="34"/>
  <c r="A2627" i="34"/>
  <c r="W2665" i="34"/>
  <c r="U2665" i="34"/>
  <c r="A2665" i="34"/>
  <c r="W2669" i="34"/>
  <c r="U2669" i="34"/>
  <c r="A2669" i="34"/>
  <c r="W2673" i="34"/>
  <c r="U2673" i="34"/>
  <c r="A2673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W2577" i="34"/>
  <c r="U2577" i="34"/>
  <c r="A2577" i="34"/>
  <c r="W2581" i="34"/>
  <c r="U2581" i="34"/>
  <c r="A2581" i="34"/>
  <c r="U2623" i="34"/>
  <c r="W2623" i="34"/>
  <c r="A2623" i="34"/>
  <c r="W2652" i="34"/>
  <c r="U2652" i="34"/>
  <c r="A2652" i="34"/>
  <c r="W2656" i="34"/>
  <c r="U2656" i="34"/>
  <c r="A2656" i="34"/>
  <c r="W2660" i="34"/>
  <c r="U2660" i="34"/>
  <c r="A2660" i="34"/>
  <c r="W2752" i="34"/>
  <c r="U2752" i="34"/>
  <c r="A2752" i="34"/>
  <c r="W2641" i="34"/>
  <c r="U2641" i="34"/>
  <c r="A2641" i="34"/>
  <c r="U2710" i="34"/>
  <c r="W2710" i="34"/>
  <c r="A2710" i="34"/>
  <c r="U2714" i="34"/>
  <c r="W2714" i="34"/>
  <c r="A2714" i="34"/>
  <c r="U2718" i="34"/>
  <c r="W2718" i="34"/>
  <c r="A2718" i="34"/>
  <c r="U2722" i="34"/>
  <c r="W2722" i="34"/>
  <c r="A2722" i="34"/>
  <c r="U2726" i="34"/>
  <c r="W2726" i="34"/>
  <c r="A2726" i="34"/>
  <c r="U2730" i="34"/>
  <c r="W2730" i="34"/>
  <c r="A2730" i="34"/>
  <c r="U2734" i="34"/>
  <c r="W2734" i="34"/>
  <c r="A2734" i="34"/>
  <c r="U2738" i="34"/>
  <c r="W2738" i="34"/>
  <c r="A2738" i="34"/>
  <c r="U2742" i="34"/>
  <c r="W2742" i="34"/>
  <c r="A2742" i="34"/>
  <c r="U2746" i="34"/>
  <c r="W2746" i="34"/>
  <c r="A2746" i="34"/>
  <c r="W2449" i="34"/>
  <c r="U2449" i="34"/>
  <c r="A2449" i="34"/>
  <c r="U2479" i="34"/>
  <c r="W2479" i="34"/>
  <c r="A2479" i="34"/>
  <c r="R2457" i="34"/>
  <c r="S2457" i="34"/>
  <c r="W2457" i="34"/>
  <c r="T2457" i="34"/>
  <c r="U2457" i="34"/>
  <c r="A2457" i="34"/>
  <c r="S2492" i="34"/>
  <c r="W2492" i="34"/>
  <c r="T2492" i="34"/>
  <c r="U2492" i="34"/>
  <c r="R2492" i="34"/>
  <c r="A2492" i="34"/>
  <c r="W2829" i="34"/>
  <c r="U2829" i="34"/>
  <c r="A2829" i="34"/>
  <c r="W2496" i="34"/>
  <c r="U2496" i="34"/>
  <c r="A2496" i="34"/>
  <c r="W2504" i="34"/>
  <c r="U2504" i="34"/>
  <c r="A2504" i="34"/>
  <c r="W2508" i="34"/>
  <c r="U2508" i="34"/>
  <c r="A2508" i="34"/>
  <c r="W2512" i="34"/>
  <c r="U2512" i="34"/>
  <c r="A2512" i="34"/>
  <c r="W2516" i="34"/>
  <c r="U2516" i="34"/>
  <c r="A2516" i="34"/>
  <c r="W2520" i="34"/>
  <c r="U2520" i="34"/>
  <c r="A2520" i="34"/>
  <c r="W2524" i="34"/>
  <c r="U2524" i="34"/>
  <c r="A2524" i="34"/>
  <c r="W2528" i="34"/>
  <c r="U2528" i="34"/>
  <c r="A2528" i="34"/>
  <c r="W2532" i="34"/>
  <c r="U2532" i="34"/>
  <c r="A2532" i="34"/>
  <c r="W2536" i="34"/>
  <c r="U2536" i="34"/>
  <c r="A2536" i="34"/>
  <c r="W2620" i="34"/>
  <c r="U2620" i="34"/>
  <c r="A2620" i="34"/>
  <c r="U2630" i="34"/>
  <c r="W2630" i="34"/>
  <c r="A2630" i="34"/>
  <c r="U2634" i="34"/>
  <c r="W2634" i="34"/>
  <c r="A2634" i="34"/>
  <c r="U2638" i="34"/>
  <c r="W2638" i="34"/>
  <c r="A2638" i="34"/>
  <c r="W2557" i="34"/>
  <c r="U2557" i="34"/>
  <c r="A2557" i="34"/>
  <c r="W2553" i="34"/>
  <c r="U2553" i="34"/>
  <c r="A2553" i="34"/>
  <c r="W2460" i="34"/>
  <c r="U2460" i="34"/>
  <c r="A2460" i="34"/>
  <c r="W2704" i="34"/>
  <c r="U2704" i="34"/>
  <c r="A2704" i="34"/>
  <c r="W2700" i="34"/>
  <c r="U2700" i="34"/>
  <c r="A2700" i="34"/>
  <c r="W2696" i="34"/>
  <c r="U2696" i="34"/>
  <c r="A2696" i="34"/>
  <c r="W2692" i="34"/>
  <c r="U2692" i="34"/>
  <c r="A2692" i="34"/>
  <c r="W2688" i="34"/>
  <c r="U2688" i="34"/>
  <c r="A2688" i="34"/>
  <c r="W2684" i="34"/>
  <c r="U2684" i="34"/>
  <c r="A2684" i="34"/>
  <c r="W2680" i="34"/>
  <c r="U2680" i="34"/>
  <c r="A2680" i="34"/>
  <c r="W2648" i="34"/>
  <c r="U2648" i="34"/>
  <c r="A2648" i="34"/>
  <c r="W2644" i="34"/>
  <c r="U2644" i="34"/>
  <c r="A2644" i="34"/>
  <c r="W2549" i="34"/>
  <c r="U2549" i="34"/>
  <c r="A2549" i="34"/>
  <c r="W2545" i="34"/>
  <c r="U2545" i="34"/>
  <c r="A2545" i="34"/>
  <c r="W2541" i="34"/>
  <c r="U2541" i="34"/>
  <c r="A2541" i="34"/>
  <c r="W2500" i="34"/>
  <c r="U2500" i="34"/>
  <c r="A2500" i="34"/>
  <c r="U2491" i="34"/>
  <c r="W2491" i="34"/>
  <c r="A2491" i="34"/>
  <c r="U2487" i="34"/>
  <c r="W2487" i="34"/>
  <c r="A2487" i="34"/>
  <c r="U2483" i="34"/>
  <c r="W2483" i="34"/>
  <c r="A2483" i="34"/>
  <c r="U2475" i="34"/>
  <c r="W2475" i="34"/>
  <c r="A2475" i="34"/>
  <c r="U2471" i="34"/>
  <c r="W2471" i="34"/>
  <c r="A2471" i="34"/>
  <c r="U2467" i="34"/>
  <c r="W2467" i="34"/>
  <c r="A2467" i="34"/>
  <c r="U2454" i="34"/>
  <c r="W2454" i="34"/>
  <c r="A2454" i="34"/>
  <c r="W2776" i="34"/>
  <c r="U2776" i="34"/>
  <c r="A2776" i="34"/>
  <c r="W2772" i="34"/>
  <c r="U2772" i="34"/>
  <c r="A2772" i="34"/>
  <c r="W2768" i="34"/>
  <c r="U2768" i="34"/>
  <c r="A2768" i="34"/>
  <c r="W2764" i="34"/>
  <c r="U2764" i="34"/>
  <c r="A2764" i="34"/>
  <c r="W2760" i="34"/>
  <c r="U2760" i="34"/>
  <c r="A2760" i="34"/>
  <c r="W2756" i="34"/>
  <c r="U2756" i="34"/>
  <c r="A2756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40" i="34"/>
  <c r="U2440" i="34"/>
  <c r="A2440" i="34"/>
  <c r="U2382" i="34"/>
  <c r="W2382" i="34"/>
  <c r="A2382" i="34"/>
  <c r="U2378" i="34"/>
  <c r="W2378" i="34"/>
  <c r="A2378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9" i="34"/>
  <c r="W2779" i="34"/>
  <c r="A2779" i="34"/>
  <c r="U2783" i="34"/>
  <c r="W2783" i="34"/>
  <c r="A2783" i="34"/>
  <c r="U2787" i="34"/>
  <c r="W2787" i="34"/>
  <c r="A2787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W2613" i="34"/>
  <c r="U2613" i="34"/>
  <c r="A2613" i="34"/>
  <c r="W2617" i="34"/>
  <c r="U2617" i="34"/>
  <c r="A2617" i="34"/>
  <c r="U2662" i="34"/>
  <c r="W2662" i="34"/>
  <c r="A2662" i="34"/>
  <c r="U2666" i="34"/>
  <c r="W2666" i="34"/>
  <c r="A2666" i="34"/>
  <c r="U2670" i="34"/>
  <c r="W2670" i="34"/>
  <c r="A2670" i="34"/>
  <c r="W2788" i="34"/>
  <c r="U2788" i="34"/>
  <c r="A2788" i="34"/>
  <c r="U2562" i="34"/>
  <c r="W2562" i="34"/>
  <c r="A2562" i="34"/>
  <c r="U2566" i="34"/>
  <c r="W2566" i="34"/>
  <c r="A2566" i="34"/>
  <c r="U2570" i="34"/>
  <c r="W2570" i="34"/>
  <c r="A2570" i="34"/>
  <c r="U2574" i="34"/>
  <c r="W2574" i="34"/>
  <c r="A2574" i="34"/>
  <c r="U2578" i="34"/>
  <c r="W2578" i="34"/>
  <c r="A2578" i="34"/>
  <c r="U2582" i="34"/>
  <c r="W2582" i="34"/>
  <c r="A2582" i="34"/>
  <c r="W2624" i="34"/>
  <c r="U2624" i="34"/>
  <c r="A2624" i="34"/>
  <c r="W2653" i="34"/>
  <c r="U2653" i="34"/>
  <c r="A2653" i="34"/>
  <c r="W2657" i="34"/>
  <c r="U2657" i="34"/>
  <c r="A2657" i="34"/>
  <c r="W2661" i="34"/>
  <c r="U2661" i="34"/>
  <c r="A2661" i="34"/>
  <c r="W2753" i="34"/>
  <c r="U2753" i="34"/>
  <c r="A2753" i="34"/>
  <c r="W2693" i="34"/>
  <c r="U2693" i="34"/>
  <c r="A2693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U2743" i="34"/>
  <c r="W2743" i="34"/>
  <c r="A2743" i="34"/>
  <c r="U2747" i="34"/>
  <c r="W2747" i="34"/>
  <c r="A2747" i="34"/>
  <c r="W2448" i="34"/>
  <c r="U2448" i="34"/>
  <c r="A2448" i="34"/>
  <c r="W2480" i="34"/>
  <c r="U2480" i="34"/>
  <c r="A2480" i="34"/>
  <c r="U2462" i="34"/>
  <c r="R2462" i="34"/>
  <c r="S2462" i="34"/>
  <c r="W2462" i="34"/>
  <c r="T2462" i="34"/>
  <c r="A2462" i="34"/>
  <c r="W2493" i="34"/>
  <c r="U2493" i="34"/>
  <c r="A2493" i="34"/>
  <c r="U2830" i="34"/>
  <c r="W2830" i="34"/>
  <c r="A2830" i="34"/>
  <c r="U2458" i="34"/>
  <c r="W2458" i="34"/>
  <c r="A2458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533" i="34"/>
  <c r="U2533" i="34"/>
  <c r="A2533" i="34"/>
  <c r="W2537" i="34"/>
  <c r="U2537" i="34"/>
  <c r="A2537" i="34"/>
  <c r="W2621" i="34"/>
  <c r="U2621" i="34"/>
  <c r="A2621" i="34"/>
  <c r="U2631" i="34"/>
  <c r="W2631" i="34"/>
  <c r="A2631" i="34"/>
  <c r="U2635" i="34"/>
  <c r="W2635" i="34"/>
  <c r="A2635" i="34"/>
  <c r="U2639" i="34"/>
  <c r="W2639" i="34"/>
  <c r="A2639" i="34"/>
  <c r="W2556" i="34"/>
  <c r="U2556" i="34"/>
  <c r="A2556" i="34"/>
  <c r="W2552" i="34"/>
  <c r="U2552" i="34"/>
  <c r="A2552" i="34"/>
  <c r="W2501" i="34"/>
  <c r="U2501" i="34"/>
  <c r="A2501" i="34"/>
  <c r="U2703" i="34"/>
  <c r="W2703" i="34"/>
  <c r="A2703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47" i="34"/>
  <c r="W2647" i="34"/>
  <c r="A2647" i="34"/>
  <c r="U2643" i="34"/>
  <c r="W2643" i="34"/>
  <c r="A2643" i="34"/>
  <c r="W2548" i="34"/>
  <c r="U2548" i="34"/>
  <c r="A2548" i="34"/>
  <c r="W2544" i="34"/>
  <c r="U2544" i="34"/>
  <c r="A2544" i="34"/>
  <c r="W2540" i="34"/>
  <c r="U2540" i="34"/>
  <c r="A2540" i="34"/>
  <c r="U2499" i="34"/>
  <c r="W2499" i="34"/>
  <c r="A2499" i="34"/>
  <c r="U2490" i="34"/>
  <c r="W2490" i="34"/>
  <c r="A2490" i="34"/>
  <c r="U2486" i="34"/>
  <c r="W2486" i="34"/>
  <c r="A2486" i="34"/>
  <c r="U2482" i="34"/>
  <c r="W2482" i="34"/>
  <c r="A2482" i="34"/>
  <c r="U2478" i="34"/>
  <c r="W2478" i="34"/>
  <c r="A2478" i="34"/>
  <c r="U2474" i="34"/>
  <c r="W2474" i="34"/>
  <c r="A2474" i="34"/>
  <c r="U2470" i="34"/>
  <c r="W2470" i="34"/>
  <c r="A2470" i="34"/>
  <c r="U2466" i="34"/>
  <c r="W2466" i="34"/>
  <c r="A2466" i="34"/>
  <c r="W2453" i="34"/>
  <c r="U2453" i="34"/>
  <c r="A2453" i="34"/>
  <c r="U2775" i="34"/>
  <c r="W2775" i="34"/>
  <c r="A2775" i="34"/>
  <c r="U2771" i="34"/>
  <c r="W2771" i="34"/>
  <c r="A2771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9" i="34"/>
  <c r="W2439" i="34"/>
  <c r="A2439" i="34"/>
  <c r="W2381" i="34"/>
  <c r="U2381" i="34"/>
  <c r="A2381" i="34"/>
  <c r="W2377" i="34"/>
  <c r="U2377" i="34"/>
  <c r="A2377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80" i="34"/>
  <c r="U2780" i="34"/>
  <c r="A2780" i="34"/>
  <c r="W2784" i="34"/>
  <c r="U2784" i="34"/>
  <c r="A2784" i="34"/>
  <c r="U2502" i="34"/>
  <c r="W2502" i="34"/>
  <c r="A2502" i="34"/>
  <c r="U2586" i="34"/>
  <c r="W2586" i="34"/>
  <c r="A2586" i="34"/>
  <c r="U2590" i="34"/>
  <c r="W2590" i="34"/>
  <c r="A2590" i="34"/>
  <c r="U2594" i="34"/>
  <c r="W2594" i="34"/>
  <c r="A2594" i="34"/>
  <c r="U2598" i="34"/>
  <c r="W2598" i="34"/>
  <c r="A2598" i="34"/>
  <c r="U2602" i="34"/>
  <c r="W2602" i="34"/>
  <c r="A2602" i="34"/>
  <c r="U2606" i="34"/>
  <c r="W2606" i="34"/>
  <c r="A2606" i="34"/>
  <c r="U2610" i="34"/>
  <c r="W2610" i="34"/>
  <c r="A2610" i="34"/>
  <c r="U2614" i="34"/>
  <c r="W2614" i="34"/>
  <c r="A2614" i="34"/>
  <c r="W2625" i="34"/>
  <c r="U2625" i="34"/>
  <c r="A2625" i="34"/>
  <c r="U2663" i="34"/>
  <c r="W2663" i="34"/>
  <c r="A2663" i="34"/>
  <c r="U2667" i="34"/>
  <c r="W2667" i="34"/>
  <c r="A2667" i="34"/>
  <c r="U2671" i="34"/>
  <c r="W2671" i="34"/>
  <c r="A2671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U2579" i="34"/>
  <c r="W2579" i="34"/>
  <c r="A2579" i="34"/>
  <c r="U2583" i="34"/>
  <c r="W2583" i="34"/>
  <c r="A2583" i="34"/>
  <c r="U2650" i="34"/>
  <c r="W2650" i="34"/>
  <c r="A2650" i="34"/>
  <c r="U2654" i="34"/>
  <c r="W2654" i="34"/>
  <c r="A2654" i="34"/>
  <c r="U2658" i="34"/>
  <c r="W2658" i="34"/>
  <c r="A2658" i="34"/>
  <c r="U2750" i="34"/>
  <c r="W2750" i="34"/>
  <c r="A2750" i="34"/>
  <c r="U2754" i="34"/>
  <c r="W2754" i="34"/>
  <c r="A2754" i="34"/>
  <c r="U2707" i="34"/>
  <c r="W2707" i="34"/>
  <c r="A2707" i="34"/>
  <c r="W2712" i="34"/>
  <c r="U2712" i="34"/>
  <c r="A2712" i="34"/>
  <c r="W2716" i="34"/>
  <c r="U2716" i="34"/>
  <c r="A2716" i="34"/>
  <c r="W2720" i="34"/>
  <c r="U2720" i="34"/>
  <c r="A2720" i="34"/>
  <c r="W2724" i="34"/>
  <c r="U2724" i="34"/>
  <c r="A2724" i="34"/>
  <c r="W2728" i="34"/>
  <c r="U2728" i="34"/>
  <c r="A2728" i="34"/>
  <c r="W2732" i="34"/>
  <c r="U2732" i="34"/>
  <c r="A2732" i="34"/>
  <c r="W2736" i="34"/>
  <c r="U2736" i="34"/>
  <c r="A2736" i="34"/>
  <c r="W2740" i="34"/>
  <c r="U2740" i="34"/>
  <c r="A2740" i="34"/>
  <c r="W2744" i="34"/>
  <c r="U2744" i="34"/>
  <c r="A2744" i="34"/>
  <c r="W2748" i="34"/>
  <c r="U2748" i="34"/>
  <c r="A2748" i="34"/>
  <c r="U2450" i="34"/>
  <c r="W2450" i="34"/>
  <c r="A2450" i="34"/>
  <c r="W2481" i="34"/>
  <c r="U2481" i="34"/>
  <c r="A2481" i="34"/>
  <c r="U2463" i="34"/>
  <c r="W2463" i="34"/>
  <c r="A2463" i="34"/>
  <c r="U2494" i="34"/>
  <c r="W2494" i="34"/>
  <c r="A2494" i="34"/>
  <c r="U2831" i="34"/>
  <c r="W2831" i="34"/>
  <c r="A2831" i="34"/>
  <c r="U2459" i="34"/>
  <c r="W2459" i="34"/>
  <c r="A2459" i="34"/>
  <c r="U2506" i="34"/>
  <c r="W2506" i="34"/>
  <c r="A2506" i="34"/>
  <c r="U2510" i="34"/>
  <c r="W2510" i="34"/>
  <c r="A2510" i="34"/>
  <c r="U2514" i="34"/>
  <c r="W2514" i="34"/>
  <c r="A2514" i="34"/>
  <c r="U2518" i="34"/>
  <c r="W2518" i="34"/>
  <c r="A2518" i="34"/>
  <c r="U2522" i="34"/>
  <c r="W2522" i="34"/>
  <c r="A2522" i="34"/>
  <c r="U2526" i="34"/>
  <c r="W2526" i="34"/>
  <c r="A2526" i="34"/>
  <c r="U2530" i="34"/>
  <c r="W2530" i="34"/>
  <c r="A2530" i="34"/>
  <c r="U2534" i="34"/>
  <c r="W2534" i="34"/>
  <c r="A2534" i="34"/>
  <c r="U2618" i="34"/>
  <c r="W2618" i="34"/>
  <c r="A2618" i="34"/>
  <c r="W2628" i="34"/>
  <c r="U2628" i="34"/>
  <c r="A2628" i="34"/>
  <c r="W2632" i="34"/>
  <c r="U2632" i="34"/>
  <c r="A2632" i="34"/>
  <c r="W2636" i="34"/>
  <c r="U2636" i="34"/>
  <c r="A2636" i="34"/>
  <c r="W2640" i="34"/>
  <c r="U2640" i="34"/>
  <c r="A2640" i="34"/>
  <c r="U2555" i="34"/>
  <c r="W2555" i="34"/>
  <c r="A2555" i="34"/>
  <c r="U2551" i="34"/>
  <c r="W2551" i="34"/>
  <c r="A2551" i="34"/>
  <c r="U2706" i="34"/>
  <c r="W2706" i="34"/>
  <c r="A2706" i="34"/>
  <c r="U2702" i="34"/>
  <c r="W2702" i="34"/>
  <c r="A2702" i="34"/>
  <c r="U2698" i="34"/>
  <c r="W2698" i="34"/>
  <c r="A2698" i="34"/>
  <c r="U2694" i="34"/>
  <c r="W2694" i="34"/>
  <c r="A2694" i="34"/>
  <c r="U2690" i="34"/>
  <c r="W2690" i="34"/>
  <c r="A2690" i="34"/>
  <c r="U2686" i="34"/>
  <c r="W2686" i="34"/>
  <c r="A2686" i="34"/>
  <c r="U2682" i="34"/>
  <c r="W2682" i="34"/>
  <c r="A2682" i="34"/>
  <c r="U2678" i="34"/>
  <c r="W2678" i="34"/>
  <c r="A2678" i="34"/>
  <c r="U2646" i="34"/>
  <c r="W2646" i="34"/>
  <c r="A2646" i="34"/>
  <c r="U2642" i="34"/>
  <c r="W2642" i="34"/>
  <c r="A2642" i="34"/>
  <c r="U2547" i="34"/>
  <c r="W2547" i="34"/>
  <c r="A2547" i="34"/>
  <c r="U2543" i="34"/>
  <c r="W2543" i="34"/>
  <c r="A2543" i="34"/>
  <c r="U2539" i="34"/>
  <c r="W2539" i="34"/>
  <c r="A2539" i="34"/>
  <c r="U2498" i="34"/>
  <c r="W2498" i="34"/>
  <c r="A2498" i="34"/>
  <c r="W2489" i="34"/>
  <c r="U2489" i="34"/>
  <c r="A2489" i="34"/>
  <c r="W2485" i="34"/>
  <c r="U2485" i="34"/>
  <c r="A2485" i="34"/>
  <c r="W2477" i="34"/>
  <c r="U2477" i="34"/>
  <c r="A2477" i="34"/>
  <c r="W2473" i="34"/>
  <c r="U2473" i="34"/>
  <c r="A2473" i="34"/>
  <c r="W2469" i="34"/>
  <c r="U2469" i="34"/>
  <c r="A2469" i="34"/>
  <c r="W2465" i="34"/>
  <c r="U2465" i="34"/>
  <c r="A2465" i="34"/>
  <c r="W2452" i="34"/>
  <c r="U2452" i="34"/>
  <c r="A2452" i="34"/>
  <c r="U2774" i="34"/>
  <c r="W2774" i="34"/>
  <c r="A2774" i="34"/>
  <c r="U2770" i="34"/>
  <c r="W2770" i="34"/>
  <c r="A2770" i="34"/>
  <c r="U2766" i="34"/>
  <c r="W2766" i="34"/>
  <c r="A2766" i="34"/>
  <c r="U2762" i="34"/>
  <c r="W2762" i="34"/>
  <c r="A2762" i="34"/>
  <c r="U2758" i="34"/>
  <c r="W2758" i="34"/>
  <c r="A2758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8" i="34"/>
  <c r="W2438" i="34"/>
  <c r="A2438" i="34"/>
  <c r="W2380" i="34"/>
  <c r="U2380" i="34"/>
  <c r="A2380" i="34"/>
  <c r="W2376" i="34"/>
  <c r="U2376" i="34"/>
  <c r="A2376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73" i="34"/>
  <c r="U2773" i="34"/>
  <c r="A2773" i="34"/>
  <c r="W2781" i="34"/>
  <c r="U2781" i="34"/>
  <c r="A2781" i="34"/>
  <c r="W2785" i="34"/>
  <c r="U2785" i="34"/>
  <c r="A2785" i="34"/>
  <c r="W2461" i="34"/>
  <c r="U2461" i="34"/>
  <c r="A2461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U2611" i="34"/>
  <c r="W2611" i="34"/>
  <c r="A2611" i="34"/>
  <c r="U2615" i="34"/>
  <c r="W2615" i="34"/>
  <c r="A2615" i="34"/>
  <c r="U2626" i="34"/>
  <c r="W2626" i="34"/>
  <c r="A2626" i="34"/>
  <c r="W2664" i="34"/>
  <c r="U2664" i="34"/>
  <c r="A2664" i="34"/>
  <c r="W2668" i="34"/>
  <c r="U2668" i="34"/>
  <c r="A2668" i="34"/>
  <c r="W2672" i="34"/>
  <c r="U2672" i="34"/>
  <c r="A2672" i="34"/>
  <c r="W2560" i="34"/>
  <c r="U2560" i="34"/>
  <c r="A2560" i="34"/>
  <c r="W2564" i="34"/>
  <c r="U2564" i="34"/>
  <c r="A2564" i="34"/>
  <c r="W2568" i="34"/>
  <c r="U2568" i="34"/>
  <c r="A2568" i="34"/>
  <c r="W2572" i="34"/>
  <c r="U2572" i="34"/>
  <c r="A2572" i="34"/>
  <c r="W2576" i="34"/>
  <c r="U2576" i="34"/>
  <c r="A2576" i="34"/>
  <c r="W2580" i="34"/>
  <c r="U2580" i="34"/>
  <c r="A2580" i="34"/>
  <c r="U2622" i="34"/>
  <c r="W2622" i="34"/>
  <c r="A2622" i="34"/>
  <c r="U2651" i="34"/>
  <c r="W2651" i="34"/>
  <c r="A2651" i="34"/>
  <c r="U2655" i="34"/>
  <c r="W2655" i="34"/>
  <c r="A2655" i="34"/>
  <c r="U2659" i="34"/>
  <c r="W2659" i="34"/>
  <c r="A2659" i="34"/>
  <c r="U2751" i="34"/>
  <c r="W2751" i="34"/>
  <c r="A2751" i="34"/>
  <c r="W2765" i="34"/>
  <c r="U2765" i="34"/>
  <c r="A2765" i="34"/>
  <c r="W2708" i="34"/>
  <c r="U2708" i="34"/>
  <c r="A2708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W2745" i="34"/>
  <c r="U2745" i="34"/>
  <c r="A2745" i="34"/>
  <c r="W2749" i="34"/>
  <c r="U2749" i="34"/>
  <c r="A2749" i="34"/>
  <c r="W2472" i="34"/>
  <c r="U2472" i="34"/>
  <c r="A2472" i="34"/>
  <c r="S2456" i="34"/>
  <c r="W2456" i="34"/>
  <c r="T2456" i="34"/>
  <c r="U2456" i="34"/>
  <c r="R2456" i="34"/>
  <c r="A2456" i="34"/>
  <c r="W2464" i="34"/>
  <c r="U2464" i="34"/>
  <c r="A2464" i="34"/>
  <c r="U2674" i="34"/>
  <c r="R2674" i="34"/>
  <c r="S2674" i="34"/>
  <c r="W2674" i="34"/>
  <c r="T2674" i="34"/>
  <c r="A2674" i="34"/>
  <c r="U2495" i="34"/>
  <c r="W2495" i="34"/>
  <c r="A2495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531" i="34"/>
  <c r="W2531" i="34"/>
  <c r="A2531" i="34"/>
  <c r="U2535" i="34"/>
  <c r="W2535" i="34"/>
  <c r="A2535" i="34"/>
  <c r="U2619" i="34"/>
  <c r="W2619" i="34"/>
  <c r="A2619" i="34"/>
  <c r="W2629" i="34"/>
  <c r="U2629" i="34"/>
  <c r="A2629" i="34"/>
  <c r="W2633" i="34"/>
  <c r="U2633" i="34"/>
  <c r="A2633" i="34"/>
  <c r="W2637" i="34"/>
  <c r="U2637" i="34"/>
  <c r="A2637" i="34"/>
  <c r="U2558" i="34"/>
  <c r="W2558" i="34"/>
  <c r="A2558" i="34"/>
  <c r="U2554" i="34"/>
  <c r="W2554" i="34"/>
  <c r="A2554" i="34"/>
  <c r="U2550" i="34"/>
  <c r="W2550" i="34"/>
  <c r="A2550" i="34"/>
  <c r="W2705" i="34"/>
  <c r="U2705" i="34"/>
  <c r="A2705" i="34"/>
  <c r="W2701" i="34"/>
  <c r="U2701" i="34"/>
  <c r="A2701" i="34"/>
  <c r="W2697" i="34"/>
  <c r="U2697" i="34"/>
  <c r="A2697" i="34"/>
  <c r="W2689" i="34"/>
  <c r="U2689" i="34"/>
  <c r="A2689" i="34"/>
  <c r="W2685" i="34"/>
  <c r="U2685" i="34"/>
  <c r="A2685" i="34"/>
  <c r="W2681" i="34"/>
  <c r="U2681" i="34"/>
  <c r="A2681" i="34"/>
  <c r="W2649" i="34"/>
  <c r="U2649" i="34"/>
  <c r="A2649" i="34"/>
  <c r="W2645" i="34"/>
  <c r="U2645" i="34"/>
  <c r="A2645" i="34"/>
  <c r="U2546" i="34"/>
  <c r="W2546" i="34"/>
  <c r="A2546" i="34"/>
  <c r="U2542" i="34"/>
  <c r="W2542" i="34"/>
  <c r="A2542" i="34"/>
  <c r="U2538" i="34"/>
  <c r="W2538" i="34"/>
  <c r="A2538" i="34"/>
  <c r="W2497" i="34"/>
  <c r="U2497" i="34"/>
  <c r="A2497" i="34"/>
  <c r="W2488" i="34"/>
  <c r="U2488" i="34"/>
  <c r="A2488" i="34"/>
  <c r="W2484" i="34"/>
  <c r="U2484" i="34"/>
  <c r="A2484" i="34"/>
  <c r="W2476" i="34"/>
  <c r="U2476" i="34"/>
  <c r="A2476" i="34"/>
  <c r="W2468" i="34"/>
  <c r="U2468" i="34"/>
  <c r="A2468" i="34"/>
  <c r="U2455" i="34"/>
  <c r="W2455" i="34"/>
  <c r="A2455" i="34"/>
  <c r="U2451" i="34"/>
  <c r="W2451" i="34"/>
  <c r="A2451" i="34"/>
  <c r="W2777" i="34"/>
  <c r="U2777" i="34"/>
  <c r="A2777" i="34"/>
  <c r="W2769" i="34"/>
  <c r="U2769" i="34"/>
  <c r="A2769" i="34"/>
  <c r="W2761" i="34"/>
  <c r="U2761" i="34"/>
  <c r="A2761" i="34"/>
  <c r="W2757" i="34"/>
  <c r="U2757" i="34"/>
  <c r="A2757" i="34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362" i="60"/>
  <c r="U362" i="60"/>
  <c r="C362" i="60" s="1"/>
  <c r="Z361" i="60"/>
  <c r="U361" i="60"/>
  <c r="C361" i="60" s="1"/>
  <c r="Z360" i="60"/>
  <c r="U360" i="60"/>
  <c r="C360" i="60" s="1"/>
  <c r="Z359" i="60"/>
  <c r="U359" i="60"/>
  <c r="C359" i="60" s="1"/>
  <c r="Z358" i="60"/>
  <c r="U358" i="60"/>
  <c r="C358" i="60" s="1"/>
  <c r="Z357" i="60"/>
  <c r="U357" i="60"/>
  <c r="C357" i="60" s="1"/>
  <c r="Z356" i="60"/>
  <c r="U356" i="60"/>
  <c r="C356" i="60" s="1"/>
  <c r="Z355" i="60"/>
  <c r="U355" i="60"/>
  <c r="C355" i="60" s="1"/>
  <c r="Z354" i="60"/>
  <c r="U354" i="60"/>
  <c r="C354" i="60" s="1"/>
  <c r="Z353" i="60"/>
  <c r="U353" i="60"/>
  <c r="C353" i="60" s="1"/>
  <c r="Z352" i="60"/>
  <c r="U352" i="60"/>
  <c r="C352" i="60" s="1"/>
  <c r="Z477" i="60"/>
  <c r="U477" i="60"/>
  <c r="C477" i="60" s="1"/>
  <c r="Z476" i="60"/>
  <c r="U476" i="60"/>
  <c r="C476" i="60" s="1"/>
  <c r="Z475" i="60"/>
  <c r="U475" i="60"/>
  <c r="C475" i="60" s="1"/>
  <c r="Z474" i="60"/>
  <c r="U474" i="60"/>
  <c r="C474" i="60" s="1"/>
  <c r="Z473" i="60"/>
  <c r="U473" i="60"/>
  <c r="C473" i="60" s="1"/>
  <c r="Z472" i="60"/>
  <c r="U472" i="60"/>
  <c r="C472" i="60" s="1"/>
  <c r="Z471" i="60"/>
  <c r="U471" i="60"/>
  <c r="C471" i="60" s="1"/>
  <c r="Z470" i="60"/>
  <c r="U470" i="60"/>
  <c r="C470" i="60" s="1"/>
  <c r="Z469" i="60"/>
  <c r="U469" i="60"/>
  <c r="C469" i="60" s="1"/>
  <c r="Z400" i="60"/>
  <c r="U400" i="60"/>
  <c r="C400" i="60" s="1"/>
  <c r="Z399" i="60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573" i="60"/>
  <c r="U573" i="60"/>
  <c r="C573" i="60" s="1"/>
  <c r="Z572" i="60"/>
  <c r="U572" i="60"/>
  <c r="C572" i="60" s="1"/>
  <c r="Z571" i="60"/>
  <c r="U571" i="60"/>
  <c r="C571" i="60" s="1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U565" i="60"/>
  <c r="C565" i="60" s="1"/>
  <c r="Z564" i="60"/>
  <c r="U564" i="60"/>
  <c r="C564" i="60" s="1"/>
  <c r="Z563" i="60"/>
  <c r="U563" i="60"/>
  <c r="C563" i="60" s="1"/>
  <c r="Z481" i="60"/>
  <c r="U481" i="60"/>
  <c r="C481" i="60" s="1"/>
  <c r="Z480" i="60"/>
  <c r="U480" i="60"/>
  <c r="C480" i="60" s="1"/>
  <c r="Z479" i="60"/>
  <c r="U479" i="60"/>
  <c r="C479" i="60" s="1"/>
  <c r="Z478" i="60"/>
  <c r="U478" i="60"/>
  <c r="C478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C1003" i="34"/>
  <c r="C1002" i="34"/>
  <c r="C1732" i="34"/>
  <c r="C1731" i="34"/>
  <c r="B2827" i="34"/>
  <c r="B2415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15" i="34"/>
  <c r="W2415" i="34"/>
  <c r="A2415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7" i="34"/>
  <c r="W2827" i="34"/>
  <c r="A2827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K1721" i="34"/>
  <c r="C1721" i="34"/>
  <c r="B1721" i="34" s="1"/>
  <c r="K1720" i="34"/>
  <c r="C1720" i="34"/>
  <c r="B1720" i="34" s="1"/>
  <c r="K1719" i="34"/>
  <c r="C1719" i="34"/>
  <c r="B1719" i="34" s="1"/>
  <c r="K1718" i="34"/>
  <c r="C1718" i="34"/>
  <c r="B1718" i="34" s="1"/>
  <c r="K1717" i="34"/>
  <c r="C1717" i="34"/>
  <c r="B1717" i="34" s="1"/>
  <c r="K1716" i="34"/>
  <c r="C1716" i="34"/>
  <c r="B1716" i="34" s="1"/>
  <c r="K1715" i="34"/>
  <c r="C1715" i="34"/>
  <c r="B1715" i="34" s="1"/>
  <c r="K1714" i="34"/>
  <c r="C1714" i="34"/>
  <c r="B1714" i="34" s="1"/>
  <c r="K1713" i="34"/>
  <c r="C1713" i="34"/>
  <c r="B1713" i="34" s="1"/>
  <c r="K1712" i="34"/>
  <c r="C1712" i="34"/>
  <c r="B1712" i="34" s="1"/>
  <c r="K1711" i="34"/>
  <c r="C1711" i="34"/>
  <c r="B1711" i="34" s="1"/>
  <c r="K1684" i="34"/>
  <c r="C1684" i="34"/>
  <c r="B1684" i="34" s="1"/>
  <c r="K1683" i="34"/>
  <c r="C1683" i="34"/>
  <c r="B1683" i="34" s="1"/>
  <c r="K1682" i="34"/>
  <c r="C1682" i="34"/>
  <c r="B1682" i="34" s="1"/>
  <c r="K1681" i="34"/>
  <c r="C1681" i="34"/>
  <c r="B1681" i="34" s="1"/>
  <c r="K1680" i="34"/>
  <c r="C1680" i="34"/>
  <c r="B1680" i="34" s="1"/>
  <c r="K1679" i="34"/>
  <c r="C1679" i="34"/>
  <c r="B1679" i="34" s="1"/>
  <c r="K1678" i="34"/>
  <c r="C1678" i="34"/>
  <c r="B1678" i="34" s="1"/>
  <c r="K1677" i="34"/>
  <c r="C1677" i="34"/>
  <c r="B1677" i="34" s="1"/>
  <c r="K1659" i="34"/>
  <c r="C1659" i="34"/>
  <c r="B1659" i="34" s="1"/>
  <c r="K1658" i="34"/>
  <c r="C1658" i="34"/>
  <c r="B1658" i="34" s="1"/>
  <c r="K1657" i="34"/>
  <c r="C1657" i="34"/>
  <c r="B1657" i="34" s="1"/>
  <c r="K1656" i="34"/>
  <c r="C1656" i="34"/>
  <c r="B1656" i="34" s="1"/>
  <c r="K1655" i="34"/>
  <c r="C1655" i="34"/>
  <c r="B1655" i="34" s="1"/>
  <c r="K1654" i="34"/>
  <c r="C1654" i="34"/>
  <c r="B1654" i="34" s="1"/>
  <c r="K1653" i="34"/>
  <c r="C1653" i="34"/>
  <c r="B1653" i="34" s="1"/>
  <c r="K1652" i="34"/>
  <c r="C1652" i="34"/>
  <c r="B1652" i="34" s="1"/>
  <c r="K1630" i="34"/>
  <c r="C1630" i="34"/>
  <c r="B1630" i="34" s="1"/>
  <c r="K1629" i="34"/>
  <c r="C1629" i="34"/>
  <c r="B1629" i="34" s="1"/>
  <c r="K1628" i="34"/>
  <c r="C1628" i="34"/>
  <c r="B1628" i="34" s="1"/>
  <c r="K1627" i="34"/>
  <c r="C1627" i="34"/>
  <c r="B1627" i="34" s="1"/>
  <c r="K1626" i="34"/>
  <c r="C1626" i="34"/>
  <c r="B1626" i="34" s="1"/>
  <c r="K1625" i="34"/>
  <c r="C1625" i="34"/>
  <c r="B1625" i="34" s="1"/>
  <c r="K1624" i="34"/>
  <c r="C1624" i="34"/>
  <c r="B1624" i="34" s="1"/>
  <c r="K1623" i="34"/>
  <c r="C1623" i="34"/>
  <c r="B1623" i="34" s="1"/>
  <c r="K1622" i="34"/>
  <c r="C1622" i="34"/>
  <c r="B1622" i="34" s="1"/>
  <c r="K1599" i="34"/>
  <c r="C1599" i="34"/>
  <c r="B1599" i="34" s="1"/>
  <c r="K1571" i="34"/>
  <c r="C1571" i="34"/>
  <c r="B1571" i="34" s="1"/>
  <c r="K1570" i="34"/>
  <c r="C1570" i="34"/>
  <c r="B1570" i="34" s="1"/>
  <c r="K1569" i="34"/>
  <c r="C1569" i="34"/>
  <c r="B1569" i="34" s="1"/>
  <c r="K1568" i="34"/>
  <c r="C1568" i="34"/>
  <c r="B1568" i="34" s="1"/>
  <c r="K1567" i="34"/>
  <c r="C1567" i="34"/>
  <c r="B1567" i="34" s="1"/>
  <c r="K1566" i="34"/>
  <c r="C1566" i="34"/>
  <c r="B1566" i="34" s="1"/>
  <c r="K1565" i="34"/>
  <c r="C1565" i="34"/>
  <c r="B1565" i="34" s="1"/>
  <c r="K1564" i="34"/>
  <c r="C1564" i="34"/>
  <c r="B1564" i="34" s="1"/>
  <c r="K1529" i="34"/>
  <c r="C1529" i="34"/>
  <c r="B1529" i="34" s="1"/>
  <c r="K1497" i="34"/>
  <c r="C1497" i="34"/>
  <c r="B1497" i="34" s="1"/>
  <c r="K1496" i="34"/>
  <c r="C1496" i="34"/>
  <c r="B1496" i="34" s="1"/>
  <c r="K1495" i="34"/>
  <c r="C1495" i="34"/>
  <c r="B1495" i="34" s="1"/>
  <c r="K1494" i="34"/>
  <c r="C1494" i="34"/>
  <c r="B1494" i="34" s="1"/>
  <c r="K1493" i="34"/>
  <c r="C1493" i="34"/>
  <c r="B1493" i="34" s="1"/>
  <c r="K1492" i="34"/>
  <c r="C1492" i="34"/>
  <c r="B1492" i="34" s="1"/>
  <c r="K1491" i="34"/>
  <c r="C1491" i="34"/>
  <c r="B1491" i="34" s="1"/>
  <c r="K1475" i="34"/>
  <c r="C1475" i="34"/>
  <c r="B1475" i="34" s="1"/>
  <c r="K1474" i="34"/>
  <c r="C1474" i="34"/>
  <c r="B1474" i="34" s="1"/>
  <c r="K1473" i="34"/>
  <c r="C1473" i="34"/>
  <c r="B1473" i="34" s="1"/>
  <c r="K1472" i="34"/>
  <c r="C1472" i="34"/>
  <c r="B1472" i="34" s="1"/>
  <c r="K1471" i="34"/>
  <c r="C1471" i="34"/>
  <c r="B1471" i="34" s="1"/>
  <c r="K1470" i="34"/>
  <c r="C1470" i="34"/>
  <c r="B1470" i="34" s="1"/>
  <c r="K1469" i="34"/>
  <c r="C1469" i="34"/>
  <c r="B1469" i="34" s="1"/>
  <c r="K1468" i="34"/>
  <c r="C1468" i="34"/>
  <c r="B1468" i="34" s="1"/>
  <c r="K1467" i="34"/>
  <c r="C1467" i="34"/>
  <c r="B1467" i="34" s="1"/>
  <c r="K1466" i="34"/>
  <c r="C1466" i="34"/>
  <c r="B1466" i="34" s="1"/>
  <c r="K1465" i="34"/>
  <c r="C1465" i="34"/>
  <c r="B1465" i="34" s="1"/>
  <c r="K1464" i="34"/>
  <c r="C1464" i="34"/>
  <c r="B1464" i="34" s="1"/>
  <c r="K1463" i="34"/>
  <c r="C1463" i="34"/>
  <c r="B1463" i="34" s="1"/>
  <c r="K1462" i="34"/>
  <c r="C1462" i="34"/>
  <c r="B1462" i="34" s="1"/>
  <c r="K1461" i="34"/>
  <c r="C1461" i="34"/>
  <c r="B1461" i="34" s="1"/>
  <c r="K1428" i="34"/>
  <c r="C1428" i="34"/>
  <c r="B1428" i="34" s="1"/>
  <c r="K1411" i="34"/>
  <c r="C1411" i="34"/>
  <c r="B1411" i="34" s="1"/>
  <c r="K1410" i="34"/>
  <c r="C1410" i="34"/>
  <c r="B1410" i="34" s="1"/>
  <c r="K1409" i="34"/>
  <c r="C1409" i="34"/>
  <c r="B1409" i="34" s="1"/>
  <c r="K1408" i="34"/>
  <c r="C1408" i="34"/>
  <c r="B1408" i="34" s="1"/>
  <c r="K1407" i="34"/>
  <c r="C1407" i="34"/>
  <c r="B1407" i="34" s="1"/>
  <c r="K1406" i="34"/>
  <c r="C1406" i="34"/>
  <c r="B1406" i="34" s="1"/>
  <c r="K1405" i="34"/>
  <c r="C1405" i="34"/>
  <c r="B1405" i="34" s="1"/>
  <c r="K1404" i="34"/>
  <c r="C1404" i="34"/>
  <c r="B1404" i="34" s="1"/>
  <c r="K1386" i="34"/>
  <c r="C1386" i="34"/>
  <c r="B1386" i="34" s="1"/>
  <c r="K1385" i="34"/>
  <c r="C1385" i="34"/>
  <c r="B1385" i="34" s="1"/>
  <c r="K1384" i="34"/>
  <c r="C1384" i="34"/>
  <c r="B1384" i="34" s="1"/>
  <c r="K1383" i="34"/>
  <c r="C1383" i="34"/>
  <c r="B1383" i="34" s="1"/>
  <c r="K1382" i="34"/>
  <c r="C1382" i="34"/>
  <c r="B1382" i="34" s="1"/>
  <c r="K1381" i="34"/>
  <c r="C1381" i="34"/>
  <c r="B1381" i="34" s="1"/>
  <c r="K1380" i="34"/>
  <c r="C1380" i="34"/>
  <c r="B1380" i="34" s="1"/>
  <c r="K1379" i="34"/>
  <c r="C1379" i="34"/>
  <c r="B1379" i="34" s="1"/>
  <c r="K1378" i="34"/>
  <c r="C1378" i="34"/>
  <c r="B1378" i="34" s="1"/>
  <c r="K1332" i="34"/>
  <c r="C1332" i="34"/>
  <c r="B1332" i="34" s="1"/>
  <c r="K1297" i="34"/>
  <c r="C1297" i="34"/>
  <c r="B1297" i="34" s="1"/>
  <c r="K1293" i="34"/>
  <c r="C1293" i="34"/>
  <c r="B1293" i="34" s="1"/>
  <c r="K1292" i="34"/>
  <c r="C1292" i="34"/>
  <c r="B1292" i="34" s="1"/>
  <c r="K1291" i="34"/>
  <c r="C1291" i="34"/>
  <c r="B1291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65" i="34"/>
  <c r="C1265" i="34"/>
  <c r="B1265" i="34" s="1"/>
  <c r="K1264" i="34"/>
  <c r="C1264" i="34"/>
  <c r="B1264" i="34" s="1"/>
  <c r="K1263" i="34"/>
  <c r="C1263" i="34"/>
  <c r="B1263" i="34" s="1"/>
  <c r="K1262" i="34"/>
  <c r="C1262" i="34"/>
  <c r="B1262" i="34" s="1"/>
  <c r="K1261" i="34"/>
  <c r="C1261" i="34"/>
  <c r="B1261" i="34" s="1"/>
  <c r="K1260" i="34"/>
  <c r="C1260" i="34"/>
  <c r="B1260" i="34" s="1"/>
  <c r="K1259" i="34"/>
  <c r="C1259" i="34"/>
  <c r="B1259" i="34" s="1"/>
  <c r="K1258" i="34"/>
  <c r="C1258" i="34"/>
  <c r="B1258" i="34" s="1"/>
  <c r="K1237" i="34"/>
  <c r="C1237" i="34"/>
  <c r="B1237" i="34" s="1"/>
  <c r="K1236" i="34"/>
  <c r="C1236" i="34"/>
  <c r="B1236" i="34" s="1"/>
  <c r="K1235" i="34"/>
  <c r="C1235" i="34"/>
  <c r="B1235" i="34" s="1"/>
  <c r="K1234" i="34"/>
  <c r="C1234" i="34"/>
  <c r="B1234" i="34" s="1"/>
  <c r="K1233" i="34"/>
  <c r="C1233" i="34"/>
  <c r="B1233" i="34" s="1"/>
  <c r="K1232" i="34"/>
  <c r="C1232" i="34"/>
  <c r="B1232" i="34" s="1"/>
  <c r="K1231" i="34"/>
  <c r="C1231" i="34"/>
  <c r="B1231" i="34" s="1"/>
  <c r="K1230" i="34"/>
  <c r="C1230" i="34"/>
  <c r="B1230" i="34" s="1"/>
  <c r="K1207" i="34"/>
  <c r="C1207" i="34"/>
  <c r="B1207" i="34" s="1"/>
  <c r="K1206" i="34"/>
  <c r="C1206" i="34"/>
  <c r="B1206" i="34" s="1"/>
  <c r="K1205" i="34"/>
  <c r="C1205" i="34"/>
  <c r="B1205" i="34" s="1"/>
  <c r="K1204" i="34"/>
  <c r="C1204" i="34"/>
  <c r="B1204" i="34" s="1"/>
  <c r="K1203" i="34"/>
  <c r="C1203" i="34"/>
  <c r="B1203" i="34" s="1"/>
  <c r="K1202" i="34"/>
  <c r="C1202" i="34"/>
  <c r="B1202" i="34" s="1"/>
  <c r="K1201" i="34"/>
  <c r="C1201" i="34"/>
  <c r="B1201" i="34" s="1"/>
  <c r="K1200" i="34"/>
  <c r="C1200" i="34"/>
  <c r="B1200" i="34" s="1"/>
  <c r="K1199" i="34"/>
  <c r="C1199" i="34"/>
  <c r="B1199" i="34" s="1"/>
  <c r="K1198" i="34"/>
  <c r="C1198" i="34"/>
  <c r="B1198" i="34" s="1"/>
  <c r="K1197" i="34"/>
  <c r="C1197" i="34"/>
  <c r="B1197" i="34" s="1"/>
  <c r="K1196" i="34"/>
  <c r="C1196" i="34"/>
  <c r="B1196" i="34" s="1"/>
  <c r="K1195" i="34"/>
  <c r="C1195" i="34"/>
  <c r="B1195" i="34" s="1"/>
  <c r="K1194" i="34"/>
  <c r="C1194" i="34"/>
  <c r="B1194" i="34" s="1"/>
  <c r="K1193" i="34"/>
  <c r="C1193" i="34"/>
  <c r="B1193" i="34" s="1"/>
  <c r="K1192" i="34"/>
  <c r="C1192" i="34"/>
  <c r="B1192" i="34" s="1"/>
  <c r="K1153" i="34"/>
  <c r="C1153" i="34"/>
  <c r="B1153" i="34" s="1"/>
  <c r="K1152" i="34"/>
  <c r="C1152" i="34"/>
  <c r="B1152" i="34" s="1"/>
  <c r="K1151" i="34"/>
  <c r="C1151" i="34"/>
  <c r="B1151" i="34" s="1"/>
  <c r="K1150" i="34"/>
  <c r="C1150" i="34"/>
  <c r="B1150" i="34" s="1"/>
  <c r="K1149" i="34"/>
  <c r="C1149" i="34"/>
  <c r="B1149" i="34" s="1"/>
  <c r="K1148" i="34"/>
  <c r="C1148" i="34"/>
  <c r="B1148" i="34" s="1"/>
  <c r="K1147" i="34"/>
  <c r="C1147" i="34"/>
  <c r="B1147" i="34" s="1"/>
  <c r="K1146" i="34"/>
  <c r="C1146" i="34"/>
  <c r="B1146" i="34" s="1"/>
  <c r="K1110" i="34"/>
  <c r="C1110" i="34"/>
  <c r="B1110" i="34" s="1"/>
  <c r="K1109" i="34"/>
  <c r="C1109" i="34"/>
  <c r="B1109" i="34" s="1"/>
  <c r="K1108" i="34"/>
  <c r="C1108" i="34"/>
  <c r="B1108" i="34" s="1"/>
  <c r="K1107" i="34"/>
  <c r="C1107" i="34"/>
  <c r="B1107" i="34" s="1"/>
  <c r="K1106" i="34"/>
  <c r="C1106" i="34"/>
  <c r="B1106" i="34" s="1"/>
  <c r="K1105" i="34"/>
  <c r="C1105" i="34"/>
  <c r="B1105" i="34" s="1"/>
  <c r="K1104" i="34"/>
  <c r="C1104" i="34"/>
  <c r="B1104" i="34" s="1"/>
  <c r="K1103" i="34"/>
  <c r="C1103" i="34"/>
  <c r="B1103" i="34" s="1"/>
  <c r="K1078" i="34"/>
  <c r="C1078" i="34"/>
  <c r="B1078" i="34" s="1"/>
  <c r="K1077" i="34"/>
  <c r="C1077" i="34"/>
  <c r="B1077" i="34" s="1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8" i="34"/>
  <c r="B2826" i="34"/>
  <c r="B2416" i="34"/>
  <c r="B2414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2" i="34"/>
  <c r="B2411" i="34"/>
  <c r="B2410" i="34"/>
  <c r="B2409" i="34"/>
  <c r="B2407" i="34"/>
  <c r="B2406" i="34"/>
  <c r="B2399" i="34"/>
  <c r="B2398" i="34"/>
  <c r="B2397" i="34"/>
  <c r="B2396" i="34"/>
  <c r="B2395" i="34"/>
  <c r="B2394" i="34"/>
  <c r="B2393" i="34"/>
  <c r="B2391" i="34"/>
  <c r="B2390" i="34"/>
  <c r="B2366" i="34"/>
  <c r="B2365" i="34"/>
  <c r="B2364" i="34"/>
  <c r="B2363" i="34"/>
  <c r="B2361" i="34"/>
  <c r="B2359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36" i="34"/>
  <c r="B2435" i="34"/>
  <c r="B2434" i="34"/>
  <c r="B2433" i="34"/>
  <c r="B2432" i="34"/>
  <c r="B2431" i="34"/>
  <c r="B2430" i="34"/>
  <c r="B2375" i="34"/>
  <c r="B2374" i="34"/>
  <c r="B2373" i="34"/>
  <c r="B2372" i="34"/>
  <c r="B2371" i="34"/>
  <c r="B2370" i="34"/>
  <c r="B2369" i="34"/>
  <c r="B2368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8" i="34"/>
  <c r="U2368" i="34"/>
  <c r="A2368" i="34"/>
  <c r="W2372" i="34"/>
  <c r="U2372" i="34"/>
  <c r="A2372" i="34"/>
  <c r="U2430" i="34"/>
  <c r="W2430" i="34"/>
  <c r="A2430" i="34"/>
  <c r="U2434" i="34"/>
  <c r="W2434" i="34"/>
  <c r="A2434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3" i="34"/>
  <c r="U2363" i="34"/>
  <c r="A2363" i="34"/>
  <c r="U2390" i="34"/>
  <c r="W2390" i="34"/>
  <c r="A2390" i="34"/>
  <c r="U2395" i="34"/>
  <c r="R2395" i="34"/>
  <c r="S2395" i="34"/>
  <c r="W2395" i="34"/>
  <c r="T2395" i="34"/>
  <c r="A2395" i="34"/>
  <c r="U2399" i="34"/>
  <c r="W2399" i="34"/>
  <c r="A2399" i="34"/>
  <c r="U2410" i="34"/>
  <c r="W2410" i="34"/>
  <c r="A2410" i="34"/>
  <c r="U2418" i="34"/>
  <c r="W2418" i="34"/>
  <c r="A2418" i="34"/>
  <c r="U2422" i="34"/>
  <c r="W2422" i="34"/>
  <c r="A2422" i="34"/>
  <c r="U2426" i="34"/>
  <c r="W2426" i="34"/>
  <c r="A2426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14" i="34"/>
  <c r="W2414" i="34"/>
  <c r="A2414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9" i="34"/>
  <c r="U2369" i="34"/>
  <c r="A2369" i="34"/>
  <c r="W2373" i="34"/>
  <c r="U2373" i="34"/>
  <c r="A2373" i="34"/>
  <c r="U2431" i="34"/>
  <c r="W2431" i="34"/>
  <c r="A2431" i="34"/>
  <c r="U2435" i="34"/>
  <c r="W2435" i="34"/>
  <c r="A2435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4" i="34"/>
  <c r="U2364" i="34"/>
  <c r="A2364" i="34"/>
  <c r="U2391" i="34"/>
  <c r="W2391" i="34"/>
  <c r="A2391" i="34"/>
  <c r="U2396" i="34"/>
  <c r="W2396" i="34"/>
  <c r="A2396" i="34"/>
  <c r="W2406" i="34"/>
  <c r="U2406" i="34"/>
  <c r="A2406" i="34"/>
  <c r="W2411" i="34"/>
  <c r="U2411" i="34"/>
  <c r="A2411" i="34"/>
  <c r="U2419" i="34"/>
  <c r="W2419" i="34"/>
  <c r="A2419" i="34"/>
  <c r="U2423" i="34"/>
  <c r="W2423" i="34"/>
  <c r="A2423" i="34"/>
  <c r="U2427" i="34"/>
  <c r="W2427" i="34"/>
  <c r="A2427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6" i="34"/>
  <c r="U2416" i="34"/>
  <c r="A2416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70" i="34"/>
  <c r="W2370" i="34"/>
  <c r="A2370" i="34"/>
  <c r="U2374" i="34"/>
  <c r="W2374" i="34"/>
  <c r="A2374" i="34"/>
  <c r="W2432" i="34"/>
  <c r="U2432" i="34"/>
  <c r="A2432" i="34"/>
  <c r="U2436" i="34"/>
  <c r="W2436" i="34"/>
  <c r="A2436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9" i="34"/>
  <c r="W2359" i="34"/>
  <c r="T2359" i="34"/>
  <c r="U2359" i="34"/>
  <c r="R2359" i="34"/>
  <c r="A2359" i="34"/>
  <c r="U2365" i="34"/>
  <c r="W2365" i="34"/>
  <c r="A2365" i="34"/>
  <c r="W2393" i="34"/>
  <c r="U2393" i="34"/>
  <c r="A2393" i="34"/>
  <c r="W2397" i="34"/>
  <c r="U2397" i="34"/>
  <c r="A2397" i="34"/>
  <c r="W2407" i="34"/>
  <c r="U2407" i="34"/>
  <c r="A2407" i="34"/>
  <c r="W2412" i="34"/>
  <c r="U2412" i="34"/>
  <c r="A2412" i="34"/>
  <c r="W2420" i="34"/>
  <c r="U2420" i="34"/>
  <c r="A2420" i="34"/>
  <c r="W2424" i="34"/>
  <c r="U2424" i="34"/>
  <c r="A2424" i="34"/>
  <c r="W2428" i="34"/>
  <c r="U2428" i="34"/>
  <c r="A2428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26" i="34"/>
  <c r="W2826" i="34"/>
  <c r="A2826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71" i="34"/>
  <c r="W2371" i="34"/>
  <c r="A2371" i="34"/>
  <c r="U2375" i="34"/>
  <c r="W2375" i="34"/>
  <c r="A2375" i="34"/>
  <c r="W2433" i="34"/>
  <c r="U2433" i="34"/>
  <c r="A2433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1" i="34"/>
  <c r="R2361" i="34"/>
  <c r="S2361" i="34"/>
  <c r="W2361" i="34"/>
  <c r="T2361" i="34"/>
  <c r="A2361" i="34"/>
  <c r="U2366" i="34"/>
  <c r="W2366" i="34"/>
  <c r="A2366" i="34"/>
  <c r="W2394" i="34"/>
  <c r="U2394" i="34"/>
  <c r="A2394" i="34"/>
  <c r="W2398" i="34"/>
  <c r="U2398" i="34"/>
  <c r="A2398" i="34"/>
  <c r="U2409" i="34"/>
  <c r="W2409" i="34"/>
  <c r="A2409" i="34"/>
  <c r="W2417" i="34"/>
  <c r="U2417" i="34"/>
  <c r="A2417" i="34"/>
  <c r="W2421" i="34"/>
  <c r="U2421" i="34"/>
  <c r="A2421" i="34"/>
  <c r="W2425" i="34"/>
  <c r="U2425" i="34"/>
  <c r="A2425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8" i="34"/>
  <c r="U2828" i="34"/>
  <c r="A2828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K1004" i="34"/>
  <c r="K1175" i="34"/>
  <c r="K1005" i="34"/>
  <c r="K1006" i="34"/>
  <c r="C1004" i="34"/>
  <c r="C1175" i="34"/>
  <c r="C1005" i="34"/>
  <c r="C1006" i="34"/>
  <c r="C1643" i="34"/>
  <c r="C1063" i="34"/>
  <c r="C1064" i="34"/>
  <c r="C1065" i="34"/>
  <c r="C1066" i="34"/>
  <c r="C1067" i="34"/>
  <c r="C1068" i="34"/>
  <c r="C1069" i="34"/>
  <c r="C1070" i="34"/>
  <c r="C1095" i="34"/>
  <c r="C1096" i="34"/>
  <c r="C1097" i="34"/>
  <c r="C1098" i="34"/>
  <c r="C1099" i="34"/>
  <c r="C1100" i="34"/>
  <c r="C1101" i="34"/>
  <c r="C1102" i="34"/>
  <c r="C1138" i="34"/>
  <c r="C1139" i="34"/>
  <c r="C1140" i="34"/>
  <c r="C1141" i="34"/>
  <c r="C1142" i="34"/>
  <c r="C1143" i="34"/>
  <c r="C1144" i="34"/>
  <c r="C114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222" i="34"/>
  <c r="C1223" i="34"/>
  <c r="C1224" i="34"/>
  <c r="C1225" i="34"/>
  <c r="C1226" i="34"/>
  <c r="C1227" i="34"/>
  <c r="C1228" i="34"/>
  <c r="C1229" i="34"/>
  <c r="C1250" i="34"/>
  <c r="C1251" i="34"/>
  <c r="C1252" i="34"/>
  <c r="C1253" i="34"/>
  <c r="C1254" i="34"/>
  <c r="C1255" i="34"/>
  <c r="C1256" i="34"/>
  <c r="C1257" i="34"/>
  <c r="C1273" i="34"/>
  <c r="C1274" i="34"/>
  <c r="C1275" i="34"/>
  <c r="C1276" i="34"/>
  <c r="C1277" i="34"/>
  <c r="C1288" i="34"/>
  <c r="C1289" i="34"/>
  <c r="C1290" i="34"/>
  <c r="C1296" i="34"/>
  <c r="C1331" i="34"/>
  <c r="C1369" i="34"/>
  <c r="C1370" i="34"/>
  <c r="C1371" i="34"/>
  <c r="C1372" i="34"/>
  <c r="C1373" i="34"/>
  <c r="C1374" i="34"/>
  <c r="C1375" i="34"/>
  <c r="C1376" i="34"/>
  <c r="C1377" i="34"/>
  <c r="C1396" i="34"/>
  <c r="C1397" i="34"/>
  <c r="C1398" i="34"/>
  <c r="C1399" i="34"/>
  <c r="C1400" i="34"/>
  <c r="C1401" i="34"/>
  <c r="C1402" i="34"/>
  <c r="C1403" i="34"/>
  <c r="C1427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84" i="34"/>
  <c r="C1485" i="34"/>
  <c r="C1486" i="34"/>
  <c r="C1487" i="34"/>
  <c r="C1488" i="34"/>
  <c r="C1489" i="34"/>
  <c r="C1490" i="34"/>
  <c r="C1528" i="34"/>
  <c r="C1556" i="34"/>
  <c r="C1557" i="34"/>
  <c r="C1558" i="34"/>
  <c r="C1559" i="34"/>
  <c r="C1560" i="34"/>
  <c r="C1561" i="34"/>
  <c r="C1562" i="34"/>
  <c r="C1563" i="34"/>
  <c r="C1598" i="34"/>
  <c r="C1613" i="34"/>
  <c r="C1614" i="34"/>
  <c r="C1615" i="34"/>
  <c r="C1616" i="34"/>
  <c r="C1617" i="34"/>
  <c r="C1618" i="34"/>
  <c r="C1619" i="34"/>
  <c r="C1620" i="34"/>
  <c r="C1621" i="34"/>
  <c r="C1644" i="34"/>
  <c r="C1645" i="34"/>
  <c r="C1646" i="34"/>
  <c r="C1647" i="34"/>
  <c r="C1648" i="34"/>
  <c r="C1649" i="34"/>
  <c r="C1650" i="34"/>
  <c r="C1651" i="34"/>
  <c r="C1669" i="34"/>
  <c r="C1670" i="34"/>
  <c r="C1671" i="34"/>
  <c r="C1672" i="34"/>
  <c r="C1673" i="34"/>
  <c r="C1674" i="34"/>
  <c r="C1675" i="34"/>
  <c r="C1676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K1143" i="34"/>
  <c r="K1144" i="34"/>
  <c r="K114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222" i="34"/>
  <c r="K1223" i="34"/>
  <c r="K1224" i="34"/>
  <c r="K1225" i="34"/>
  <c r="K1226" i="34"/>
  <c r="K1227" i="34"/>
  <c r="K1228" i="34"/>
  <c r="K1229" i="34"/>
  <c r="K1250" i="34"/>
  <c r="K1251" i="34"/>
  <c r="K1252" i="34"/>
  <c r="K1253" i="34"/>
  <c r="K1254" i="34"/>
  <c r="K1255" i="34"/>
  <c r="K1256" i="34"/>
  <c r="K1257" i="34"/>
  <c r="K1273" i="34"/>
  <c r="K1274" i="34"/>
  <c r="K1275" i="34"/>
  <c r="K1276" i="34"/>
  <c r="K1277" i="34"/>
  <c r="K1288" i="34"/>
  <c r="K1289" i="34"/>
  <c r="K1290" i="34"/>
  <c r="K1296" i="34"/>
  <c r="K1331" i="34"/>
  <c r="K1369" i="34"/>
  <c r="K1370" i="34"/>
  <c r="K1371" i="34"/>
  <c r="K1372" i="34"/>
  <c r="K1373" i="34"/>
  <c r="K1374" i="34"/>
  <c r="K1375" i="34"/>
  <c r="K1376" i="34"/>
  <c r="K1377" i="34"/>
  <c r="K1396" i="34"/>
  <c r="K1397" i="34"/>
  <c r="K1398" i="34"/>
  <c r="K1399" i="34"/>
  <c r="K1400" i="34"/>
  <c r="K1401" i="34"/>
  <c r="K1402" i="34"/>
  <c r="K1403" i="34"/>
  <c r="K1427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84" i="34"/>
  <c r="K1485" i="34"/>
  <c r="K1486" i="34"/>
  <c r="K1487" i="34"/>
  <c r="K1488" i="34"/>
  <c r="K1489" i="34"/>
  <c r="K1490" i="34"/>
  <c r="K1528" i="34"/>
  <c r="K1556" i="34"/>
  <c r="K1557" i="34"/>
  <c r="K1558" i="34"/>
  <c r="K1559" i="34"/>
  <c r="K1560" i="34"/>
  <c r="K1561" i="34"/>
  <c r="K1562" i="34"/>
  <c r="K1563" i="34"/>
  <c r="K1598" i="34"/>
  <c r="K1613" i="34"/>
  <c r="K1614" i="34"/>
  <c r="K1615" i="34"/>
  <c r="K1616" i="34"/>
  <c r="K1617" i="34"/>
  <c r="K1618" i="34"/>
  <c r="K1619" i="34"/>
  <c r="K1620" i="34"/>
  <c r="K1621" i="34"/>
  <c r="K1644" i="34"/>
  <c r="K1645" i="34"/>
  <c r="K1646" i="34"/>
  <c r="K1647" i="34"/>
  <c r="K1648" i="34"/>
  <c r="K1649" i="34"/>
  <c r="K1650" i="34"/>
  <c r="K1651" i="34"/>
  <c r="K1669" i="34"/>
  <c r="K1670" i="34"/>
  <c r="K1671" i="34"/>
  <c r="K1672" i="34"/>
  <c r="K1673" i="34"/>
  <c r="K1674" i="34"/>
  <c r="K1675" i="34"/>
  <c r="K1676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064" i="34"/>
  <c r="K1065" i="34"/>
  <c r="K1066" i="34"/>
  <c r="K1067" i="34"/>
  <c r="K1068" i="34"/>
  <c r="K1069" i="34"/>
  <c r="K1070" i="34"/>
  <c r="K1095" i="34"/>
  <c r="K1096" i="34"/>
  <c r="K1097" i="34"/>
  <c r="K1098" i="34"/>
  <c r="K1099" i="34"/>
  <c r="K1100" i="34"/>
  <c r="K1101" i="34"/>
  <c r="K1102" i="34"/>
  <c r="K1138" i="34"/>
  <c r="K1139" i="34"/>
  <c r="K1140" i="34"/>
  <c r="K1141" i="34"/>
  <c r="K1142" i="34"/>
  <c r="K1063" i="34"/>
  <c r="K1643" i="34"/>
  <c r="U306" i="60"/>
  <c r="S335" i="60" l="1"/>
  <c r="S224" i="60"/>
  <c r="S185" i="60"/>
  <c r="S333" i="60"/>
  <c r="S310" i="60"/>
  <c r="S227" i="60"/>
  <c r="S295" i="60"/>
  <c r="S214" i="60"/>
  <c r="K1594" i="34"/>
  <c r="S337" i="60"/>
  <c r="S331" i="60"/>
  <c r="S328" i="60"/>
  <c r="S293" i="60"/>
  <c r="S259" i="60"/>
  <c r="S307" i="60"/>
  <c r="S279" i="60"/>
  <c r="K1507" i="34"/>
  <c r="K1502" i="34"/>
  <c r="K1221" i="34"/>
  <c r="K1137" i="34"/>
  <c r="K1133" i="34"/>
  <c r="K1119" i="34"/>
  <c r="K1117" i="34"/>
  <c r="K1597" i="34"/>
  <c r="K1596" i="34"/>
  <c r="K1595" i="34"/>
  <c r="K1593" i="34"/>
  <c r="K1592" i="34"/>
  <c r="K1591" i="34"/>
  <c r="K1583" i="34"/>
  <c r="K1582" i="34"/>
  <c r="K1581" i="34"/>
  <c r="K1580" i="34"/>
  <c r="K1579" i="34"/>
  <c r="K1578" i="34"/>
  <c r="K1577" i="34"/>
  <c r="K1576" i="34"/>
  <c r="K1546" i="34"/>
  <c r="K1545" i="34"/>
  <c r="K1544" i="34"/>
  <c r="K1543" i="34"/>
  <c r="K1542" i="34"/>
  <c r="K1541" i="34"/>
  <c r="K1540" i="34"/>
  <c r="K1539" i="34"/>
  <c r="K1521" i="34"/>
  <c r="K1520" i="34"/>
  <c r="K1519" i="34"/>
  <c r="K1518" i="34"/>
  <c r="K1517" i="34"/>
  <c r="K1516" i="34"/>
  <c r="K1515" i="34"/>
  <c r="K1514" i="34"/>
  <c r="K1513" i="34"/>
  <c r="K1512" i="34"/>
  <c r="K1511" i="34"/>
  <c r="K1509" i="34"/>
  <c r="K1508" i="34"/>
  <c r="K1506" i="34"/>
  <c r="K1505" i="34"/>
  <c r="K1504" i="34"/>
  <c r="K1503" i="34"/>
  <c r="K1501" i="34"/>
  <c r="K1422" i="34"/>
  <c r="K1421" i="34"/>
  <c r="K1420" i="34"/>
  <c r="K1419" i="34"/>
  <c r="K1418" i="34"/>
  <c r="K1417" i="34"/>
  <c r="K1416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27" i="34"/>
  <c r="K1326" i="34"/>
  <c r="K1325" i="34"/>
  <c r="K1324" i="34"/>
  <c r="K1323" i="34"/>
  <c r="K1322" i="34"/>
  <c r="K1321" i="34"/>
  <c r="K1320" i="34"/>
  <c r="K1317" i="34"/>
  <c r="K1316" i="34"/>
  <c r="K1315" i="34"/>
  <c r="K1314" i="34"/>
  <c r="K1313" i="34"/>
  <c r="K1312" i="34"/>
  <c r="K1311" i="34"/>
  <c r="K1310" i="34"/>
  <c r="K1309" i="34"/>
  <c r="K1303" i="34"/>
  <c r="K1272" i="34"/>
  <c r="K1249" i="34"/>
  <c r="K1248" i="34"/>
  <c r="K1247" i="34"/>
  <c r="K1220" i="34"/>
  <c r="K1219" i="34"/>
  <c r="K1218" i="34"/>
  <c r="K1217" i="34"/>
  <c r="K1136" i="34"/>
  <c r="K1135" i="34"/>
  <c r="K1134" i="34"/>
  <c r="K1132" i="34"/>
  <c r="K1131" i="34"/>
  <c r="K1130" i="34"/>
  <c r="K1120" i="34"/>
  <c r="K1118" i="34"/>
  <c r="K1116" i="34"/>
  <c r="K1115" i="34"/>
  <c r="K1114" i="34"/>
  <c r="K1113" i="34"/>
  <c r="K1094" i="34"/>
  <c r="K1093" i="34"/>
  <c r="K1092" i="34"/>
  <c r="K1091" i="34"/>
  <c r="K1090" i="34"/>
  <c r="K1089" i="34"/>
  <c r="K1062" i="34"/>
  <c r="K1061" i="34"/>
  <c r="K1060" i="34"/>
  <c r="K1059" i="34"/>
  <c r="K1058" i="34"/>
  <c r="K1057" i="34"/>
  <c r="K1056" i="34"/>
  <c r="K1055" i="34"/>
  <c r="K1054" i="34"/>
  <c r="K1053" i="34"/>
  <c r="K1039" i="34"/>
  <c r="K1038" i="34"/>
  <c r="K1037" i="34"/>
  <c r="K1036" i="34"/>
  <c r="K1035" i="34"/>
  <c r="K1034" i="34"/>
  <c r="K1033" i="34"/>
  <c r="K1032" i="34"/>
  <c r="K1024" i="34"/>
  <c r="K1023" i="34"/>
  <c r="K1022" i="34"/>
  <c r="K1021" i="34"/>
  <c r="K1020" i="34"/>
  <c r="K1019" i="34"/>
  <c r="K1018" i="34"/>
  <c r="K1017" i="34"/>
  <c r="K1016" i="34"/>
  <c r="K1014" i="34"/>
  <c r="K1013" i="34"/>
  <c r="K1012" i="34"/>
  <c r="K1011" i="34"/>
  <c r="K1010" i="34"/>
  <c r="K1009" i="34"/>
  <c r="K726" i="34"/>
  <c r="K725" i="34"/>
  <c r="K724" i="34"/>
  <c r="K723" i="34"/>
  <c r="K722" i="34"/>
  <c r="K721" i="34"/>
  <c r="K720" i="34"/>
  <c r="K709" i="34"/>
  <c r="K708" i="34"/>
  <c r="K707" i="34"/>
  <c r="K706" i="34"/>
  <c r="K705" i="34"/>
  <c r="K682" i="34"/>
  <c r="K681" i="34"/>
  <c r="K680" i="34"/>
  <c r="K679" i="34"/>
  <c r="K678" i="34"/>
  <c r="K677" i="34"/>
  <c r="K676" i="34"/>
  <c r="K675" i="34"/>
  <c r="K674" i="34"/>
  <c r="K663" i="34"/>
  <c r="K662" i="34"/>
  <c r="K661" i="34"/>
  <c r="K660" i="34"/>
  <c r="K659" i="34"/>
  <c r="K658" i="34"/>
  <c r="K657" i="34"/>
  <c r="K656" i="34"/>
  <c r="K655" i="34"/>
  <c r="K652" i="34"/>
  <c r="K651" i="34"/>
  <c r="K649" i="34"/>
  <c r="K648" i="34"/>
  <c r="K647" i="34"/>
  <c r="K646" i="34"/>
  <c r="K645" i="34"/>
  <c r="K644" i="34"/>
  <c r="K632" i="34"/>
  <c r="K631" i="34"/>
  <c r="K630" i="34"/>
  <c r="K629" i="34"/>
  <c r="K628" i="34"/>
  <c r="K627" i="34"/>
  <c r="K626" i="34"/>
  <c r="K625" i="34"/>
  <c r="K624" i="34"/>
  <c r="K606" i="34"/>
  <c r="K605" i="34"/>
  <c r="K604" i="34"/>
  <c r="K603" i="34"/>
  <c r="K602" i="34"/>
  <c r="K601" i="34"/>
  <c r="K600" i="34"/>
  <c r="K599" i="34"/>
  <c r="K598" i="34"/>
  <c r="K572" i="34"/>
  <c r="K571" i="34"/>
  <c r="K570" i="34"/>
  <c r="K569" i="34"/>
  <c r="K568" i="34"/>
  <c r="K567" i="34"/>
  <c r="K566" i="34"/>
  <c r="K565" i="34"/>
  <c r="K564" i="34"/>
  <c r="K539" i="34"/>
  <c r="K538" i="34"/>
  <c r="K537" i="34"/>
  <c r="K536" i="34"/>
  <c r="K535" i="34"/>
  <c r="K534" i="34"/>
  <c r="K533" i="34"/>
  <c r="K532" i="34"/>
  <c r="K531" i="34"/>
  <c r="K504" i="34"/>
  <c r="K503" i="34"/>
  <c r="K502" i="34"/>
  <c r="K501" i="34"/>
  <c r="K500" i="34"/>
  <c r="K499" i="34"/>
  <c r="K498" i="34"/>
  <c r="K497" i="34"/>
  <c r="K496" i="34"/>
  <c r="K322" i="34"/>
  <c r="K321" i="34"/>
  <c r="K320" i="34"/>
  <c r="K319" i="34"/>
  <c r="K318" i="34"/>
  <c r="K317" i="34"/>
  <c r="K316" i="34"/>
  <c r="K315" i="34"/>
  <c r="K227" i="34"/>
  <c r="K226" i="34"/>
  <c r="K225" i="34"/>
  <c r="K224" i="34"/>
  <c r="K223" i="34"/>
  <c r="K222" i="34"/>
  <c r="K221" i="34"/>
  <c r="K220" i="34"/>
  <c r="K219" i="34"/>
  <c r="K204" i="34"/>
  <c r="K203" i="34"/>
  <c r="K202" i="34"/>
  <c r="K201" i="34"/>
  <c r="K200" i="34"/>
  <c r="K199" i="34"/>
  <c r="K198" i="34"/>
  <c r="K197" i="34"/>
  <c r="K196" i="34"/>
  <c r="K192" i="34"/>
  <c r="K191" i="34"/>
  <c r="K190" i="34"/>
  <c r="K189" i="34"/>
  <c r="K188" i="34"/>
  <c r="K187" i="34"/>
  <c r="K186" i="34"/>
  <c r="K185" i="34"/>
  <c r="K184" i="34"/>
  <c r="K178" i="34"/>
  <c r="K177" i="34"/>
  <c r="K176" i="34"/>
  <c r="K175" i="34"/>
  <c r="K174" i="34"/>
  <c r="K173" i="34"/>
  <c r="K172" i="34"/>
  <c r="K171" i="34"/>
  <c r="K170" i="34"/>
  <c r="K162" i="34"/>
  <c r="K161" i="34"/>
  <c r="K160" i="34"/>
  <c r="K159" i="34"/>
  <c r="K158" i="34"/>
  <c r="K157" i="34"/>
  <c r="K156" i="34"/>
  <c r="K155" i="34"/>
  <c r="K151" i="34"/>
  <c r="K150" i="34"/>
  <c r="K149" i="34"/>
  <c r="K148" i="34"/>
  <c r="K147" i="34"/>
  <c r="K146" i="34"/>
  <c r="K145" i="34"/>
  <c r="K144" i="34"/>
  <c r="K143" i="34"/>
  <c r="K125" i="34"/>
  <c r="K124" i="34"/>
  <c r="K123" i="34"/>
  <c r="K122" i="34"/>
  <c r="K121" i="34"/>
  <c r="K120" i="34"/>
  <c r="K119" i="34"/>
  <c r="K118" i="34"/>
  <c r="K117" i="34"/>
  <c r="K114" i="34"/>
  <c r="K113" i="34"/>
  <c r="K112" i="34"/>
  <c r="K111" i="34"/>
  <c r="K110" i="34"/>
  <c r="K109" i="34"/>
  <c r="K108" i="34"/>
  <c r="S232" i="60"/>
  <c r="S315" i="60"/>
  <c r="S277" i="60"/>
  <c r="S257" i="60"/>
  <c r="S244" i="60"/>
  <c r="S321" i="60"/>
  <c r="S286" i="60"/>
  <c r="S216" i="60"/>
  <c r="S332" i="60"/>
  <c r="S285" i="60"/>
  <c r="S283" i="60"/>
  <c r="S233" i="60"/>
  <c r="S228" i="60"/>
  <c r="S213" i="60"/>
  <c r="S242" i="60"/>
  <c r="S230" i="60"/>
  <c r="S218" i="60"/>
  <c r="S217" i="60"/>
  <c r="S215" i="60"/>
  <c r="S320" i="60"/>
  <c r="S276" i="60"/>
  <c r="S240" i="60"/>
  <c r="S236" i="60"/>
  <c r="S231" i="60"/>
  <c r="S229" i="60"/>
  <c r="S209" i="60"/>
  <c r="S281" i="60"/>
  <c r="S245" i="60"/>
  <c r="S210" i="60"/>
  <c r="S208" i="60"/>
  <c r="S325" i="60"/>
  <c r="S319" i="60"/>
  <c r="S278" i="60"/>
  <c r="S258" i="60"/>
  <c r="S256" i="60"/>
  <c r="S255" i="60"/>
  <c r="S211" i="60"/>
  <c r="S197" i="60"/>
  <c r="N22" i="34"/>
  <c r="R22" i="34"/>
  <c r="S22" i="34"/>
  <c r="T22" i="34"/>
  <c r="X22" i="34"/>
  <c r="Y22" i="34"/>
  <c r="K281" i="34" l="1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515" i="34"/>
  <c r="K516" i="34"/>
  <c r="K517" i="34"/>
  <c r="K525" i="34"/>
  <c r="K526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1000" i="34"/>
  <c r="K280" i="34"/>
  <c r="B1000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193" i="60"/>
  <c r="S330" i="60"/>
  <c r="S297" i="60"/>
  <c r="S292" i="60"/>
  <c r="S247" i="60"/>
  <c r="S199" i="60"/>
  <c r="S248" i="60"/>
  <c r="S198" i="60"/>
  <c r="S195" i="60"/>
  <c r="S287" i="60"/>
  <c r="S269" i="60"/>
  <c r="S200" i="60"/>
  <c r="S323" i="60"/>
  <c r="S322" i="60"/>
  <c r="S312" i="60"/>
  <c r="S280" i="60"/>
  <c r="S274" i="60"/>
  <c r="S268" i="60"/>
  <c r="S262" i="60"/>
  <c r="S239" i="60"/>
  <c r="S225" i="60"/>
  <c r="S222" i="60"/>
  <c r="S207" i="60"/>
  <c r="S311" i="60"/>
  <c r="S298" i="60"/>
  <c r="S273" i="60"/>
  <c r="S270" i="60"/>
  <c r="S261" i="60"/>
  <c r="S249" i="60"/>
  <c r="S221" i="60"/>
  <c r="S202" i="60"/>
  <c r="S301" i="60"/>
  <c r="S201" i="60"/>
  <c r="S326" i="60"/>
  <c r="S324" i="60"/>
  <c r="S318" i="60"/>
  <c r="S316" i="60"/>
  <c r="S303" i="60"/>
  <c r="S288" i="60"/>
  <c r="S253" i="60"/>
  <c r="S241" i="60"/>
  <c r="S238" i="60"/>
  <c r="S206" i="60"/>
  <c r="K1640" i="34"/>
  <c r="K1641" i="34"/>
  <c r="K1642" i="34"/>
  <c r="C1010" i="34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1137" i="34"/>
  <c r="B1137" i="34" s="1"/>
  <c r="C1217" i="34"/>
  <c r="B1217" i="34" s="1"/>
  <c r="C1218" i="34"/>
  <c r="B1218" i="34" s="1"/>
  <c r="C1219" i="34"/>
  <c r="B1219" i="34" s="1"/>
  <c r="C1220" i="34"/>
  <c r="B1220" i="34" s="1"/>
  <c r="C1221" i="34"/>
  <c r="B1221" i="34" s="1"/>
  <c r="C1247" i="34"/>
  <c r="B1247" i="34" s="1"/>
  <c r="C1248" i="34"/>
  <c r="B1248" i="34" s="1"/>
  <c r="C1249" i="34"/>
  <c r="B1249" i="34" s="1"/>
  <c r="C1272" i="34"/>
  <c r="B1272" i="34" s="1"/>
  <c r="C1303" i="34"/>
  <c r="B1303" i="34" s="1"/>
  <c r="C1309" i="34"/>
  <c r="B1309" i="34" s="1"/>
  <c r="C1310" i="34"/>
  <c r="B1310" i="34" s="1"/>
  <c r="C1311" i="34"/>
  <c r="B1311" i="34" s="1"/>
  <c r="C1312" i="34"/>
  <c r="B1312" i="34" s="1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1353" i="34"/>
  <c r="B1353" i="34" s="1"/>
  <c r="C1416" i="34"/>
  <c r="B1416" i="34" s="1"/>
  <c r="C1417" i="34"/>
  <c r="B1417" i="34" s="1"/>
  <c r="C1418" i="34"/>
  <c r="B1418" i="34" s="1"/>
  <c r="C1419" i="34"/>
  <c r="B1419" i="34" s="1"/>
  <c r="C1420" i="34"/>
  <c r="B1420" i="34" s="1"/>
  <c r="C1421" i="34"/>
  <c r="B1421" i="34" s="1"/>
  <c r="C1422" i="34"/>
  <c r="B1422" i="34" s="1"/>
  <c r="C1501" i="34"/>
  <c r="B1501" i="34" s="1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1" i="34"/>
  <c r="B1511" i="34" s="1"/>
  <c r="C1512" i="34"/>
  <c r="B1512" i="34" s="1"/>
  <c r="C1513" i="34"/>
  <c r="B1513" i="34" s="1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1539" i="34"/>
  <c r="B1539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640" i="34"/>
  <c r="B1640" i="34" s="1"/>
  <c r="C1641" i="34"/>
  <c r="B1641" i="34" s="1"/>
  <c r="C1642" i="34"/>
  <c r="B1642" i="34" s="1"/>
  <c r="C1009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3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5" i="34"/>
  <c r="B2404" i="34"/>
  <c r="B2403" i="34"/>
  <c r="B2402" i="34"/>
  <c r="B2401" i="34"/>
  <c r="B2355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447" i="34"/>
  <c r="B2446" i="34"/>
  <c r="B2445" i="34"/>
  <c r="B2444" i="34"/>
  <c r="B2443" i="34"/>
  <c r="B2442" i="34"/>
  <c r="B2389" i="34"/>
  <c r="B2388" i="34"/>
  <c r="B2387" i="34"/>
  <c r="B2386" i="34"/>
  <c r="B2385" i="34"/>
  <c r="B2384" i="34"/>
  <c r="B1734" i="34"/>
  <c r="B1749" i="34"/>
  <c r="B1965" i="34"/>
  <c r="B1733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S317" i="60"/>
  <c r="S204" i="60"/>
  <c r="S272" i="60"/>
  <c r="S237" i="60"/>
  <c r="S271" i="60"/>
  <c r="S267" i="60"/>
  <c r="S203" i="60"/>
  <c r="S188" i="60"/>
  <c r="S294" i="60"/>
  <c r="S289" i="60"/>
  <c r="S192" i="60"/>
  <c r="S190" i="60"/>
  <c r="S189" i="60"/>
  <c r="S191" i="60"/>
  <c r="W2805" i="34" l="1"/>
  <c r="U2805" i="34"/>
  <c r="A2805" i="34"/>
  <c r="W2809" i="34"/>
  <c r="U2809" i="34"/>
  <c r="A2809" i="34"/>
  <c r="W2813" i="34"/>
  <c r="U2813" i="34"/>
  <c r="A2813" i="34"/>
  <c r="W2817" i="34"/>
  <c r="U2817" i="34"/>
  <c r="A2817" i="34"/>
  <c r="W2821" i="34"/>
  <c r="U2821" i="34"/>
  <c r="A2821" i="34"/>
  <c r="W2825" i="34"/>
  <c r="U2825" i="34"/>
  <c r="A2825" i="34"/>
  <c r="U1734" i="34"/>
  <c r="W1734" i="34"/>
  <c r="A1734" i="34"/>
  <c r="U2387" i="34"/>
  <c r="W2387" i="34"/>
  <c r="A2387" i="34"/>
  <c r="U2443" i="34"/>
  <c r="W2443" i="34"/>
  <c r="A2443" i="34"/>
  <c r="T2447" i="34"/>
  <c r="U2447" i="34"/>
  <c r="R2447" i="34"/>
  <c r="S2447" i="34"/>
  <c r="W2447" i="34"/>
  <c r="A2447" i="34"/>
  <c r="W2792" i="34"/>
  <c r="U2792" i="34"/>
  <c r="A2792" i="34"/>
  <c r="W2796" i="34"/>
  <c r="U2796" i="34"/>
  <c r="A2796" i="34"/>
  <c r="W2800" i="34"/>
  <c r="U2800" i="34"/>
  <c r="A2800" i="34"/>
  <c r="W2355" i="34"/>
  <c r="U2355" i="34"/>
  <c r="A2355" i="34"/>
  <c r="U2404" i="34"/>
  <c r="W2404" i="34"/>
  <c r="A2404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806" i="34"/>
  <c r="W2806" i="34"/>
  <c r="A2806" i="34"/>
  <c r="U2810" i="34"/>
  <c r="W2810" i="34"/>
  <c r="A2810" i="34"/>
  <c r="U2814" i="34"/>
  <c r="W2814" i="34"/>
  <c r="A2814" i="34"/>
  <c r="U2818" i="34"/>
  <c r="W2818" i="34"/>
  <c r="A2818" i="34"/>
  <c r="U2822" i="34"/>
  <c r="W2822" i="34"/>
  <c r="A2822" i="34"/>
  <c r="U1733" i="34"/>
  <c r="W1733" i="34"/>
  <c r="A1733" i="34"/>
  <c r="W2384" i="34"/>
  <c r="U2384" i="34"/>
  <c r="A2384" i="34"/>
  <c r="W2388" i="34"/>
  <c r="U2388" i="34"/>
  <c r="A2388" i="34"/>
  <c r="W2444" i="34"/>
  <c r="U2444" i="34"/>
  <c r="A2444" i="34"/>
  <c r="W2789" i="34"/>
  <c r="U2789" i="34"/>
  <c r="A2789" i="34"/>
  <c r="W2793" i="34"/>
  <c r="U2793" i="34"/>
  <c r="A2793" i="34"/>
  <c r="W2797" i="34"/>
  <c r="U2797" i="34"/>
  <c r="A2797" i="34"/>
  <c r="W2801" i="34"/>
  <c r="U2801" i="34"/>
  <c r="A2801" i="34"/>
  <c r="U2401" i="34"/>
  <c r="W2401" i="34"/>
  <c r="A2401" i="34"/>
  <c r="U2405" i="34"/>
  <c r="W2405" i="34"/>
  <c r="A2405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7" i="34"/>
  <c r="W2807" i="34"/>
  <c r="A2807" i="34"/>
  <c r="U2811" i="34"/>
  <c r="W2811" i="34"/>
  <c r="A2811" i="34"/>
  <c r="U2815" i="34"/>
  <c r="W2815" i="34"/>
  <c r="A2815" i="34"/>
  <c r="U2819" i="34"/>
  <c r="W2819" i="34"/>
  <c r="A2819" i="34"/>
  <c r="U2823" i="34"/>
  <c r="W2823" i="34"/>
  <c r="A2823" i="34"/>
  <c r="U1965" i="34"/>
  <c r="W1965" i="34"/>
  <c r="A1965" i="34"/>
  <c r="W2385" i="34"/>
  <c r="U2385" i="34"/>
  <c r="A2385" i="34"/>
  <c r="W2389" i="34"/>
  <c r="U2389" i="34"/>
  <c r="A2389" i="34"/>
  <c r="W2445" i="34"/>
  <c r="U2445" i="34"/>
  <c r="A2445" i="34"/>
  <c r="U2790" i="34"/>
  <c r="W2790" i="34"/>
  <c r="A2790" i="34"/>
  <c r="U2794" i="34"/>
  <c r="W2794" i="34"/>
  <c r="A2794" i="34"/>
  <c r="U2798" i="34"/>
  <c r="W2798" i="34"/>
  <c r="A2798" i="34"/>
  <c r="U2802" i="34"/>
  <c r="W2802" i="34"/>
  <c r="A2802" i="34"/>
  <c r="W2402" i="34"/>
  <c r="U2402" i="34"/>
  <c r="A2402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3" i="34"/>
  <c r="W2383" i="34"/>
  <c r="A2383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804" i="34"/>
  <c r="U2804" i="34"/>
  <c r="A2804" i="34"/>
  <c r="W2808" i="34"/>
  <c r="U2808" i="34"/>
  <c r="A2808" i="34"/>
  <c r="W2812" i="34"/>
  <c r="U2812" i="34"/>
  <c r="A2812" i="34"/>
  <c r="W2816" i="34"/>
  <c r="U2816" i="34"/>
  <c r="A2816" i="34"/>
  <c r="W2820" i="34"/>
  <c r="U2820" i="34"/>
  <c r="A2820" i="34"/>
  <c r="W2824" i="34"/>
  <c r="U2824" i="34"/>
  <c r="A2824" i="34"/>
  <c r="U1749" i="34"/>
  <c r="W1749" i="34"/>
  <c r="A1749" i="34"/>
  <c r="U2386" i="34"/>
  <c r="W2386" i="34"/>
  <c r="A2386" i="34"/>
  <c r="U2442" i="34"/>
  <c r="W2442" i="34"/>
  <c r="A2442" i="34"/>
  <c r="U2446" i="34"/>
  <c r="W2446" i="34"/>
  <c r="A2446" i="34"/>
  <c r="U2791" i="34"/>
  <c r="W2791" i="34"/>
  <c r="A2791" i="34"/>
  <c r="U2795" i="34"/>
  <c r="W2795" i="34"/>
  <c r="A2795" i="34"/>
  <c r="U2799" i="34"/>
  <c r="W2799" i="34"/>
  <c r="A2799" i="34"/>
  <c r="U2803" i="34"/>
  <c r="W2803" i="34"/>
  <c r="A2803" i="34"/>
  <c r="W2403" i="34"/>
  <c r="U2403" i="34"/>
  <c r="A2403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1001" i="34"/>
  <c r="C355" i="34"/>
  <c r="C356" i="34"/>
  <c r="C357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518" i="34"/>
  <c r="C519" i="34"/>
  <c r="C520" i="34"/>
  <c r="C527" i="34"/>
  <c r="C528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1001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518" i="34"/>
  <c r="K519" i="34"/>
  <c r="K520" i="34"/>
  <c r="K527" i="34"/>
  <c r="K528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S162" i="60" l="1"/>
  <c r="S154" i="60"/>
  <c r="S147" i="60"/>
  <c r="S133" i="60"/>
  <c r="S117" i="60"/>
  <c r="S113" i="60"/>
  <c r="S96" i="60"/>
  <c r="S95" i="60"/>
  <c r="S132" i="60"/>
  <c r="S129" i="60"/>
  <c r="S134" i="60"/>
  <c r="S98" i="60"/>
  <c r="S130" i="60"/>
  <c r="S128" i="60"/>
  <c r="S125" i="60"/>
  <c r="S122" i="60"/>
  <c r="S120" i="60"/>
  <c r="S106" i="60"/>
  <c r="S97" i="60"/>
  <c r="S118" i="60"/>
  <c r="S114" i="60"/>
  <c r="S155" i="60"/>
  <c r="S148" i="60"/>
  <c r="S102" i="60"/>
  <c r="S163" i="60"/>
  <c r="S127" i="60"/>
  <c r="S121" i="60"/>
  <c r="S111" i="60"/>
  <c r="S110" i="60"/>
  <c r="S165" i="60"/>
  <c r="S136" i="60"/>
  <c r="S126" i="60"/>
  <c r="S104" i="60"/>
  <c r="S169" i="60"/>
  <c r="S166" i="60"/>
  <c r="S164" i="60"/>
  <c r="S161" i="60"/>
  <c r="S119" i="60"/>
  <c r="S107" i="60"/>
  <c r="S87" i="60"/>
  <c r="S86" i="60"/>
  <c r="S75" i="60"/>
  <c r="S69" i="60"/>
  <c r="S51" i="60"/>
  <c r="S28" i="60"/>
  <c r="S143" i="60"/>
  <c r="S131" i="60"/>
  <c r="S123" i="60"/>
  <c r="S105" i="60"/>
  <c r="S144" i="60"/>
  <c r="S158" i="60"/>
  <c r="S141" i="60"/>
  <c r="S140" i="60"/>
  <c r="S137" i="60"/>
  <c r="S115" i="60"/>
  <c r="S109" i="60"/>
  <c r="S108" i="60"/>
  <c r="S152" i="60"/>
  <c r="S124" i="60"/>
  <c r="S103" i="60"/>
  <c r="S100" i="60"/>
  <c r="S99" i="60"/>
  <c r="U99" i="60" s="1"/>
  <c r="C564" i="34"/>
  <c r="C565" i="34"/>
  <c r="C566" i="34"/>
  <c r="C567" i="34"/>
  <c r="C568" i="34"/>
  <c r="C569" i="34"/>
  <c r="C570" i="34"/>
  <c r="C571" i="34"/>
  <c r="C572" i="34"/>
  <c r="C598" i="34"/>
  <c r="C599" i="34"/>
  <c r="C600" i="34"/>
  <c r="C601" i="34"/>
  <c r="C602" i="34"/>
  <c r="C603" i="34"/>
  <c r="C604" i="34"/>
  <c r="C605" i="34"/>
  <c r="C606" i="34"/>
  <c r="C624" i="34"/>
  <c r="C625" i="34"/>
  <c r="C626" i="34"/>
  <c r="C627" i="34"/>
  <c r="C628" i="34"/>
  <c r="C629" i="34"/>
  <c r="C630" i="34"/>
  <c r="C631" i="34"/>
  <c r="C632" i="34"/>
  <c r="C644" i="34"/>
  <c r="C645" i="34"/>
  <c r="C646" i="34"/>
  <c r="C647" i="34"/>
  <c r="C648" i="34"/>
  <c r="C649" i="34"/>
  <c r="C650" i="34"/>
  <c r="C651" i="34"/>
  <c r="C652" i="34"/>
  <c r="C655" i="34"/>
  <c r="C656" i="34"/>
  <c r="C657" i="34"/>
  <c r="C658" i="34"/>
  <c r="C659" i="34"/>
  <c r="C660" i="34"/>
  <c r="C661" i="34"/>
  <c r="C662" i="34"/>
  <c r="C663" i="34"/>
  <c r="C674" i="34"/>
  <c r="C675" i="34"/>
  <c r="C676" i="34"/>
  <c r="C677" i="34"/>
  <c r="C678" i="34"/>
  <c r="C679" i="34"/>
  <c r="C680" i="34"/>
  <c r="C681" i="34"/>
  <c r="C682" i="34"/>
  <c r="C705" i="34"/>
  <c r="C706" i="34"/>
  <c r="C707" i="34"/>
  <c r="C708" i="34"/>
  <c r="C709" i="34"/>
  <c r="C720" i="34"/>
  <c r="C721" i="34"/>
  <c r="C722" i="34"/>
  <c r="C723" i="34"/>
  <c r="C724" i="34"/>
  <c r="C725" i="34"/>
  <c r="C726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1" i="34"/>
  <c r="C342" i="34"/>
  <c r="C343" i="34"/>
  <c r="C344" i="34"/>
  <c r="C345" i="34"/>
  <c r="C346" i="34"/>
  <c r="C347" i="34"/>
  <c r="C348" i="34"/>
  <c r="C349" i="34"/>
  <c r="C350" i="34"/>
  <c r="C351" i="34"/>
  <c r="C352" i="34"/>
  <c r="C353" i="34"/>
  <c r="C354" i="34"/>
  <c r="C743" i="34" l="1"/>
  <c r="K742" i="34"/>
  <c r="C742" i="34"/>
  <c r="K741" i="34"/>
  <c r="C741" i="34"/>
  <c r="C740" i="34"/>
  <c r="K739" i="34"/>
  <c r="C739" i="34"/>
  <c r="K738" i="34"/>
  <c r="C738" i="34"/>
  <c r="K737" i="34"/>
  <c r="C737" i="34"/>
  <c r="K736" i="34"/>
  <c r="C736" i="34"/>
  <c r="C735" i="34"/>
  <c r="K734" i="34"/>
  <c r="C734" i="34"/>
  <c r="K733" i="34"/>
  <c r="C733" i="34"/>
  <c r="K732" i="34"/>
  <c r="C732" i="34"/>
  <c r="K731" i="34"/>
  <c r="C731" i="34"/>
  <c r="K730" i="34"/>
  <c r="C730" i="34"/>
  <c r="K729" i="34"/>
  <c r="C729" i="34"/>
  <c r="K728" i="34"/>
  <c r="C728" i="34"/>
  <c r="K727" i="34"/>
  <c r="C727" i="34"/>
  <c r="C719" i="34"/>
  <c r="K718" i="34"/>
  <c r="C718" i="34"/>
  <c r="K717" i="34"/>
  <c r="C717" i="34"/>
  <c r="K716" i="34"/>
  <c r="C716" i="34"/>
  <c r="K715" i="34"/>
  <c r="C715" i="34"/>
  <c r="K714" i="34"/>
  <c r="C714" i="34"/>
  <c r="K713" i="34"/>
  <c r="C713" i="34"/>
  <c r="K712" i="34"/>
  <c r="C712" i="34"/>
  <c r="K711" i="34"/>
  <c r="C711" i="34"/>
  <c r="K710" i="34"/>
  <c r="C710" i="34"/>
  <c r="C704" i="34"/>
  <c r="K703" i="34"/>
  <c r="C703" i="34"/>
  <c r="K702" i="34"/>
  <c r="C702" i="34"/>
  <c r="K701" i="34"/>
  <c r="C701" i="34"/>
  <c r="K700" i="34"/>
  <c r="C700" i="34"/>
  <c r="K699" i="34"/>
  <c r="C699" i="34"/>
  <c r="K698" i="34"/>
  <c r="C698" i="34"/>
  <c r="K697" i="34"/>
  <c r="C697" i="34"/>
  <c r="K696" i="34"/>
  <c r="C696" i="34"/>
  <c r="K695" i="34"/>
  <c r="C695" i="34"/>
  <c r="C693" i="34"/>
  <c r="K692" i="34"/>
  <c r="C692" i="34"/>
  <c r="K691" i="34"/>
  <c r="C691" i="34"/>
  <c r="K690" i="34"/>
  <c r="C690" i="34"/>
  <c r="K689" i="34"/>
  <c r="C689" i="34"/>
  <c r="K688" i="34"/>
  <c r="C688" i="34"/>
  <c r="C687" i="34"/>
  <c r="K686" i="34"/>
  <c r="C686" i="34"/>
  <c r="K685" i="34"/>
  <c r="C685" i="34"/>
  <c r="K684" i="34"/>
  <c r="C684" i="34"/>
  <c r="C673" i="34"/>
  <c r="K672" i="34"/>
  <c r="C672" i="34"/>
  <c r="K671" i="34"/>
  <c r="C671" i="34"/>
  <c r="K670" i="34"/>
  <c r="C670" i="34"/>
  <c r="K669" i="34"/>
  <c r="C669" i="34"/>
  <c r="K668" i="34"/>
  <c r="C668" i="34"/>
  <c r="K667" i="34"/>
  <c r="C667" i="34"/>
  <c r="K666" i="34"/>
  <c r="C666" i="34"/>
  <c r="K665" i="34"/>
  <c r="C665" i="34"/>
  <c r="C643" i="34"/>
  <c r="K642" i="34"/>
  <c r="C642" i="34"/>
  <c r="K641" i="34"/>
  <c r="C641" i="34"/>
  <c r="K640" i="34"/>
  <c r="C640" i="34"/>
  <c r="K639" i="34"/>
  <c r="C639" i="34"/>
  <c r="K638" i="34"/>
  <c r="C638" i="34"/>
  <c r="K637" i="34"/>
  <c r="C637" i="34"/>
  <c r="C616" i="34"/>
  <c r="K615" i="34"/>
  <c r="C615" i="34"/>
  <c r="K614" i="34"/>
  <c r="C614" i="34"/>
  <c r="K613" i="34"/>
  <c r="C613" i="34"/>
  <c r="C597" i="34"/>
  <c r="K596" i="34"/>
  <c r="C596" i="34"/>
  <c r="K595" i="34"/>
  <c r="C595" i="34"/>
  <c r="K594" i="34"/>
  <c r="C594" i="34"/>
  <c r="K593" i="34"/>
  <c r="C593" i="34"/>
  <c r="C590" i="34"/>
  <c r="K589" i="34"/>
  <c r="C589" i="34"/>
  <c r="K588" i="34"/>
  <c r="C588" i="34"/>
  <c r="K587" i="34"/>
  <c r="C587" i="34"/>
  <c r="K586" i="34"/>
  <c r="C586" i="34"/>
  <c r="K585" i="34"/>
  <c r="C585" i="34"/>
  <c r="K584" i="34"/>
  <c r="C584" i="34"/>
  <c r="C580" i="34"/>
  <c r="K579" i="34"/>
  <c r="C579" i="34"/>
  <c r="K578" i="34"/>
  <c r="C578" i="34"/>
  <c r="K577" i="34"/>
  <c r="C577" i="34"/>
  <c r="K576" i="34"/>
  <c r="C576" i="34"/>
  <c r="C574" i="34"/>
  <c r="K573" i="34"/>
  <c r="C573" i="34"/>
  <c r="C563" i="34"/>
  <c r="K562" i="34"/>
  <c r="C562" i="34"/>
  <c r="K561" i="34"/>
  <c r="C561" i="34"/>
  <c r="C559" i="34"/>
  <c r="K558" i="34"/>
  <c r="C558" i="34"/>
  <c r="K557" i="34"/>
  <c r="C557" i="34"/>
  <c r="K556" i="34"/>
  <c r="C556" i="34"/>
  <c r="K555" i="34"/>
  <c r="C555" i="34"/>
  <c r="K554" i="34"/>
  <c r="C554" i="34"/>
  <c r="K553" i="34"/>
  <c r="C553" i="34"/>
  <c r="K552" i="34"/>
  <c r="C552" i="34"/>
  <c r="C550" i="34"/>
  <c r="K549" i="34"/>
  <c r="C549" i="34"/>
  <c r="K548" i="34"/>
  <c r="C548" i="34"/>
  <c r="K547" i="34"/>
  <c r="C547" i="34"/>
  <c r="K546" i="34"/>
  <c r="C546" i="34"/>
  <c r="K545" i="34"/>
  <c r="C545" i="34"/>
  <c r="S78" i="60" l="1"/>
  <c r="S77" i="60"/>
  <c r="S76" i="60"/>
  <c r="S17" i="60"/>
  <c r="S80" i="60"/>
  <c r="S79" i="60"/>
  <c r="S70" i="60"/>
  <c r="S29" i="60"/>
  <c r="S22" i="60"/>
  <c r="S24" i="60"/>
  <c r="S32" i="60"/>
  <c r="S31" i="60"/>
  <c r="S27" i="60"/>
  <c r="S12" i="60"/>
  <c r="S54" i="60"/>
  <c r="S23" i="60"/>
  <c r="S10" i="60"/>
  <c r="S30" i="60"/>
  <c r="S49" i="60"/>
  <c r="S60" i="60"/>
  <c r="S83" i="60"/>
  <c r="S56" i="60"/>
  <c r="S55" i="60"/>
  <c r="S81" i="60"/>
  <c r="S67" i="60"/>
  <c r="S52" i="60"/>
  <c r="S47" i="60"/>
  <c r="S46" i="60"/>
  <c r="S45" i="60"/>
  <c r="S37" i="60"/>
  <c r="S58" i="60"/>
  <c r="S57" i="60"/>
  <c r="S88" i="60"/>
  <c r="S84" i="60"/>
  <c r="S20" i="60"/>
  <c r="S21" i="60"/>
  <c r="S66" i="60"/>
  <c r="S65" i="60"/>
  <c r="S64" i="60"/>
  <c r="S35" i="60"/>
  <c r="S34" i="60"/>
  <c r="S15" i="60"/>
  <c r="S48" i="60"/>
  <c r="S26" i="60"/>
  <c r="S40" i="60"/>
  <c r="S63" i="60"/>
  <c r="S62" i="60"/>
  <c r="S50" i="60"/>
  <c r="C106" i="34"/>
  <c r="C107" i="34"/>
  <c r="C108" i="34"/>
  <c r="C109" i="34"/>
  <c r="C110" i="34"/>
  <c r="C111" i="34"/>
  <c r="C112" i="34"/>
  <c r="C113" i="34"/>
  <c r="C114" i="34"/>
  <c r="C117" i="34"/>
  <c r="C118" i="34"/>
  <c r="C119" i="34"/>
  <c r="C120" i="34"/>
  <c r="C121" i="34"/>
  <c r="C122" i="34"/>
  <c r="C123" i="34"/>
  <c r="C124" i="34"/>
  <c r="C125" i="34"/>
  <c r="C143" i="34"/>
  <c r="C144" i="34"/>
  <c r="C145" i="34"/>
  <c r="C146" i="34"/>
  <c r="C147" i="34"/>
  <c r="C148" i="34"/>
  <c r="C149" i="34"/>
  <c r="C150" i="34"/>
  <c r="C151" i="34"/>
  <c r="C155" i="34"/>
  <c r="C156" i="34"/>
  <c r="C157" i="34"/>
  <c r="C158" i="34"/>
  <c r="C159" i="34"/>
  <c r="C160" i="34"/>
  <c r="C161" i="34"/>
  <c r="C162" i="34"/>
  <c r="C170" i="34"/>
  <c r="C171" i="34"/>
  <c r="C172" i="34"/>
  <c r="C173" i="34"/>
  <c r="C174" i="34"/>
  <c r="C175" i="34"/>
  <c r="C176" i="34"/>
  <c r="C177" i="34"/>
  <c r="C178" i="34"/>
  <c r="C184" i="34"/>
  <c r="C185" i="34"/>
  <c r="C186" i="34"/>
  <c r="C187" i="34"/>
  <c r="C188" i="34"/>
  <c r="C189" i="34"/>
  <c r="C190" i="34"/>
  <c r="C191" i="34"/>
  <c r="C192" i="34"/>
  <c r="C196" i="34"/>
  <c r="C197" i="34"/>
  <c r="C198" i="34"/>
  <c r="C199" i="34"/>
  <c r="C200" i="34"/>
  <c r="C201" i="34"/>
  <c r="C202" i="34"/>
  <c r="C203" i="34"/>
  <c r="C204" i="34"/>
  <c r="C219" i="34"/>
  <c r="C220" i="34"/>
  <c r="C221" i="34"/>
  <c r="C222" i="34"/>
  <c r="C223" i="34"/>
  <c r="C224" i="34"/>
  <c r="C225" i="34"/>
  <c r="C226" i="34"/>
  <c r="C227" i="34"/>
  <c r="C315" i="34"/>
  <c r="C316" i="34"/>
  <c r="C317" i="34"/>
  <c r="C318" i="34"/>
  <c r="C319" i="34"/>
  <c r="C320" i="34"/>
  <c r="C321" i="34"/>
  <c r="C322" i="34"/>
  <c r="C496" i="34"/>
  <c r="C497" i="34"/>
  <c r="C498" i="34"/>
  <c r="C499" i="34"/>
  <c r="C500" i="34"/>
  <c r="C501" i="34"/>
  <c r="C502" i="34"/>
  <c r="C503" i="34"/>
  <c r="C504" i="34"/>
  <c r="C531" i="34"/>
  <c r="C532" i="34"/>
  <c r="C533" i="34"/>
  <c r="C534" i="34"/>
  <c r="C535" i="34"/>
  <c r="C536" i="34"/>
  <c r="C537" i="34"/>
  <c r="C538" i="34"/>
  <c r="C539" i="34"/>
  <c r="K107" i="34"/>
  <c r="K323" i="34"/>
  <c r="K106" i="34"/>
  <c r="S53" i="60"/>
  <c r="S42" i="60"/>
  <c r="S33" i="60"/>
  <c r="S19" i="60"/>
  <c r="S18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150" i="55"/>
  <c r="E150" i="55"/>
  <c r="U275" i="60"/>
  <c r="C275" i="60" s="1"/>
  <c r="U244" i="60"/>
  <c r="C244" i="60" s="1"/>
  <c r="U299" i="60"/>
  <c r="C299" i="60" s="1"/>
  <c r="U263" i="60"/>
  <c r="C263" i="60" s="1"/>
  <c r="U250" i="60"/>
  <c r="C250" i="60" s="1"/>
  <c r="U334" i="60"/>
  <c r="C334" i="60" s="1"/>
  <c r="U310" i="60"/>
  <c r="C310" i="60" s="1"/>
  <c r="U278" i="60"/>
  <c r="C278" i="60" s="1"/>
  <c r="U319" i="60"/>
  <c r="C319" i="60" s="1"/>
  <c r="U331" i="60"/>
  <c r="C331" i="60" s="1"/>
  <c r="U321" i="60"/>
  <c r="C321" i="60" s="1"/>
  <c r="U230" i="60"/>
  <c r="C230" i="60" s="1"/>
  <c r="U300" i="60"/>
  <c r="C300" i="60" s="1"/>
  <c r="U197" i="60"/>
  <c r="C197" i="60" s="1"/>
  <c r="U307" i="60"/>
  <c r="C307" i="60" s="1"/>
  <c r="U329" i="60"/>
  <c r="C329" i="60" s="1"/>
  <c r="U252" i="60"/>
  <c r="C252" i="60" s="1"/>
  <c r="U286" i="60"/>
  <c r="C286" i="60" s="1"/>
  <c r="U279" i="60"/>
  <c r="C279" i="60" s="1"/>
  <c r="U259" i="60"/>
  <c r="C259" i="60" s="1"/>
  <c r="U226" i="60"/>
  <c r="C226" i="60" s="1"/>
  <c r="U285" i="60"/>
  <c r="C285" i="60" s="1"/>
  <c r="U258" i="60"/>
  <c r="C258" i="60" s="1"/>
  <c r="U233" i="60"/>
  <c r="C233" i="60" s="1"/>
  <c r="U213" i="60"/>
  <c r="C213" i="60" s="1"/>
  <c r="U284" i="60"/>
  <c r="C284" i="60" s="1"/>
  <c r="U196" i="60"/>
  <c r="C196" i="60" s="1"/>
  <c r="U297" i="60"/>
  <c r="C297" i="60" s="1"/>
  <c r="U292" i="60"/>
  <c r="C292" i="60" s="1"/>
  <c r="U277" i="60"/>
  <c r="C277" i="60" s="1"/>
  <c r="U207" i="60"/>
  <c r="C207" i="60" s="1"/>
  <c r="U234" i="60"/>
  <c r="C234" i="60" s="1"/>
  <c r="U198" i="60"/>
  <c r="C198" i="60" s="1"/>
  <c r="U311" i="60"/>
  <c r="C311" i="60" s="1"/>
  <c r="U288" i="60"/>
  <c r="C288" i="60" s="1"/>
  <c r="U270" i="60"/>
  <c r="C270" i="60" s="1"/>
  <c r="U221" i="60"/>
  <c r="C221" i="60" s="1"/>
  <c r="U202" i="60"/>
  <c r="C202" i="60" s="1"/>
  <c r="K617" i="34"/>
  <c r="K217" i="34"/>
  <c r="K216" i="34"/>
  <c r="K215" i="34"/>
  <c r="K214" i="34"/>
  <c r="K213" i="34"/>
  <c r="K212" i="34"/>
  <c r="K211" i="34"/>
  <c r="K209" i="34"/>
  <c r="K208" i="34"/>
  <c r="K207" i="34"/>
  <c r="K206" i="34"/>
  <c r="K182" i="34"/>
  <c r="K168" i="34"/>
  <c r="K167" i="34"/>
  <c r="K166" i="34"/>
  <c r="K139" i="34"/>
  <c r="K138" i="34"/>
  <c r="K137" i="34"/>
  <c r="K135" i="34"/>
  <c r="K134" i="34"/>
  <c r="K133" i="34"/>
  <c r="K132" i="34"/>
  <c r="K131" i="34"/>
  <c r="K102" i="34"/>
  <c r="K97" i="34"/>
  <c r="K96" i="34"/>
  <c r="K95" i="34"/>
  <c r="K94" i="34"/>
  <c r="K93" i="34"/>
  <c r="K91" i="34"/>
  <c r="K90" i="34"/>
  <c r="K87" i="34"/>
  <c r="K86" i="34"/>
  <c r="K85" i="34"/>
  <c r="K84" i="34"/>
  <c r="K83" i="34"/>
  <c r="K82" i="34"/>
  <c r="K72" i="34"/>
  <c r="K71" i="34"/>
  <c r="K70" i="34"/>
  <c r="K63" i="34"/>
  <c r="K58" i="34"/>
  <c r="K56" i="34"/>
  <c r="K50" i="34"/>
  <c r="K49" i="34"/>
  <c r="K48" i="34"/>
  <c r="U326" i="60"/>
  <c r="C326" i="60" s="1"/>
  <c r="U324" i="60"/>
  <c r="C324" i="60" s="1"/>
  <c r="U318" i="60"/>
  <c r="C318" i="60" s="1"/>
  <c r="U316" i="60"/>
  <c r="C316" i="60" s="1"/>
  <c r="U303" i="60"/>
  <c r="C303" i="60" s="1"/>
  <c r="U302" i="60"/>
  <c r="C302" i="60" s="1"/>
  <c r="U253" i="60"/>
  <c r="C253" i="60" s="1"/>
  <c r="U241" i="60"/>
  <c r="C241" i="60" s="1"/>
  <c r="U238" i="60"/>
  <c r="C238" i="60" s="1"/>
  <c r="U206" i="60"/>
  <c r="C206" i="60" s="1"/>
  <c r="U317" i="60"/>
  <c r="C317" i="60" s="1"/>
  <c r="U204" i="60"/>
  <c r="C204" i="60" s="1"/>
  <c r="U191" i="60"/>
  <c r="C191" i="60" s="1"/>
  <c r="U272" i="60"/>
  <c r="C272" i="60" s="1"/>
  <c r="U237" i="60"/>
  <c r="C237" i="60" s="1"/>
  <c r="U271" i="60"/>
  <c r="C271" i="60" s="1"/>
  <c r="U267" i="60"/>
  <c r="C267" i="60" s="1"/>
  <c r="U235" i="60"/>
  <c r="C235" i="60" s="1"/>
  <c r="U203" i="60"/>
  <c r="C203" i="60" s="1"/>
  <c r="U189" i="60"/>
  <c r="C189" i="60" s="1"/>
  <c r="U289" i="60"/>
  <c r="C289" i="60" s="1"/>
  <c r="U294" i="60"/>
  <c r="C294" i="60" s="1"/>
  <c r="U290" i="60"/>
  <c r="C290" i="60" s="1"/>
  <c r="U192" i="60"/>
  <c r="C192" i="60" s="1"/>
  <c r="U190" i="60"/>
  <c r="C190" i="60" s="1"/>
  <c r="U296" i="60"/>
  <c r="C296" i="60" s="1"/>
  <c r="U193" i="60"/>
  <c r="C193" i="60" s="1"/>
  <c r="U194" i="60"/>
  <c r="C194" i="60" s="1"/>
  <c r="U195" i="60"/>
  <c r="C195" i="60" s="1"/>
  <c r="U199" i="60"/>
  <c r="C199" i="60" s="1"/>
  <c r="U200" i="60"/>
  <c r="C200" i="60" s="1"/>
  <c r="U201" i="60"/>
  <c r="C201" i="60" s="1"/>
  <c r="U205" i="60"/>
  <c r="C205" i="60" s="1"/>
  <c r="U208" i="60"/>
  <c r="C208" i="60" s="1"/>
  <c r="U209" i="60"/>
  <c r="C209" i="60" s="1"/>
  <c r="U210" i="60"/>
  <c r="C210" i="60" s="1"/>
  <c r="U211" i="60"/>
  <c r="C211" i="60" s="1"/>
  <c r="U212" i="60"/>
  <c r="C212" i="60" s="1"/>
  <c r="U214" i="60"/>
  <c r="C214" i="60" s="1"/>
  <c r="U215" i="60"/>
  <c r="C215" i="60" s="1"/>
  <c r="U216" i="60"/>
  <c r="C216" i="60" s="1"/>
  <c r="U217" i="60"/>
  <c r="C217" i="60" s="1"/>
  <c r="U218" i="60"/>
  <c r="C218" i="60" s="1"/>
  <c r="U219" i="60"/>
  <c r="C219" i="60" s="1"/>
  <c r="U220" i="60"/>
  <c r="C220" i="60" s="1"/>
  <c r="U222" i="60"/>
  <c r="C222" i="60" s="1"/>
  <c r="U223" i="60"/>
  <c r="C223" i="60" s="1"/>
  <c r="U224" i="60"/>
  <c r="C224" i="60" s="1"/>
  <c r="U225" i="60"/>
  <c r="C225" i="60" s="1"/>
  <c r="U227" i="60"/>
  <c r="C227" i="60" s="1"/>
  <c r="U228" i="60"/>
  <c r="C228" i="60" s="1"/>
  <c r="U229" i="60"/>
  <c r="C229" i="60" s="1"/>
  <c r="U231" i="60"/>
  <c r="C231" i="60" s="1"/>
  <c r="U232" i="60"/>
  <c r="C232" i="60" s="1"/>
  <c r="U236" i="60"/>
  <c r="C236" i="60" s="1"/>
  <c r="U239" i="60"/>
  <c r="C239" i="60" s="1"/>
  <c r="U240" i="60"/>
  <c r="C240" i="60" s="1"/>
  <c r="U242" i="60"/>
  <c r="C242" i="60" s="1"/>
  <c r="U243" i="60"/>
  <c r="C243" i="60" s="1"/>
  <c r="U245" i="60"/>
  <c r="C245" i="60" s="1"/>
  <c r="U246" i="60"/>
  <c r="C246" i="60" s="1"/>
  <c r="U247" i="60"/>
  <c r="C247" i="60" s="1"/>
  <c r="U248" i="60"/>
  <c r="C248" i="60" s="1"/>
  <c r="U249" i="60"/>
  <c r="C249" i="60" s="1"/>
  <c r="U251" i="60"/>
  <c r="C251" i="60" s="1"/>
  <c r="U254" i="60"/>
  <c r="C254" i="60" s="1"/>
  <c r="U255" i="60"/>
  <c r="C255" i="60" s="1"/>
  <c r="U256" i="60"/>
  <c r="C256" i="60" s="1"/>
  <c r="U257" i="60"/>
  <c r="C257" i="60" s="1"/>
  <c r="U260" i="60"/>
  <c r="C260" i="60" s="1"/>
  <c r="U261" i="60"/>
  <c r="C261" i="60" s="1"/>
  <c r="U262" i="60"/>
  <c r="C262" i="60" s="1"/>
  <c r="U264" i="60"/>
  <c r="C264" i="60" s="1"/>
  <c r="U265" i="60"/>
  <c r="C265" i="60" s="1"/>
  <c r="U266" i="60"/>
  <c r="C266" i="60" s="1"/>
  <c r="U268" i="60"/>
  <c r="C268" i="60" s="1"/>
  <c r="U269" i="60"/>
  <c r="C269" i="60" s="1"/>
  <c r="U273" i="60"/>
  <c r="C273" i="60" s="1"/>
  <c r="U274" i="60"/>
  <c r="C274" i="60" s="1"/>
  <c r="U276" i="60"/>
  <c r="C276" i="60" s="1"/>
  <c r="U280" i="60"/>
  <c r="C280" i="60" s="1"/>
  <c r="U281" i="60"/>
  <c r="C281" i="60" s="1"/>
  <c r="U282" i="60"/>
  <c r="C282" i="60" s="1"/>
  <c r="U283" i="60"/>
  <c r="C283" i="60" s="1"/>
  <c r="U287" i="60"/>
  <c r="C287" i="60" s="1"/>
  <c r="U291" i="60"/>
  <c r="C291" i="60" s="1"/>
  <c r="U293" i="60"/>
  <c r="C293" i="60" s="1"/>
  <c r="U295" i="60"/>
  <c r="C295" i="60" s="1"/>
  <c r="U298" i="60"/>
  <c r="C298" i="60" s="1"/>
  <c r="U301" i="60"/>
  <c r="C301" i="60" s="1"/>
  <c r="U304" i="60"/>
  <c r="C304" i="60" s="1"/>
  <c r="U305" i="60"/>
  <c r="C305" i="60" s="1"/>
  <c r="U308" i="60"/>
  <c r="C308" i="60" s="1"/>
  <c r="U309" i="60"/>
  <c r="C309" i="60" s="1"/>
  <c r="U312" i="60"/>
  <c r="C312" i="60" s="1"/>
  <c r="U313" i="60"/>
  <c r="C313" i="60" s="1"/>
  <c r="U314" i="60"/>
  <c r="C314" i="60" s="1"/>
  <c r="U315" i="60"/>
  <c r="C315" i="60" s="1"/>
  <c r="U320" i="60"/>
  <c r="C320" i="60" s="1"/>
  <c r="U322" i="60"/>
  <c r="C322" i="60" s="1"/>
  <c r="U323" i="60"/>
  <c r="C323" i="60" s="1"/>
  <c r="U325" i="60"/>
  <c r="C325" i="60" s="1"/>
  <c r="U327" i="60"/>
  <c r="C327" i="60" s="1"/>
  <c r="U328" i="60"/>
  <c r="C328" i="60" s="1"/>
  <c r="U330" i="60"/>
  <c r="C330" i="60" s="1"/>
  <c r="U332" i="60"/>
  <c r="C332" i="60" s="1"/>
  <c r="U333" i="60"/>
  <c r="C333" i="60" s="1"/>
  <c r="U335" i="60"/>
  <c r="C335" i="60" s="1"/>
  <c r="U336" i="60"/>
  <c r="C336" i="60" s="1"/>
  <c r="U337" i="60"/>
  <c r="C337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C181" i="34"/>
  <c r="C575" i="34"/>
  <c r="B575" i="34" s="1"/>
  <c r="C551" i="34"/>
  <c r="B551" i="34" s="1"/>
  <c r="C69" i="34"/>
  <c r="B69" i="34" s="1"/>
  <c r="C66" i="34"/>
  <c r="B66" i="34" s="1"/>
  <c r="C62" i="34"/>
  <c r="B62" i="34" s="1"/>
  <c r="C126" i="34"/>
  <c r="B126" i="34" s="1"/>
  <c r="C165" i="34"/>
  <c r="B165" i="34" s="1"/>
  <c r="C583" i="34"/>
  <c r="B583" i="34" s="1"/>
  <c r="C683" i="34"/>
  <c r="B683" i="34" s="1"/>
  <c r="I7" i="12"/>
  <c r="I8" i="12"/>
  <c r="I9" i="12"/>
  <c r="I10" i="12"/>
  <c r="I11" i="12"/>
  <c r="I12" i="12"/>
  <c r="I13" i="12"/>
  <c r="I14" i="12"/>
  <c r="I15" i="12"/>
  <c r="I6" i="12"/>
  <c r="U583" i="34" l="1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U117" i="34" l="1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W1575" i="34" l="1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C60" i="34"/>
  <c r="B60" i="34" s="1"/>
  <c r="C61" i="34"/>
  <c r="B61" i="34" s="1"/>
  <c r="C89" i="34"/>
  <c r="B89" i="34" s="1"/>
  <c r="K60" i="34"/>
  <c r="K61" i="34"/>
  <c r="K89" i="34"/>
  <c r="Z10" i="60"/>
  <c r="Z9" i="60"/>
  <c r="C996" i="34"/>
  <c r="B996" i="34" s="1"/>
  <c r="C507" i="34"/>
  <c r="B507" i="34" s="1"/>
  <c r="U996" i="34" l="1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94" i="60"/>
  <c r="C94" i="60" s="1"/>
  <c r="U93" i="60"/>
  <c r="C93" i="60" s="1"/>
  <c r="U92" i="60"/>
  <c r="C92" i="60" s="1"/>
  <c r="U91" i="60"/>
  <c r="C91" i="60" s="1"/>
  <c r="U8" i="60"/>
  <c r="C8" i="60" s="1"/>
  <c r="C993" i="34"/>
  <c r="C992" i="34"/>
  <c r="C991" i="34"/>
  <c r="C694" i="34"/>
  <c r="C664" i="34"/>
  <c r="C654" i="34"/>
  <c r="C653" i="34"/>
  <c r="C636" i="34"/>
  <c r="C635" i="34"/>
  <c r="C634" i="34"/>
  <c r="C633" i="34"/>
  <c r="C621" i="34"/>
  <c r="K620" i="34"/>
  <c r="C620" i="34"/>
  <c r="C623" i="34"/>
  <c r="C622" i="34"/>
  <c r="C619" i="34"/>
  <c r="C610" i="34"/>
  <c r="C618" i="34"/>
  <c r="C617" i="34"/>
  <c r="C612" i="34"/>
  <c r="C611" i="34"/>
  <c r="C609" i="34"/>
  <c r="C608" i="34"/>
  <c r="K607" i="34"/>
  <c r="C607" i="34"/>
  <c r="C592" i="34"/>
  <c r="C591" i="34"/>
  <c r="C582" i="34"/>
  <c r="C581" i="34"/>
  <c r="C560" i="34"/>
  <c r="C542" i="34"/>
  <c r="C541" i="34"/>
  <c r="C544" i="34"/>
  <c r="C543" i="34"/>
  <c r="C540" i="34"/>
  <c r="C530" i="34"/>
  <c r="C529" i="34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43" i="60"/>
  <c r="C43" i="60" s="1"/>
  <c r="U38" i="60"/>
  <c r="C38" i="60" s="1"/>
  <c r="U39" i="60"/>
  <c r="C39" i="60" s="1"/>
  <c r="U40" i="60"/>
  <c r="C40" i="60" s="1"/>
  <c r="U41" i="60"/>
  <c r="C41" i="60" s="1"/>
  <c r="U42" i="60"/>
  <c r="C42" i="60" s="1"/>
  <c r="U44" i="60"/>
  <c r="C44" i="60" s="1"/>
  <c r="U46" i="60"/>
  <c r="C46" i="60" s="1"/>
  <c r="U47" i="60"/>
  <c r="C47" i="60" s="1"/>
  <c r="U48" i="60"/>
  <c r="C48" i="60" s="1"/>
  <c r="U49" i="60"/>
  <c r="C49" i="60" s="1"/>
  <c r="U50" i="60"/>
  <c r="C50" i="60" s="1"/>
  <c r="U45" i="60"/>
  <c r="C45" i="60" s="1"/>
  <c r="A7" i="60" l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U110" i="60"/>
  <c r="C110" i="60" s="1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U105" i="60"/>
  <c r="C105" i="60" s="1"/>
  <c r="Z104" i="60"/>
  <c r="U104" i="60"/>
  <c r="C104" i="60" s="1"/>
  <c r="Z103" i="60"/>
  <c r="U103" i="60"/>
  <c r="C103" i="60" s="1"/>
  <c r="Z102" i="60"/>
  <c r="U102" i="60"/>
  <c r="C102" i="60" s="1"/>
  <c r="Z101" i="60"/>
  <c r="U101" i="60"/>
  <c r="C101" i="60" s="1"/>
  <c r="Z100" i="60"/>
  <c r="U100" i="60"/>
  <c r="C100" i="60" s="1"/>
  <c r="Z99" i="60"/>
  <c r="C99" i="60"/>
  <c r="Z98" i="60"/>
  <c r="U98" i="60"/>
  <c r="C98" i="60" s="1"/>
  <c r="Z97" i="60"/>
  <c r="U97" i="60"/>
  <c r="C97" i="60" s="1"/>
  <c r="Z96" i="60"/>
  <c r="U96" i="60"/>
  <c r="C96" i="60" s="1"/>
  <c r="Z95" i="60"/>
  <c r="U95" i="60"/>
  <c r="C95" i="60" s="1"/>
  <c r="Z94" i="60"/>
  <c r="Z93" i="60"/>
  <c r="Z92" i="60"/>
  <c r="Z91" i="60"/>
  <c r="Z90" i="60"/>
  <c r="U90" i="60"/>
  <c r="C90" i="60" s="1"/>
  <c r="Z89" i="60"/>
  <c r="U89" i="60"/>
  <c r="C89" i="60" s="1"/>
  <c r="Z169" i="60"/>
  <c r="U169" i="60"/>
  <c r="C169" i="60" s="1"/>
  <c r="Z168" i="60"/>
  <c r="U168" i="60"/>
  <c r="C168" i="60" s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Z49" i="60"/>
  <c r="Z48" i="60"/>
  <c r="Z47" i="60"/>
  <c r="Z46" i="60"/>
  <c r="Z45" i="60"/>
  <c r="Z44" i="60"/>
  <c r="Z43" i="60"/>
  <c r="Z42" i="60"/>
  <c r="Z41" i="60"/>
  <c r="Z40" i="60"/>
  <c r="Z39" i="60"/>
  <c r="Z38" i="60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58" i="60"/>
  <c r="U58" i="60"/>
  <c r="C58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Z21" i="60"/>
  <c r="U21" i="60"/>
  <c r="C21" i="60" s="1"/>
  <c r="Z20" i="60"/>
  <c r="U20" i="60"/>
  <c r="C20" i="60" s="1"/>
  <c r="Z19" i="60"/>
  <c r="U19" i="60"/>
  <c r="C19" i="60" s="1"/>
  <c r="Z18" i="60"/>
  <c r="U18" i="60"/>
  <c r="C18" i="60" s="1"/>
  <c r="Z17" i="60"/>
  <c r="U17" i="60"/>
  <c r="C17" i="60" s="1"/>
  <c r="Z16" i="60"/>
  <c r="U16" i="60"/>
  <c r="C16" i="60" s="1"/>
  <c r="Z15" i="60"/>
  <c r="U15" i="60"/>
  <c r="C15" i="60" s="1"/>
  <c r="Z14" i="60"/>
  <c r="U14" i="60"/>
  <c r="C14" i="60" s="1"/>
  <c r="Z13" i="60"/>
  <c r="U13" i="60"/>
  <c r="C13" i="60" s="1"/>
  <c r="Z12" i="60"/>
  <c r="U12" i="60"/>
  <c r="C12" i="60" s="1"/>
  <c r="Z11" i="60"/>
  <c r="U11" i="60"/>
  <c r="C11" i="60" s="1"/>
  <c r="U10" i="60"/>
  <c r="C10" i="60" s="1"/>
  <c r="Z88" i="60"/>
  <c r="U88" i="60"/>
  <c r="C88" i="60" s="1"/>
  <c r="B484" i="55"/>
  <c r="A484" i="55" s="1"/>
  <c r="A8" i="60" l="1"/>
  <c r="A9" i="60" s="1"/>
  <c r="A10" i="60" s="1"/>
  <c r="A11" i="60" s="1"/>
  <c r="I18" i="54" l="1"/>
  <c r="C27" i="34"/>
  <c r="B27" i="34" s="1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E79" i="14" l="1"/>
  <c r="B80" i="14"/>
  <c r="G80" i="14"/>
  <c r="C81" i="14"/>
  <c r="H81" i="14"/>
  <c r="D82" i="14"/>
  <c r="A83" i="14"/>
  <c r="E83" i="14"/>
  <c r="B84" i="14"/>
  <c r="G84" i="14"/>
  <c r="C85" i="14"/>
  <c r="H85" i="14"/>
  <c r="D86" i="14"/>
  <c r="A87" i="14"/>
  <c r="E87" i="14"/>
  <c r="B88" i="14"/>
  <c r="G88" i="14"/>
  <c r="C89" i="14"/>
  <c r="H89" i="14"/>
  <c r="D90" i="14"/>
  <c r="A91" i="14"/>
  <c r="E91" i="14"/>
  <c r="A92" i="14"/>
  <c r="E92" i="14"/>
  <c r="B93" i="14"/>
  <c r="G93" i="14"/>
  <c r="B92" i="14"/>
  <c r="C93" i="14"/>
  <c r="H93" i="14"/>
  <c r="H91" i="14"/>
  <c r="H92" i="14"/>
  <c r="D92" i="14"/>
  <c r="E93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G92" i="14"/>
  <c r="G90" i="14"/>
  <c r="C92" i="14"/>
  <c r="A93" i="14"/>
  <c r="C79" i="14"/>
  <c r="H79" i="14"/>
  <c r="D80" i="14"/>
  <c r="A81" i="14"/>
  <c r="E81" i="14"/>
  <c r="B82" i="14"/>
  <c r="G82" i="14"/>
  <c r="C83" i="14"/>
  <c r="H83" i="14"/>
  <c r="D84" i="14"/>
  <c r="A85" i="14"/>
  <c r="E85" i="14"/>
  <c r="B86" i="14"/>
  <c r="G86" i="14"/>
  <c r="C87" i="14"/>
  <c r="H87" i="14"/>
  <c r="D88" i="14"/>
  <c r="A89" i="14"/>
  <c r="E89" i="14"/>
  <c r="B90" i="14"/>
  <c r="C91" i="14"/>
  <c r="D93" i="14"/>
  <c r="D79" i="14"/>
  <c r="E80" i="14"/>
  <c r="B81" i="14"/>
  <c r="G81" i="14"/>
  <c r="C82" i="14"/>
  <c r="H82" i="14"/>
  <c r="D83" i="14"/>
  <c r="A84" i="14"/>
  <c r="E84" i="14"/>
  <c r="B85" i="14"/>
  <c r="G85" i="14"/>
  <c r="C86" i="14"/>
  <c r="H86" i="14"/>
  <c r="D87" i="14"/>
  <c r="A88" i="14"/>
  <c r="E88" i="14"/>
  <c r="B89" i="14"/>
  <c r="G89" i="14"/>
  <c r="C90" i="14"/>
  <c r="H90" i="14"/>
  <c r="D91" i="14"/>
  <c r="E65" i="14"/>
  <c r="B66" i="14"/>
  <c r="G66" i="14"/>
  <c r="C67" i="14"/>
  <c r="H67" i="14"/>
  <c r="D68" i="14"/>
  <c r="E69" i="14"/>
  <c r="B70" i="14"/>
  <c r="G70" i="14"/>
  <c r="C71" i="14"/>
  <c r="H71" i="14"/>
  <c r="D72" i="14"/>
  <c r="E73" i="14"/>
  <c r="B74" i="14"/>
  <c r="C75" i="14"/>
  <c r="D76" i="14"/>
  <c r="B78" i="14"/>
  <c r="H70" i="14"/>
  <c r="E72" i="14"/>
  <c r="B73" i="14"/>
  <c r="H74" i="14"/>
  <c r="E76" i="14"/>
  <c r="G77" i="14"/>
  <c r="H78" i="14"/>
  <c r="H73" i="14"/>
  <c r="G76" i="14"/>
  <c r="B65" i="14"/>
  <c r="G65" i="14"/>
  <c r="C66" i="14"/>
  <c r="H66" i="14"/>
  <c r="D67" i="14"/>
  <c r="E68" i="14"/>
  <c r="B69" i="14"/>
  <c r="G69" i="14"/>
  <c r="C70" i="14"/>
  <c r="D71" i="14"/>
  <c r="G73" i="14"/>
  <c r="C78" i="14"/>
  <c r="C73" i="14"/>
  <c r="B76" i="14"/>
  <c r="H77" i="14"/>
  <c r="C65" i="14"/>
  <c r="H65" i="14"/>
  <c r="D66" i="14"/>
  <c r="E67" i="14"/>
  <c r="B68" i="14"/>
  <c r="G68" i="14"/>
  <c r="C69" i="14"/>
  <c r="H69" i="14"/>
  <c r="D70" i="14"/>
  <c r="E71" i="14"/>
  <c r="B72" i="14"/>
  <c r="D74" i="14"/>
  <c r="D78" i="14"/>
  <c r="D65" i="14"/>
  <c r="E66" i="14"/>
  <c r="B67" i="14"/>
  <c r="G67" i="14"/>
  <c r="C68" i="14"/>
  <c r="H68" i="14"/>
  <c r="D69" i="14"/>
  <c r="E70" i="14"/>
  <c r="B71" i="14"/>
  <c r="G71" i="14"/>
  <c r="C72" i="14"/>
  <c r="H72" i="14"/>
  <c r="D73" i="14"/>
  <c r="E74" i="14"/>
  <c r="B75" i="14"/>
  <c r="G75" i="14"/>
  <c r="C76" i="14"/>
  <c r="H76" i="14"/>
  <c r="D77" i="14"/>
  <c r="E78" i="14"/>
  <c r="G74" i="14"/>
  <c r="H75" i="14"/>
  <c r="E77" i="14"/>
  <c r="G78" i="14"/>
  <c r="C74" i="14"/>
  <c r="D75" i="14"/>
  <c r="B77" i="14"/>
  <c r="G72" i="14"/>
  <c r="E75" i="14"/>
  <c r="C77" i="14"/>
  <c r="E50" i="14"/>
  <c r="B51" i="14"/>
  <c r="G51" i="14"/>
  <c r="C52" i="14"/>
  <c r="H52" i="14"/>
  <c r="D53" i="14"/>
  <c r="E54" i="14"/>
  <c r="B55" i="14"/>
  <c r="G55" i="14"/>
  <c r="C56" i="14"/>
  <c r="H56" i="14"/>
  <c r="D57" i="14"/>
  <c r="E58" i="14"/>
  <c r="B59" i="14"/>
  <c r="G59" i="14"/>
  <c r="H60" i="14"/>
  <c r="D61" i="14"/>
  <c r="E62" i="14"/>
  <c r="G63" i="14"/>
  <c r="C64" i="14"/>
  <c r="D56" i="14"/>
  <c r="B58" i="14"/>
  <c r="C59" i="14"/>
  <c r="D60" i="14"/>
  <c r="B62" i="14"/>
  <c r="G62" i="14"/>
  <c r="D64" i="14"/>
  <c r="H58" i="14"/>
  <c r="G61" i="14"/>
  <c r="H62" i="14"/>
  <c r="E64" i="14"/>
  <c r="B50" i="14"/>
  <c r="G50" i="14"/>
  <c r="C51" i="14"/>
  <c r="H51" i="14"/>
  <c r="D52" i="14"/>
  <c r="E53" i="14"/>
  <c r="B54" i="14"/>
  <c r="G54" i="14"/>
  <c r="C55" i="14"/>
  <c r="H55" i="14"/>
  <c r="G58" i="14"/>
  <c r="C63" i="14"/>
  <c r="G57" i="14"/>
  <c r="B61" i="14"/>
  <c r="C50" i="14"/>
  <c r="H50" i="14"/>
  <c r="D51" i="14"/>
  <c r="E52" i="14"/>
  <c r="B53" i="14"/>
  <c r="G53" i="14"/>
  <c r="C54" i="14"/>
  <c r="H54" i="14"/>
  <c r="D55" i="14"/>
  <c r="E56" i="14"/>
  <c r="B57" i="14"/>
  <c r="D59" i="14"/>
  <c r="C62" i="14"/>
  <c r="D50" i="14"/>
  <c r="E51" i="14"/>
  <c r="B52" i="14"/>
  <c r="G52" i="14"/>
  <c r="C53" i="14"/>
  <c r="H53" i="14"/>
  <c r="D54" i="14"/>
  <c r="E55" i="14"/>
  <c r="B56" i="14"/>
  <c r="G56" i="14"/>
  <c r="C57" i="14"/>
  <c r="H57" i="14"/>
  <c r="D58" i="14"/>
  <c r="E59" i="14"/>
  <c r="B60" i="14"/>
  <c r="G60" i="14"/>
  <c r="C61" i="14"/>
  <c r="H61" i="14"/>
  <c r="D62" i="14"/>
  <c r="E63" i="14"/>
  <c r="B64" i="14"/>
  <c r="G64" i="14"/>
  <c r="C60" i="14"/>
  <c r="A62" i="14"/>
  <c r="B63" i="14"/>
  <c r="H64" i="14"/>
  <c r="E57" i="14"/>
  <c r="H59" i="14"/>
  <c r="E61" i="14"/>
  <c r="H63" i="14"/>
  <c r="C58" i="14"/>
  <c r="E60" i="14"/>
  <c r="D63" i="14"/>
  <c r="O5" i="77"/>
  <c r="L5" i="75"/>
  <c r="M5" i="75"/>
  <c r="P5" i="74"/>
  <c r="O5" i="74"/>
  <c r="F990" i="34" l="1"/>
  <c r="C990" i="34"/>
  <c r="B990" i="34" s="1"/>
  <c r="C995" i="34"/>
  <c r="B995" i="34" s="1"/>
  <c r="F505" i="34"/>
  <c r="C505" i="34"/>
  <c r="B505" i="34" s="1"/>
  <c r="C506" i="34"/>
  <c r="B506" i="34" s="1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C100" i="34"/>
  <c r="B100" i="34" s="1"/>
  <c r="C99" i="34"/>
  <c r="B99" i="34" s="1"/>
  <c r="W99" i="34" l="1"/>
  <c r="U99" i="34"/>
  <c r="A99" i="34"/>
  <c r="W100" i="34"/>
  <c r="U100" i="34"/>
  <c r="A100" i="34"/>
  <c r="B181" i="34"/>
  <c r="B101" i="34"/>
  <c r="B14" i="55"/>
  <c r="A14" i="55" s="1"/>
  <c r="D5" i="61"/>
  <c r="Z8" i="60"/>
  <c r="U9" i="60"/>
  <c r="C9" i="60" s="1"/>
  <c r="U82" i="60"/>
  <c r="C82" i="60" s="1"/>
  <c r="Z82" i="60"/>
  <c r="U83" i="60"/>
  <c r="C83" i="60" s="1"/>
  <c r="Z83" i="60"/>
  <c r="U84" i="60"/>
  <c r="C84" i="60" s="1"/>
  <c r="Z84" i="60"/>
  <c r="U85" i="60"/>
  <c r="C85" i="60" s="1"/>
  <c r="Z85" i="60"/>
  <c r="U86" i="60"/>
  <c r="C86" i="60" s="1"/>
  <c r="Z86" i="60"/>
  <c r="U87" i="60"/>
  <c r="C87" i="60" s="1"/>
  <c r="Z87" i="60"/>
  <c r="Z7" i="60"/>
  <c r="U7" i="60"/>
  <c r="C7" i="60" s="1"/>
  <c r="Z186" i="60"/>
  <c r="Z187" i="60"/>
  <c r="Z188" i="60"/>
  <c r="Z189" i="60"/>
  <c r="Z338" i="60"/>
  <c r="Z185" i="60"/>
  <c r="U347" i="60"/>
  <c r="C347" i="60" s="1"/>
  <c r="U349" i="60"/>
  <c r="C349" i="60" s="1"/>
  <c r="U348" i="60"/>
  <c r="C348" i="60" s="1"/>
  <c r="U350" i="60"/>
  <c r="C350" i="60" s="1"/>
  <c r="U351" i="60"/>
  <c r="C351" i="60" s="1"/>
  <c r="U574" i="60"/>
  <c r="C574" i="60" s="1"/>
  <c r="U575" i="60"/>
  <c r="C575" i="60" s="1"/>
  <c r="U576" i="60"/>
  <c r="C576" i="60" s="1"/>
  <c r="U577" i="60"/>
  <c r="C577" i="60" s="1"/>
  <c r="U578" i="60"/>
  <c r="C578" i="60" s="1"/>
  <c r="U579" i="60"/>
  <c r="C579" i="60" s="1"/>
  <c r="U580" i="60"/>
  <c r="C580" i="60" s="1"/>
  <c r="U581" i="60"/>
  <c r="C581" i="60" s="1"/>
  <c r="U582" i="60"/>
  <c r="C582" i="60" s="1"/>
  <c r="U583" i="60"/>
  <c r="C583" i="60" s="1"/>
  <c r="U584" i="60"/>
  <c r="C584" i="60" s="1"/>
  <c r="U585" i="60"/>
  <c r="C585" i="60" s="1"/>
  <c r="U586" i="60"/>
  <c r="C586" i="60" s="1"/>
  <c r="U587" i="60"/>
  <c r="Z347" i="60"/>
  <c r="Z349" i="60"/>
  <c r="Z348" i="60"/>
  <c r="Z350" i="60"/>
  <c r="Z351" i="60"/>
  <c r="Z574" i="60"/>
  <c r="Z575" i="60"/>
  <c r="Z576" i="60"/>
  <c r="Z577" i="60"/>
  <c r="Z578" i="60"/>
  <c r="Z579" i="60"/>
  <c r="Z580" i="60"/>
  <c r="Z581" i="60"/>
  <c r="Z582" i="60"/>
  <c r="Z583" i="60"/>
  <c r="Z584" i="60"/>
  <c r="Z585" i="60"/>
  <c r="Z586" i="60"/>
  <c r="Z587" i="60"/>
  <c r="Z346" i="60"/>
  <c r="U187" i="60"/>
  <c r="C187" i="60" s="1"/>
  <c r="U188" i="60"/>
  <c r="C188" i="60" s="1"/>
  <c r="U338" i="60"/>
  <c r="A185" i="60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U185" i="60"/>
  <c r="U186" i="60"/>
  <c r="C186" i="60" s="1"/>
  <c r="U346" i="60"/>
  <c r="C346" i="60" s="1"/>
  <c r="I7" i="70"/>
  <c r="I8" i="70"/>
  <c r="I9" i="70"/>
  <c r="I10" i="70"/>
  <c r="I11" i="70"/>
  <c r="I12" i="70"/>
  <c r="I21" i="70"/>
  <c r="I6" i="70"/>
  <c r="C12" i="61"/>
  <c r="G12" i="61"/>
  <c r="F12" i="61"/>
  <c r="H12" i="61"/>
  <c r="D12" i="61"/>
  <c r="E12" i="61"/>
  <c r="I12" i="61"/>
  <c r="U181" i="34" l="1"/>
  <c r="W181" i="34"/>
  <c r="A181" i="34"/>
  <c r="U101" i="34"/>
  <c r="W101" i="34"/>
  <c r="A101" i="34"/>
  <c r="C588" i="60"/>
  <c r="U171" i="60"/>
  <c r="Z588" i="60"/>
  <c r="E588" i="60" s="1"/>
  <c r="Z339" i="60"/>
  <c r="E339" i="60" s="1"/>
  <c r="C185" i="60"/>
  <c r="U339" i="60"/>
  <c r="U588" i="60"/>
  <c r="Z171" i="60"/>
  <c r="E171" i="60" s="1"/>
  <c r="C339" i="60" l="1"/>
  <c r="C31" i="15" l="1"/>
  <c r="C32" i="15" s="1"/>
  <c r="P14" i="64" l="1"/>
  <c r="Q3" i="56"/>
  <c r="P3" i="56"/>
  <c r="K74" i="34" l="1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C83" i="34" l="1"/>
  <c r="C84" i="34"/>
  <c r="C85" i="34"/>
  <c r="C86" i="34"/>
  <c r="C87" i="34"/>
  <c r="C88" i="34"/>
  <c r="C90" i="34"/>
  <c r="C91" i="34"/>
  <c r="C92" i="34"/>
  <c r="C93" i="34"/>
  <c r="C94" i="34"/>
  <c r="C95" i="34"/>
  <c r="C96" i="34"/>
  <c r="C97" i="34"/>
  <c r="C98" i="34"/>
  <c r="C131" i="34"/>
  <c r="A51" i="14" s="1"/>
  <c r="C132" i="34"/>
  <c r="A52" i="14" s="1"/>
  <c r="C133" i="34"/>
  <c r="A53" i="14" s="1"/>
  <c r="C134" i="34"/>
  <c r="A54" i="14" s="1"/>
  <c r="C135" i="34"/>
  <c r="A55" i="14" s="1"/>
  <c r="C82" i="34"/>
  <c r="C53" i="34"/>
  <c r="B53" i="34" s="1"/>
  <c r="C52" i="34"/>
  <c r="B52" i="34" s="1"/>
  <c r="K234" i="34"/>
  <c r="C214" i="34"/>
  <c r="A75" i="14" s="1"/>
  <c r="C215" i="34"/>
  <c r="A76" i="14" s="1"/>
  <c r="C216" i="34"/>
  <c r="A77" i="14" s="1"/>
  <c r="C217" i="34"/>
  <c r="A78" i="14" s="1"/>
  <c r="C218" i="34"/>
  <c r="A79" i="14" s="1"/>
  <c r="C234" i="34"/>
  <c r="C235" i="34"/>
  <c r="C209" i="34"/>
  <c r="A70" i="14" s="1"/>
  <c r="C210" i="34"/>
  <c r="A71" i="14" s="1"/>
  <c r="C211" i="34"/>
  <c r="A72" i="14" s="1"/>
  <c r="C212" i="34"/>
  <c r="A73" i="14" s="1"/>
  <c r="C213" i="34"/>
  <c r="A74" i="14" s="1"/>
  <c r="C167" i="34"/>
  <c r="A64" i="14" s="1"/>
  <c r="C168" i="34"/>
  <c r="A65" i="14" s="1"/>
  <c r="C169" i="34"/>
  <c r="A66" i="14" s="1"/>
  <c r="C182" i="34"/>
  <c r="C183" i="34"/>
  <c r="C206" i="34"/>
  <c r="A67" i="14" s="1"/>
  <c r="C207" i="34"/>
  <c r="A68" i="14" s="1"/>
  <c r="C208" i="34"/>
  <c r="A69" i="14" s="1"/>
  <c r="C166" i="34"/>
  <c r="A63" i="14" s="1"/>
  <c r="K127" i="34"/>
  <c r="C136" i="34"/>
  <c r="A56" i="14" s="1"/>
  <c r="C137" i="34"/>
  <c r="A57" i="14" s="1"/>
  <c r="C138" i="34"/>
  <c r="A58" i="14" s="1"/>
  <c r="C139" i="34"/>
  <c r="A59" i="14" s="1"/>
  <c r="C140" i="34"/>
  <c r="A60" i="14" s="1"/>
  <c r="C127" i="34"/>
  <c r="C128" i="34"/>
  <c r="C153" i="34"/>
  <c r="C154" i="34"/>
  <c r="C179" i="34"/>
  <c r="C180" i="34"/>
  <c r="C195" i="34"/>
  <c r="C229" i="34"/>
  <c r="C230" i="34"/>
  <c r="C231" i="34"/>
  <c r="C232" i="34"/>
  <c r="C233" i="34"/>
  <c r="C152" i="34"/>
  <c r="C194" i="34"/>
  <c r="C76" i="34"/>
  <c r="C77" i="34"/>
  <c r="C141" i="34"/>
  <c r="C142" i="34"/>
  <c r="C193" i="34"/>
  <c r="C44" i="34"/>
  <c r="C37" i="34"/>
  <c r="C38" i="34"/>
  <c r="C43" i="34"/>
  <c r="W52" i="34" l="1"/>
  <c r="U52" i="34"/>
  <c r="A52" i="34"/>
  <c r="W53" i="34"/>
  <c r="U53" i="34"/>
  <c r="A53" i="34"/>
  <c r="C36" i="34"/>
  <c r="C39" i="34"/>
  <c r="C40" i="34"/>
  <c r="C41" i="34"/>
  <c r="C42" i="34"/>
  <c r="C35" i="34"/>
  <c r="K47" i="34"/>
  <c r="C58" i="34"/>
  <c r="C59" i="34"/>
  <c r="C54" i="34"/>
  <c r="C55" i="34"/>
  <c r="C47" i="34"/>
  <c r="C48" i="34"/>
  <c r="C49" i="34"/>
  <c r="C50" i="34"/>
  <c r="C51" i="34"/>
  <c r="B149" i="55"/>
  <c r="A149" i="55" s="1"/>
  <c r="A150" i="55"/>
  <c r="I67" i="34"/>
  <c r="K79" i="34"/>
  <c r="C75" i="34"/>
  <c r="C79" i="34"/>
  <c r="C80" i="34"/>
  <c r="C70" i="34"/>
  <c r="C71" i="34"/>
  <c r="C72" i="34"/>
  <c r="C73" i="34"/>
  <c r="C67" i="34"/>
  <c r="C68" i="34"/>
  <c r="C63" i="34"/>
  <c r="C64" i="34"/>
  <c r="C56" i="34"/>
  <c r="C57" i="34"/>
  <c r="C74" i="34"/>
  <c r="C26" i="34"/>
  <c r="C25" i="34"/>
  <c r="C116" i="34"/>
  <c r="C115" i="34"/>
  <c r="C129" i="34"/>
  <c r="A50" i="14" s="1"/>
  <c r="C130" i="34"/>
  <c r="C163" i="34"/>
  <c r="A61" i="14" s="1"/>
  <c r="C164" i="34"/>
  <c r="C236" i="34"/>
  <c r="A80" i="14" s="1"/>
  <c r="C237" i="34"/>
  <c r="C238" i="34"/>
  <c r="C65" i="34"/>
  <c r="C78" i="34"/>
  <c r="C81" i="34"/>
  <c r="C205" i="34"/>
  <c r="C228" i="34"/>
  <c r="C45" i="34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247" i="55" a="1"/>
  <c r="I247" i="55" s="1"/>
  <c r="I244" i="55" a="1"/>
  <c r="I244" i="55" s="1"/>
  <c r="I218" i="55" a="1"/>
  <c r="I218" i="55" s="1"/>
  <c r="I402" i="55" a="1"/>
  <c r="I402" i="55" s="1"/>
  <c r="I326" i="55" a="1"/>
  <c r="I326" i="55" s="1"/>
  <c r="I318" i="55" a="1"/>
  <c r="I318" i="55" s="1"/>
  <c r="I298" i="55" a="1"/>
  <c r="I298" i="55" s="1"/>
  <c r="I273" i="55" a="1"/>
  <c r="I273" i="55" s="1"/>
  <c r="I472" i="55" a="1"/>
  <c r="I472" i="55" s="1"/>
  <c r="I464" i="55" a="1"/>
  <c r="I464" i="55" s="1"/>
  <c r="I193" i="55" a="1"/>
  <c r="I193" i="55" s="1"/>
  <c r="I296" i="55" a="1"/>
  <c r="I296" i="55" s="1"/>
  <c r="I468" i="55" a="1"/>
  <c r="I468" i="55" s="1"/>
  <c r="I207" i="55" a="1"/>
  <c r="I207" i="55" s="1"/>
  <c r="I249" i="55" a="1"/>
  <c r="I249" i="55" s="1"/>
  <c r="I406" i="55" a="1"/>
  <c r="I406" i="55" s="1"/>
  <c r="I477" i="55" a="1"/>
  <c r="I477" i="55" s="1"/>
  <c r="I223" i="55" a="1"/>
  <c r="I223" i="55" s="1"/>
  <c r="I460" i="55" a="1"/>
  <c r="I460" i="55" s="1"/>
  <c r="I219" i="55" a="1"/>
  <c r="I219" i="55" s="1"/>
  <c r="I229" i="55" a="1"/>
  <c r="I229" i="55" s="1"/>
  <c r="I222" i="55" a="1"/>
  <c r="I222" i="55" s="1"/>
  <c r="I175" i="55" a="1"/>
  <c r="I175" i="55" s="1"/>
  <c r="G259" i="55" a="1"/>
  <c r="G259" i="55" s="1"/>
  <c r="G245" i="55" a="1"/>
  <c r="G245" i="55" s="1"/>
  <c r="G238" i="55" a="1"/>
  <c r="G238" i="55" s="1"/>
  <c r="G180" i="55" a="1"/>
  <c r="G180" i="55" s="1"/>
  <c r="G327" i="55" a="1"/>
  <c r="G327" i="55" s="1"/>
  <c r="G319" i="55" a="1"/>
  <c r="G319" i="55" s="1"/>
  <c r="G312" i="55" a="1"/>
  <c r="G312" i="55" s="1"/>
  <c r="G297" i="55" a="1"/>
  <c r="G297" i="55" s="1"/>
  <c r="G266" i="55" a="1"/>
  <c r="G266" i="55" s="1"/>
  <c r="G474" i="55" a="1"/>
  <c r="G474" i="55" s="1"/>
  <c r="G465" i="55" a="1"/>
  <c r="G465" i="55" s="1"/>
  <c r="G463" i="55" a="1"/>
  <c r="G463" i="55" s="1"/>
  <c r="G173" i="55" a="1"/>
  <c r="G173" i="55" s="1"/>
  <c r="G210" i="55" a="1"/>
  <c r="G210" i="55" s="1"/>
  <c r="G314" i="55" a="1"/>
  <c r="G314" i="55" s="1"/>
  <c r="G260" i="55" a="1"/>
  <c r="G260" i="55" s="1"/>
  <c r="G293" i="55" a="1"/>
  <c r="G293" i="55" s="1"/>
  <c r="G246" i="55" a="1"/>
  <c r="G246" i="55" s="1"/>
  <c r="G233" i="55" a="1"/>
  <c r="G233" i="55" s="1"/>
  <c r="G479" i="55" a="1"/>
  <c r="G479" i="55" s="1"/>
  <c r="G262" i="55" a="1"/>
  <c r="G262" i="55" s="1"/>
  <c r="G447" i="55" a="1"/>
  <c r="G447" i="55" s="1"/>
  <c r="G448" i="55" a="1"/>
  <c r="G448" i="55" s="1"/>
  <c r="G227" i="55" a="1"/>
  <c r="G227" i="55" s="1"/>
  <c r="G199" i="55" a="1"/>
  <c r="G199" i="55" s="1"/>
  <c r="G243" i="55" a="1"/>
  <c r="G243" i="55" s="1"/>
  <c r="G265" i="55" a="1"/>
  <c r="G265" i="55" s="1"/>
  <c r="G214" i="55" a="1"/>
  <c r="G214" i="55" s="1"/>
  <c r="G471" i="55" a="1"/>
  <c r="G471" i="55" s="1"/>
  <c r="G200" i="55" a="1"/>
  <c r="G200" i="55" s="1"/>
  <c r="G216" i="55" a="1"/>
  <c r="G216" i="55" s="1"/>
  <c r="G186" i="55" a="1"/>
  <c r="G186" i="55" s="1"/>
  <c r="G283" i="55" a="1"/>
  <c r="G283" i="55" s="1"/>
  <c r="I243" i="55" a="1"/>
  <c r="I243" i="55" s="1"/>
  <c r="I214" i="55" a="1"/>
  <c r="I214" i="55" s="1"/>
  <c r="I200" i="55" a="1"/>
  <c r="I200" i="55" s="1"/>
  <c r="I186" i="55" a="1"/>
  <c r="I186" i="55" s="1"/>
  <c r="I178" i="55" a="1"/>
  <c r="I178" i="55" s="1"/>
  <c r="I240" i="55" a="1"/>
  <c r="I240" i="55" s="1"/>
  <c r="I241" i="55" a="1"/>
  <c r="I241" i="55" s="1"/>
  <c r="I259" i="55" a="1"/>
  <c r="I259" i="55" s="1"/>
  <c r="I245" i="55" a="1"/>
  <c r="I245" i="55" s="1"/>
  <c r="I238" i="55" a="1"/>
  <c r="I238" i="55" s="1"/>
  <c r="I180" i="55" a="1"/>
  <c r="I180" i="55" s="1"/>
  <c r="I327" i="55" a="1"/>
  <c r="I327" i="55" s="1"/>
  <c r="I319" i="55" a="1"/>
  <c r="I319" i="55" s="1"/>
  <c r="I312" i="55" a="1"/>
  <c r="I312" i="55" s="1"/>
  <c r="I297" i="55" a="1"/>
  <c r="I297" i="55" s="1"/>
  <c r="I266" i="55" a="1"/>
  <c r="I266" i="55" s="1"/>
  <c r="I474" i="55" a="1"/>
  <c r="I474" i="55" s="1"/>
  <c r="I465" i="55" a="1"/>
  <c r="I465" i="55" s="1"/>
  <c r="I463" i="55" a="1"/>
  <c r="I463" i="55" s="1"/>
  <c r="I173" i="55" a="1"/>
  <c r="I173" i="55" s="1"/>
  <c r="I210" i="55" a="1"/>
  <c r="I210" i="55" s="1"/>
  <c r="I314" i="55" a="1"/>
  <c r="I314" i="55" s="1"/>
  <c r="I260" i="55" a="1"/>
  <c r="I260" i="55" s="1"/>
  <c r="I293" i="55" a="1"/>
  <c r="I293" i="55" s="1"/>
  <c r="I246" i="55" a="1"/>
  <c r="I246" i="55" s="1"/>
  <c r="I233" i="55" a="1"/>
  <c r="I233" i="55" s="1"/>
  <c r="I479" i="55" a="1"/>
  <c r="I479" i="55" s="1"/>
  <c r="I262" i="55" a="1"/>
  <c r="I262" i="55" s="1"/>
  <c r="I447" i="55" a="1"/>
  <c r="I447" i="55" s="1"/>
  <c r="I448" i="55" a="1"/>
  <c r="I448" i="55" s="1"/>
  <c r="I227" i="55" a="1"/>
  <c r="I227" i="55" s="1"/>
  <c r="I199" i="55" a="1"/>
  <c r="I199" i="55" s="1"/>
  <c r="G247" i="55" a="1"/>
  <c r="G247" i="55" s="1"/>
  <c r="K247" i="55" s="1"/>
  <c r="G244" i="55" a="1"/>
  <c r="G244" i="55" s="1"/>
  <c r="K244" i="55" s="1"/>
  <c r="G218" i="55" a="1"/>
  <c r="G218" i="55" s="1"/>
  <c r="K218" i="55" s="1"/>
  <c r="G402" i="55" a="1"/>
  <c r="G402" i="55" s="1"/>
  <c r="K402" i="55" s="1"/>
  <c r="G326" i="55" a="1"/>
  <c r="G326" i="55" s="1"/>
  <c r="K326" i="55" s="1"/>
  <c r="G318" i="55" a="1"/>
  <c r="G318" i="55" s="1"/>
  <c r="K318" i="55" s="1"/>
  <c r="G298" i="55" a="1"/>
  <c r="G298" i="55" s="1"/>
  <c r="K298" i="55" s="1"/>
  <c r="G273" i="55" a="1"/>
  <c r="G273" i="55" s="1"/>
  <c r="K273" i="55" s="1"/>
  <c r="G472" i="55" a="1"/>
  <c r="G472" i="55" s="1"/>
  <c r="K472" i="55" s="1"/>
  <c r="G464" i="55" a="1"/>
  <c r="G464" i="55" s="1"/>
  <c r="K464" i="55" s="1"/>
  <c r="G193" i="55" a="1"/>
  <c r="G193" i="55" s="1"/>
  <c r="K193" i="55" s="1"/>
  <c r="G296" i="55" a="1"/>
  <c r="G296" i="55" s="1"/>
  <c r="K296" i="55" s="1"/>
  <c r="G468" i="55" a="1"/>
  <c r="G468" i="55" s="1"/>
  <c r="K468" i="55" s="1"/>
  <c r="G207" i="55" a="1"/>
  <c r="G207" i="55" s="1"/>
  <c r="K207" i="55" s="1"/>
  <c r="G249" i="55" a="1"/>
  <c r="G249" i="55" s="1"/>
  <c r="K249" i="55" s="1"/>
  <c r="G406" i="55" a="1"/>
  <c r="G406" i="55" s="1"/>
  <c r="K406" i="55" s="1"/>
  <c r="G477" i="55" a="1"/>
  <c r="G477" i="55" s="1"/>
  <c r="K477" i="55" s="1"/>
  <c r="G223" i="55" a="1"/>
  <c r="G223" i="55" s="1"/>
  <c r="K223" i="55" s="1"/>
  <c r="G460" i="55" a="1"/>
  <c r="G460" i="55" s="1"/>
  <c r="K460" i="55" s="1"/>
  <c r="G219" i="55" a="1"/>
  <c r="G219" i="55" s="1"/>
  <c r="K219" i="55" s="1"/>
  <c r="G229" i="55" a="1"/>
  <c r="G229" i="55" s="1"/>
  <c r="K229" i="55" s="1"/>
  <c r="G222" i="55" a="1"/>
  <c r="G222" i="55" s="1"/>
  <c r="K222" i="55" s="1"/>
  <c r="G175" i="55" a="1"/>
  <c r="G175" i="55" s="1"/>
  <c r="K175" i="55" s="1"/>
  <c r="G278" i="55" a="1"/>
  <c r="G278" i="55" s="1"/>
  <c r="G234" i="55" a="1"/>
  <c r="G234" i="55" s="1"/>
  <c r="G469" i="55" a="1"/>
  <c r="G469" i="55" s="1"/>
  <c r="G187" i="55" a="1"/>
  <c r="G187" i="55" s="1"/>
  <c r="G256" i="55" a="1"/>
  <c r="G256" i="55" s="1"/>
  <c r="G253" i="55" a="1"/>
  <c r="G253" i="55" s="1"/>
  <c r="G304" i="55" a="1"/>
  <c r="G304" i="55" s="1"/>
  <c r="G183" i="55" a="1"/>
  <c r="G183" i="55" s="1"/>
  <c r="I265" i="55" a="1"/>
  <c r="I265" i="55" s="1"/>
  <c r="I471" i="55" a="1"/>
  <c r="I471" i="55" s="1"/>
  <c r="I216" i="55" a="1"/>
  <c r="I216" i="55" s="1"/>
  <c r="I283" i="55" a="1"/>
  <c r="I283" i="55" s="1"/>
  <c r="I316" i="55" a="1"/>
  <c r="I316" i="55" s="1"/>
  <c r="I242" i="55" a="1"/>
  <c r="I242" i="55" s="1"/>
  <c r="I292" i="55" a="1"/>
  <c r="I292" i="55" s="1"/>
  <c r="I190" i="55" a="1"/>
  <c r="I190" i="55" s="1"/>
  <c r="I279" i="55" a="1"/>
  <c r="I279" i="55" s="1"/>
  <c r="I403" i="55" a="1"/>
  <c r="I403" i="55" s="1"/>
  <c r="I466" i="55" a="1"/>
  <c r="I466" i="55" s="1"/>
  <c r="I480" i="55" a="1"/>
  <c r="I480" i="55" s="1"/>
  <c r="I478" i="55" a="1"/>
  <c r="I478" i="55" s="1"/>
  <c r="I481" i="55" a="1"/>
  <c r="I481" i="55" s="1"/>
  <c r="I462" i="55" a="1"/>
  <c r="I462" i="55" s="1"/>
  <c r="G404" i="55" a="1"/>
  <c r="G404" i="55" s="1"/>
  <c r="G251" i="55" a="1"/>
  <c r="G251" i="55" s="1"/>
  <c r="G328" i="55" a="1"/>
  <c r="G328" i="55" s="1"/>
  <c r="G203" i="55" a="1"/>
  <c r="G203" i="55" s="1"/>
  <c r="G215" i="55" a="1"/>
  <c r="G215" i="55" s="1"/>
  <c r="G302" i="55" a="1"/>
  <c r="G302" i="55" s="1"/>
  <c r="G252" i="55" a="1"/>
  <c r="G252" i="55" s="1"/>
  <c r="G202" i="55" a="1"/>
  <c r="G202" i="55" s="1"/>
  <c r="G291" i="55" a="1"/>
  <c r="G291" i="55" s="1"/>
  <c r="G287" i="55" a="1"/>
  <c r="G287" i="55" s="1"/>
  <c r="G257" i="55" a="1"/>
  <c r="G257" i="55" s="1"/>
  <c r="G458" i="55" a="1"/>
  <c r="G458" i="55" s="1"/>
  <c r="G459" i="55" a="1"/>
  <c r="G459" i="55" s="1"/>
  <c r="G412" i="55" a="1"/>
  <c r="G412" i="55" s="1"/>
  <c r="G457" i="55" a="1"/>
  <c r="G457" i="55" s="1"/>
  <c r="G438" i="55" a="1"/>
  <c r="G438" i="55" s="1"/>
  <c r="G205" i="55" a="1"/>
  <c r="G205" i="55" s="1"/>
  <c r="G220" i="55" a="1"/>
  <c r="G220" i="55" s="1"/>
  <c r="G329" i="55" a="1"/>
  <c r="G329" i="55" s="1"/>
  <c r="G330" i="55" a="1"/>
  <c r="G330" i="55" s="1"/>
  <c r="G407" i="55" a="1"/>
  <c r="G407" i="55" s="1"/>
  <c r="G443" i="55" a="1"/>
  <c r="G443" i="55" s="1"/>
  <c r="I278" i="55" a="1"/>
  <c r="I278" i="55" s="1"/>
  <c r="I469" i="55" a="1"/>
  <c r="I469" i="55" s="1"/>
  <c r="I256" i="55" a="1"/>
  <c r="I256" i="55" s="1"/>
  <c r="I304" i="55" a="1"/>
  <c r="I304" i="55" s="1"/>
  <c r="G178" i="55" a="1"/>
  <c r="G178" i="55" s="1"/>
  <c r="K178" i="55" s="1"/>
  <c r="G240" i="55" a="1"/>
  <c r="G240" i="55" s="1"/>
  <c r="K240" i="55" s="1"/>
  <c r="G241" i="55" a="1"/>
  <c r="G241" i="55" s="1"/>
  <c r="K241" i="55" s="1"/>
  <c r="G279" i="55" a="1"/>
  <c r="G279" i="55" s="1"/>
  <c r="K279" i="55" s="1"/>
  <c r="G189" i="55" a="1"/>
  <c r="G189" i="55" s="1"/>
  <c r="G482" i="55" a="1"/>
  <c r="G482" i="55" s="1"/>
  <c r="G467" i="55" a="1"/>
  <c r="G467" i="55" s="1"/>
  <c r="G473" i="55" a="1"/>
  <c r="G473" i="55" s="1"/>
  <c r="G475" i="55" a="1"/>
  <c r="G475" i="55" s="1"/>
  <c r="G476" i="55" a="1"/>
  <c r="G476" i="55" s="1"/>
  <c r="G470" i="55" a="1"/>
  <c r="G470" i="55" s="1"/>
  <c r="I399" i="55" a="1"/>
  <c r="I399" i="55" s="1"/>
  <c r="I405" i="55" a="1"/>
  <c r="I405" i="55" s="1"/>
  <c r="I255" i="55" a="1"/>
  <c r="I255" i="55" s="1"/>
  <c r="I204" i="55" a="1"/>
  <c r="I204" i="55" s="1"/>
  <c r="I317" i="55" a="1"/>
  <c r="I317" i="55" s="1"/>
  <c r="I303" i="55" a="1"/>
  <c r="I303" i="55" s="1"/>
  <c r="I239" i="55" a="1"/>
  <c r="I239" i="55" s="1"/>
  <c r="I276" i="55" a="1"/>
  <c r="I276" i="55" s="1"/>
  <c r="I315" i="55" a="1"/>
  <c r="I315" i="55" s="1"/>
  <c r="I267" i="55" a="1"/>
  <c r="I267" i="55" s="1"/>
  <c r="I290" i="55" a="1"/>
  <c r="I290" i="55" s="1"/>
  <c r="I442" i="55" a="1"/>
  <c r="I442" i="55" s="1"/>
  <c r="I440" i="55" a="1"/>
  <c r="I440" i="55" s="1"/>
  <c r="I441" i="55" a="1"/>
  <c r="I441" i="55" s="1"/>
  <c r="I456" i="55" a="1"/>
  <c r="I456" i="55" s="1"/>
  <c r="I439" i="55" a="1"/>
  <c r="I439" i="55" s="1"/>
  <c r="I194" i="55" a="1"/>
  <c r="I194" i="55" s="1"/>
  <c r="I221" i="55" a="1"/>
  <c r="I221" i="55" s="1"/>
  <c r="I331" i="55" a="1"/>
  <c r="I331" i="55" s="1"/>
  <c r="I170" i="55" a="1"/>
  <c r="I170" i="55" s="1"/>
  <c r="I408" i="55" a="1"/>
  <c r="I408" i="55" s="1"/>
  <c r="I189" i="55" a="1"/>
  <c r="I189" i="55" s="1"/>
  <c r="I482" i="55" a="1"/>
  <c r="I482" i="55" s="1"/>
  <c r="I467" i="55" a="1"/>
  <c r="I467" i="55" s="1"/>
  <c r="I473" i="55" a="1"/>
  <c r="I473" i="55" s="1"/>
  <c r="I475" i="55" a="1"/>
  <c r="I475" i="55" s="1"/>
  <c r="I476" i="55" a="1"/>
  <c r="I476" i="55" s="1"/>
  <c r="I470" i="55" a="1"/>
  <c r="I470" i="55" s="1"/>
  <c r="G399" i="55" a="1"/>
  <c r="G399" i="55" s="1"/>
  <c r="K399" i="55" s="1"/>
  <c r="G405" i="55" a="1"/>
  <c r="G405" i="55" s="1"/>
  <c r="K405" i="55" s="1"/>
  <c r="G255" i="55" a="1"/>
  <c r="G255" i="55" s="1"/>
  <c r="K255" i="55" s="1"/>
  <c r="G204" i="55" a="1"/>
  <c r="G204" i="55" s="1"/>
  <c r="K204" i="55" s="1"/>
  <c r="G317" i="55" a="1"/>
  <c r="G317" i="55" s="1"/>
  <c r="K317" i="55" s="1"/>
  <c r="G303" i="55" a="1"/>
  <c r="G303" i="55" s="1"/>
  <c r="K303" i="55" s="1"/>
  <c r="G239" i="55" a="1"/>
  <c r="G239" i="55" s="1"/>
  <c r="K239" i="55" s="1"/>
  <c r="G276" i="55" a="1"/>
  <c r="G276" i="55" s="1"/>
  <c r="K276" i="55" s="1"/>
  <c r="G315" i="55" a="1"/>
  <c r="G315" i="55" s="1"/>
  <c r="K315" i="55" s="1"/>
  <c r="G267" i="55" a="1"/>
  <c r="G267" i="55" s="1"/>
  <c r="K267" i="55" s="1"/>
  <c r="G290" i="55" a="1"/>
  <c r="G290" i="55" s="1"/>
  <c r="K290" i="55" s="1"/>
  <c r="G442" i="55" a="1"/>
  <c r="G442" i="55" s="1"/>
  <c r="K442" i="55" s="1"/>
  <c r="G440" i="55" a="1"/>
  <c r="G440" i="55" s="1"/>
  <c r="K440" i="55" s="1"/>
  <c r="G441" i="55" a="1"/>
  <c r="G441" i="55" s="1"/>
  <c r="K441" i="55" s="1"/>
  <c r="G456" i="55" a="1"/>
  <c r="G456" i="55" s="1"/>
  <c r="K456" i="55" s="1"/>
  <c r="G439" i="55" a="1"/>
  <c r="G439" i="55" s="1"/>
  <c r="K439" i="55" s="1"/>
  <c r="G194" i="55" a="1"/>
  <c r="G194" i="55" s="1"/>
  <c r="K194" i="55" s="1"/>
  <c r="G221" i="55" a="1"/>
  <c r="G221" i="55" s="1"/>
  <c r="K221" i="55" s="1"/>
  <c r="G331" i="55" a="1"/>
  <c r="G331" i="55" s="1"/>
  <c r="K331" i="55" s="1"/>
  <c r="G170" i="55" a="1"/>
  <c r="G170" i="55" s="1"/>
  <c r="K170" i="55" s="1"/>
  <c r="G408" i="55" a="1"/>
  <c r="G408" i="55" s="1"/>
  <c r="K408" i="55" s="1"/>
  <c r="I234" i="55" a="1"/>
  <c r="I234" i="55" s="1"/>
  <c r="I187" i="55" a="1"/>
  <c r="I187" i="55" s="1"/>
  <c r="I253" i="55" a="1"/>
  <c r="I253" i="55" s="1"/>
  <c r="I183" i="55" a="1"/>
  <c r="I183" i="55" s="1"/>
  <c r="G316" i="55" a="1"/>
  <c r="G316" i="55" s="1"/>
  <c r="G242" i="55" a="1"/>
  <c r="G242" i="55" s="1"/>
  <c r="K242" i="55" s="1"/>
  <c r="G292" i="55" a="1"/>
  <c r="G292" i="55" s="1"/>
  <c r="G190" i="55" a="1"/>
  <c r="G190" i="55" s="1"/>
  <c r="K190" i="55" s="1"/>
  <c r="G403" i="55" a="1"/>
  <c r="G403" i="55" s="1"/>
  <c r="K403" i="55" s="1"/>
  <c r="G466" i="55" a="1"/>
  <c r="G466" i="55" s="1"/>
  <c r="K466" i="55" s="1"/>
  <c r="G480" i="55" a="1"/>
  <c r="G480" i="55" s="1"/>
  <c r="K480" i="55" s="1"/>
  <c r="G478" i="55" a="1"/>
  <c r="G478" i="55" s="1"/>
  <c r="K478" i="55" s="1"/>
  <c r="G481" i="55" a="1"/>
  <c r="G481" i="55" s="1"/>
  <c r="K481" i="55" s="1"/>
  <c r="G462" i="55" a="1"/>
  <c r="G462" i="55" s="1"/>
  <c r="K462" i="55" s="1"/>
  <c r="I404" i="55" a="1"/>
  <c r="I404" i="55" s="1"/>
  <c r="I251" i="55" a="1"/>
  <c r="I251" i="55" s="1"/>
  <c r="I328" i="55" a="1"/>
  <c r="I328" i="55" s="1"/>
  <c r="I203" i="55" a="1"/>
  <c r="I203" i="55" s="1"/>
  <c r="I215" i="55" a="1"/>
  <c r="I215" i="55" s="1"/>
  <c r="I302" i="55" a="1"/>
  <c r="I302" i="55" s="1"/>
  <c r="I252" i="55" a="1"/>
  <c r="I252" i="55" s="1"/>
  <c r="I202" i="55" a="1"/>
  <c r="I202" i="55" s="1"/>
  <c r="I291" i="55" a="1"/>
  <c r="I291" i="55" s="1"/>
  <c r="I287" i="55" a="1"/>
  <c r="I287" i="55" s="1"/>
  <c r="I257" i="55" a="1"/>
  <c r="I257" i="55" s="1"/>
  <c r="I458" i="55" a="1"/>
  <c r="I458" i="55" s="1"/>
  <c r="I459" i="55" a="1"/>
  <c r="I459" i="55" s="1"/>
  <c r="I412" i="55" a="1"/>
  <c r="I412" i="55" s="1"/>
  <c r="I457" i="55" a="1"/>
  <c r="I457" i="55" s="1"/>
  <c r="I438" i="55" a="1"/>
  <c r="I438" i="55" s="1"/>
  <c r="I205" i="55" a="1"/>
  <c r="I205" i="55" s="1"/>
  <c r="I220" i="55" a="1"/>
  <c r="I220" i="55" s="1"/>
  <c r="I329" i="55" a="1"/>
  <c r="I329" i="55" s="1"/>
  <c r="I330" i="55" a="1"/>
  <c r="I330" i="55" s="1"/>
  <c r="I407" i="55" a="1"/>
  <c r="I407" i="55" s="1"/>
  <c r="I443" i="55" a="1"/>
  <c r="I443" i="55" s="1"/>
  <c r="K67" i="34"/>
  <c r="G449" i="55" a="1"/>
  <c r="G449" i="55" s="1"/>
  <c r="G155" i="55" a="1"/>
  <c r="G155" i="55" s="1"/>
  <c r="G162" i="55" a="1"/>
  <c r="G162" i="55" s="1"/>
  <c r="G277" i="55" a="1"/>
  <c r="G277" i="55" s="1"/>
  <c r="G181" i="55" a="1"/>
  <c r="G181" i="55" s="1"/>
  <c r="G209" i="55" a="1"/>
  <c r="G209" i="55" s="1"/>
  <c r="I261" i="55" a="1"/>
  <c r="I261" i="55" s="1"/>
  <c r="I305" i="55" a="1"/>
  <c r="I305" i="55" s="1"/>
  <c r="I400" i="55" a="1"/>
  <c r="I400" i="55" s="1"/>
  <c r="I365" i="55" a="1"/>
  <c r="I365" i="55" s="1"/>
  <c r="I372" i="55" a="1"/>
  <c r="I372" i="55" s="1"/>
  <c r="I156" i="55" a="1"/>
  <c r="I156" i="55" s="1"/>
  <c r="I157" i="55" a="1"/>
  <c r="I157" i="55" s="1"/>
  <c r="I192" i="55" a="1"/>
  <c r="I192" i="55" s="1"/>
  <c r="I286" i="55" a="1"/>
  <c r="I286" i="55" s="1"/>
  <c r="G232" i="55" a="1"/>
  <c r="G232" i="55" s="1"/>
  <c r="G284" i="55" a="1"/>
  <c r="G284" i="55" s="1"/>
  <c r="G378" i="55" a="1"/>
  <c r="G378" i="55" s="1"/>
  <c r="G358" i="55" a="1"/>
  <c r="G358" i="55" s="1"/>
  <c r="G376" i="55" a="1"/>
  <c r="G376" i="55" s="1"/>
  <c r="I483" i="55" a="1"/>
  <c r="I483" i="55" s="1"/>
  <c r="G380" i="55" a="1"/>
  <c r="G380" i="55" s="1"/>
  <c r="I340" i="55" a="1"/>
  <c r="I340" i="55" s="1"/>
  <c r="I339" i="55" a="1"/>
  <c r="I339" i="55" s="1"/>
  <c r="I345" i="55" a="1"/>
  <c r="I345" i="55" s="1"/>
  <c r="G161" i="55" a="1"/>
  <c r="G161" i="55" s="1"/>
  <c r="G454" i="55" a="1"/>
  <c r="G454" i="55" s="1"/>
  <c r="G332" i="55" a="1"/>
  <c r="G332" i="55" s="1"/>
  <c r="I250" i="55" a="1"/>
  <c r="I250" i="55" s="1"/>
  <c r="I301" i="55" a="1"/>
  <c r="I301" i="55" s="1"/>
  <c r="I452" i="55" a="1"/>
  <c r="I452" i="55" s="1"/>
  <c r="I449" i="55" a="1"/>
  <c r="I449" i="55" s="1"/>
  <c r="G338" i="55" a="1"/>
  <c r="G338" i="55" s="1"/>
  <c r="G336" i="55" a="1"/>
  <c r="G336" i="55" s="1"/>
  <c r="G337" i="55" a="1"/>
  <c r="G337" i="55" s="1"/>
  <c r="G435" i="55" a="1"/>
  <c r="G435" i="55" s="1"/>
  <c r="I160" i="55" a="1"/>
  <c r="I160" i="55" s="1"/>
  <c r="I453" i="55" a="1"/>
  <c r="I453" i="55" s="1"/>
  <c r="I169" i="55" a="1"/>
  <c r="I169" i="55" s="1"/>
  <c r="G211" i="55" a="1"/>
  <c r="G211" i="55" s="1"/>
  <c r="G254" i="55" a="1"/>
  <c r="G254" i="55" s="1"/>
  <c r="G368" i="55" a="1"/>
  <c r="G368" i="55" s="1"/>
  <c r="G156" i="55" a="1"/>
  <c r="G156" i="55" s="1"/>
  <c r="G157" i="55" a="1"/>
  <c r="G157" i="55" s="1"/>
  <c r="G192" i="55" a="1"/>
  <c r="G192" i="55" s="1"/>
  <c r="G286" i="55" a="1"/>
  <c r="G286" i="55" s="1"/>
  <c r="I232" i="55" a="1"/>
  <c r="I232" i="55" s="1"/>
  <c r="I284" i="55" a="1"/>
  <c r="I284" i="55" s="1"/>
  <c r="I378" i="55" a="1"/>
  <c r="I378" i="55" s="1"/>
  <c r="I358" i="55" a="1"/>
  <c r="I358" i="55" s="1"/>
  <c r="I376" i="55" a="1"/>
  <c r="I376" i="55" s="1"/>
  <c r="I153" i="55" a="1"/>
  <c r="I153" i="55" s="1"/>
  <c r="I275" i="55" a="1"/>
  <c r="I275" i="55" s="1"/>
  <c r="I191" i="55" a="1"/>
  <c r="I191" i="55" s="1"/>
  <c r="I285" i="55" a="1"/>
  <c r="I285" i="55" s="1"/>
  <c r="I271" i="55" a="1"/>
  <c r="I271" i="55" s="1"/>
  <c r="G308" i="55" a="1"/>
  <c r="G308" i="55" s="1"/>
  <c r="G174" i="55" a="1"/>
  <c r="G174" i="55" s="1"/>
  <c r="G351" i="55" a="1"/>
  <c r="G351" i="55" s="1"/>
  <c r="G367" i="55" a="1"/>
  <c r="G367" i="55" s="1"/>
  <c r="G360" i="55" a="1"/>
  <c r="G360" i="55" s="1"/>
  <c r="G428" i="55" a="1"/>
  <c r="G428" i="55" s="1"/>
  <c r="I451" i="55" a="1"/>
  <c r="I451" i="55" s="1"/>
  <c r="I341" i="55" a="1"/>
  <c r="I341" i="55" s="1"/>
  <c r="I346" i="55" a="1"/>
  <c r="I346" i="55" s="1"/>
  <c r="I347" i="55" a="1"/>
  <c r="I347" i="55" s="1"/>
  <c r="G160" i="55" a="1"/>
  <c r="G160" i="55" s="1"/>
  <c r="G453" i="55" a="1"/>
  <c r="G453" i="55" s="1"/>
  <c r="G169" i="55" a="1"/>
  <c r="G169" i="55" s="1"/>
  <c r="I196" i="55" a="1"/>
  <c r="I196" i="55" s="1"/>
  <c r="I212" i="55" a="1"/>
  <c r="I212" i="55" s="1"/>
  <c r="I300" i="55" a="1"/>
  <c r="I300" i="55" s="1"/>
  <c r="G483" i="55" a="1"/>
  <c r="G483" i="55" s="1"/>
  <c r="I380" i="55" a="1"/>
  <c r="I380" i="55" s="1"/>
  <c r="G340" i="55" a="1"/>
  <c r="G340" i="55" s="1"/>
  <c r="G339" i="55" a="1"/>
  <c r="G339" i="55" s="1"/>
  <c r="G345" i="55" a="1"/>
  <c r="G345" i="55" s="1"/>
  <c r="I428" i="55" a="1"/>
  <c r="I428" i="55" s="1"/>
  <c r="I401" i="55" a="1"/>
  <c r="I401" i="55" s="1"/>
  <c r="I409" i="55" a="1"/>
  <c r="I409" i="55" s="1"/>
  <c r="I446" i="55" a="1"/>
  <c r="I446" i="55" s="1"/>
  <c r="G182" i="55" a="1"/>
  <c r="G182" i="55" s="1"/>
  <c r="G213" i="55" a="1"/>
  <c r="G213" i="55" s="1"/>
  <c r="G363" i="55" a="1"/>
  <c r="G363" i="55" s="1"/>
  <c r="G153" i="55" a="1"/>
  <c r="G153" i="55" s="1"/>
  <c r="G275" i="55" a="1"/>
  <c r="G275" i="55" s="1"/>
  <c r="G191" i="55" a="1"/>
  <c r="G191" i="55" s="1"/>
  <c r="G285" i="55" a="1"/>
  <c r="G285" i="55" s="1"/>
  <c r="G271" i="55" a="1"/>
  <c r="G271" i="55" s="1"/>
  <c r="I308" i="55" a="1"/>
  <c r="I308" i="55" s="1"/>
  <c r="I174" i="55" a="1"/>
  <c r="I174" i="55" s="1"/>
  <c r="I351" i="55" a="1"/>
  <c r="I351" i="55" s="1"/>
  <c r="I367" i="55" a="1"/>
  <c r="I367" i="55" s="1"/>
  <c r="I360" i="55" a="1"/>
  <c r="I360" i="55" s="1"/>
  <c r="I152" i="55" a="1"/>
  <c r="I152" i="55" s="1"/>
  <c r="I280" i="55" a="1"/>
  <c r="I280" i="55" s="1"/>
  <c r="I179" i="55" a="1"/>
  <c r="I179" i="55" s="1"/>
  <c r="I248" i="55" a="1"/>
  <c r="I248" i="55" s="1"/>
  <c r="G230" i="55" a="1"/>
  <c r="G230" i="55" s="1"/>
  <c r="G393" i="55" a="1"/>
  <c r="G393" i="55" s="1"/>
  <c r="G355" i="55" a="1"/>
  <c r="G355" i="55" s="1"/>
  <c r="G373" i="55" a="1"/>
  <c r="G373" i="55" s="1"/>
  <c r="I362" i="55" a="1"/>
  <c r="I362" i="55" s="1"/>
  <c r="I445" i="55" a="1"/>
  <c r="I445" i="55" s="1"/>
  <c r="I363" i="55" a="1"/>
  <c r="I363" i="55" s="1"/>
  <c r="I334" i="55" a="1"/>
  <c r="I334" i="55" s="1"/>
  <c r="I344" i="55" a="1"/>
  <c r="I344" i="55" s="1"/>
  <c r="I335" i="55" a="1"/>
  <c r="I335" i="55" s="1"/>
  <c r="I427" i="55" a="1"/>
  <c r="I427" i="55" s="1"/>
  <c r="G401" i="55" a="1"/>
  <c r="G401" i="55" s="1"/>
  <c r="G409" i="55" a="1"/>
  <c r="G409" i="55" s="1"/>
  <c r="G446" i="55" a="1"/>
  <c r="G446" i="55" s="1"/>
  <c r="I211" i="55" a="1"/>
  <c r="I211" i="55" s="1"/>
  <c r="I254" i="55" a="1"/>
  <c r="I254" i="55" s="1"/>
  <c r="G362" i="55" a="1"/>
  <c r="G362" i="55" s="1"/>
  <c r="I435" i="55" a="1"/>
  <c r="I435" i="55" s="1"/>
  <c r="G451" i="55" a="1"/>
  <c r="G451" i="55" s="1"/>
  <c r="K451" i="55" s="1"/>
  <c r="G341" i="55" a="1"/>
  <c r="G341" i="55" s="1"/>
  <c r="G346" i="55" a="1"/>
  <c r="G346" i="55" s="1"/>
  <c r="G347" i="55" a="1"/>
  <c r="G347" i="55" s="1"/>
  <c r="I450" i="55" a="1"/>
  <c r="I450" i="55" s="1"/>
  <c r="I455" i="55" a="1"/>
  <c r="I455" i="55" s="1"/>
  <c r="I333" i="55" a="1"/>
  <c r="I333" i="55" s="1"/>
  <c r="G250" i="55" a="1"/>
  <c r="G250" i="55" s="1"/>
  <c r="G301" i="55" a="1"/>
  <c r="G301" i="55" s="1"/>
  <c r="G369" i="55" a="1"/>
  <c r="G369" i="55" s="1"/>
  <c r="G152" i="55" a="1"/>
  <c r="G152" i="55" s="1"/>
  <c r="G280" i="55" a="1"/>
  <c r="G280" i="55" s="1"/>
  <c r="G179" i="55" a="1"/>
  <c r="G179" i="55" s="1"/>
  <c r="G248" i="55" a="1"/>
  <c r="G248" i="55" s="1"/>
  <c r="I230" i="55" a="1"/>
  <c r="I230" i="55" s="1"/>
  <c r="I393" i="55" a="1"/>
  <c r="I393" i="55" s="1"/>
  <c r="I355" i="55" a="1"/>
  <c r="I355" i="55" s="1"/>
  <c r="I373" i="55" a="1"/>
  <c r="I373" i="55" s="1"/>
  <c r="I155" i="55" a="1"/>
  <c r="I155" i="55" s="1"/>
  <c r="I162" i="55" a="1"/>
  <c r="I162" i="55" s="1"/>
  <c r="I277" i="55" a="1"/>
  <c r="I277" i="55" s="1"/>
  <c r="I181" i="55" a="1"/>
  <c r="I181" i="55" s="1"/>
  <c r="I209" i="55" a="1"/>
  <c r="I209" i="55" s="1"/>
  <c r="G261" i="55" a="1"/>
  <c r="G261" i="55" s="1"/>
  <c r="G305" i="55" a="1"/>
  <c r="G305" i="55" s="1"/>
  <c r="G400" i="55" a="1"/>
  <c r="G400" i="55" s="1"/>
  <c r="G365" i="55" a="1"/>
  <c r="G365" i="55" s="1"/>
  <c r="G372" i="55" a="1"/>
  <c r="G372" i="55" s="1"/>
  <c r="G452" i="55" a="1"/>
  <c r="G452" i="55" s="1"/>
  <c r="K452" i="55" s="1"/>
  <c r="I444" i="55" a="1"/>
  <c r="I444" i="55" s="1"/>
  <c r="I369" i="55" a="1"/>
  <c r="I369" i="55" s="1"/>
  <c r="I338" i="55" a="1"/>
  <c r="I338" i="55" s="1"/>
  <c r="I336" i="55" a="1"/>
  <c r="I336" i="55" s="1"/>
  <c r="I337" i="55" a="1"/>
  <c r="I337" i="55" s="1"/>
  <c r="G450" i="55" a="1"/>
  <c r="G450" i="55" s="1"/>
  <c r="G455" i="55" a="1"/>
  <c r="G455" i="55" s="1"/>
  <c r="G333" i="55" a="1"/>
  <c r="G333" i="55" s="1"/>
  <c r="G445" i="55" a="1"/>
  <c r="G445" i="55" s="1"/>
  <c r="I182" i="55" a="1"/>
  <c r="I182" i="55" s="1"/>
  <c r="I213" i="55" a="1"/>
  <c r="I213" i="55" s="1"/>
  <c r="I368" i="55" a="1"/>
  <c r="I368" i="55" s="1"/>
  <c r="G444" i="55" a="1"/>
  <c r="G444" i="55" s="1"/>
  <c r="G334" i="55" a="1"/>
  <c r="G334" i="55" s="1"/>
  <c r="G344" i="55" a="1"/>
  <c r="G344" i="55" s="1"/>
  <c r="G335" i="55" a="1"/>
  <c r="G335" i="55" s="1"/>
  <c r="G427" i="55" a="1"/>
  <c r="G427" i="55" s="1"/>
  <c r="I161" i="55" a="1"/>
  <c r="I161" i="55" s="1"/>
  <c r="I454" i="55" a="1"/>
  <c r="I454" i="55" s="1"/>
  <c r="I332" i="55" a="1"/>
  <c r="I332" i="55" s="1"/>
  <c r="G196" i="55" a="1"/>
  <c r="G196" i="55" s="1"/>
  <c r="K196" i="55" s="1"/>
  <c r="G212" i="55" a="1"/>
  <c r="G212" i="55" s="1"/>
  <c r="K212" i="55" s="1"/>
  <c r="G300" i="55" a="1"/>
  <c r="G300" i="55" s="1"/>
  <c r="K300" i="55" s="1"/>
  <c r="A3" i="15"/>
  <c r="A2" i="15"/>
  <c r="N8" i="73"/>
  <c r="M8" i="73"/>
  <c r="A2" i="73"/>
  <c r="A1" i="73"/>
  <c r="Z14" i="34" l="1"/>
  <c r="Z1839" i="34"/>
  <c r="Z1730" i="34"/>
  <c r="Z1534" i="34"/>
  <c r="Z1841" i="34"/>
  <c r="Z2360" i="34"/>
  <c r="Z994" i="34"/>
  <c r="Z1336" i="34"/>
  <c r="Z2362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9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7" i="34"/>
  <c r="Z1538" i="34"/>
  <c r="Z2676" i="34"/>
  <c r="Z46" i="34"/>
  <c r="Z2675" i="34"/>
  <c r="Z2231" i="34"/>
  <c r="Z2215" i="34"/>
  <c r="Z2112" i="34"/>
  <c r="Z2038" i="34"/>
  <c r="Z2307" i="34"/>
  <c r="Z2291" i="34"/>
  <c r="Z2204" i="34"/>
  <c r="Z2188" i="34"/>
  <c r="Z2090" i="34"/>
  <c r="Z2030" i="34"/>
  <c r="Z2786" i="34"/>
  <c r="Z2592" i="34"/>
  <c r="Z2608" i="34"/>
  <c r="Z2561" i="34"/>
  <c r="Z2577" i="34"/>
  <c r="Z2660" i="34"/>
  <c r="Z2718" i="34"/>
  <c r="Z2734" i="34"/>
  <c r="Z2479" i="34"/>
  <c r="Z2829" i="34"/>
  <c r="Z2496" i="34"/>
  <c r="Z2516" i="34"/>
  <c r="Z2532" i="34"/>
  <c r="Z2638" i="34"/>
  <c r="Z2553" i="34"/>
  <c r="Z2460" i="34"/>
  <c r="Z2692" i="34"/>
  <c r="Z2648" i="34"/>
  <c r="Z2545" i="34"/>
  <c r="Z2491" i="34"/>
  <c r="Z2471" i="34"/>
  <c r="Z2764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9" i="34"/>
  <c r="Z2605" i="34"/>
  <c r="Z2670" i="34"/>
  <c r="Z2570" i="34"/>
  <c r="Z2657" i="34"/>
  <c r="Z2723" i="34"/>
  <c r="Z2739" i="34"/>
  <c r="Z2517" i="34"/>
  <c r="Z2533" i="34"/>
  <c r="Z2631" i="34"/>
  <c r="Z2501" i="34"/>
  <c r="Z2695" i="34"/>
  <c r="Z2679" i="34"/>
  <c r="Z2490" i="34"/>
  <c r="Z2474" i="34"/>
  <c r="Z2771" i="34"/>
  <c r="Z2755" i="34"/>
  <c r="Z2221" i="34"/>
  <c r="Z2102" i="34"/>
  <c r="Z2036" i="34"/>
  <c r="Z2439" i="34"/>
  <c r="Z2381" i="34"/>
  <c r="Z2313" i="34"/>
  <c r="Z2297" i="34"/>
  <c r="Z2190" i="34"/>
  <c r="Z2084" i="34"/>
  <c r="Z2024" i="34"/>
  <c r="Z2784" i="34"/>
  <c r="Z2502" i="34"/>
  <c r="Z2598" i="34"/>
  <c r="Z2614" i="34"/>
  <c r="Z2559" i="34"/>
  <c r="Z2575" i="34"/>
  <c r="Z2650" i="34"/>
  <c r="Z2754" i="34"/>
  <c r="Z2707" i="34"/>
  <c r="Z2716" i="34"/>
  <c r="Z2732" i="34"/>
  <c r="Z2748" i="34"/>
  <c r="Z2450" i="34"/>
  <c r="Z2459" i="34"/>
  <c r="Z2514" i="34"/>
  <c r="Z2530" i="34"/>
  <c r="Z2628" i="34"/>
  <c r="Z2694" i="34"/>
  <c r="Z2678" i="34"/>
  <c r="Z2539" i="34"/>
  <c r="Z2473" i="34"/>
  <c r="Z2766" i="34"/>
  <c r="Z2228" i="34"/>
  <c r="Z2212" i="34"/>
  <c r="Z2113" i="34"/>
  <c r="Z2097" i="34"/>
  <c r="Z2047" i="34"/>
  <c r="Z2380" i="34"/>
  <c r="Z2304" i="34"/>
  <c r="Z2205" i="34"/>
  <c r="Z2189" i="34"/>
  <c r="Z2083" i="34"/>
  <c r="Z2023" i="34"/>
  <c r="Z2461" i="34"/>
  <c r="Z2595" i="34"/>
  <c r="Z2611" i="34"/>
  <c r="Z2560" i="34"/>
  <c r="Z2576" i="34"/>
  <c r="Z2751" i="34"/>
  <c r="Z2765" i="34"/>
  <c r="Z2708" i="34"/>
  <c r="Z2721" i="34"/>
  <c r="Z2737" i="34"/>
  <c r="Z2503" i="34"/>
  <c r="Z2519" i="34"/>
  <c r="Z2535" i="34"/>
  <c r="Z2550" i="34"/>
  <c r="Z2701" i="34"/>
  <c r="Z2681" i="34"/>
  <c r="Z2476" i="34"/>
  <c r="Z2455" i="34"/>
  <c r="Z2757" i="34"/>
  <c r="Z2321" i="34"/>
  <c r="Z2235" i="34"/>
  <c r="Z2219" i="34"/>
  <c r="Z2100" i="34"/>
  <c r="Z2042" i="34"/>
  <c r="Z2437" i="34"/>
  <c r="Z2311" i="34"/>
  <c r="Z2295" i="34"/>
  <c r="Z2208" i="34"/>
  <c r="Z2192" i="34"/>
  <c r="Z2094" i="34"/>
  <c r="Z2034" i="34"/>
  <c r="Z2782" i="34"/>
  <c r="Z2588" i="34"/>
  <c r="Z2604" i="34"/>
  <c r="Z2673" i="34"/>
  <c r="Z2573" i="34"/>
  <c r="Z2623" i="34"/>
  <c r="Z2656" i="34"/>
  <c r="Z2641" i="34"/>
  <c r="Z2714" i="34"/>
  <c r="Z2730" i="34"/>
  <c r="Z2746" i="34"/>
  <c r="Z2457" i="34"/>
  <c r="Z2512" i="34"/>
  <c r="Z2528" i="34"/>
  <c r="Z2634" i="34"/>
  <c r="Z2557" i="34"/>
  <c r="Z2696" i="34"/>
  <c r="Z2680" i="34"/>
  <c r="Z2549" i="34"/>
  <c r="Z2475" i="34"/>
  <c r="Z2454" i="34"/>
  <c r="Z2768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7" i="34"/>
  <c r="Z2585" i="34"/>
  <c r="Z2601" i="34"/>
  <c r="Z2617" i="34"/>
  <c r="Z2666" i="34"/>
  <c r="Z2566" i="34"/>
  <c r="Z2582" i="34"/>
  <c r="Z2653" i="34"/>
  <c r="Z2693" i="34"/>
  <c r="Z2719" i="34"/>
  <c r="Z2735" i="34"/>
  <c r="Z2513" i="34"/>
  <c r="Z2529" i="34"/>
  <c r="Z2699" i="34"/>
  <c r="Z2683" i="34"/>
  <c r="Z2540" i="34"/>
  <c r="Z2478" i="34"/>
  <c r="Z2775" i="34"/>
  <c r="Z2759" i="34"/>
  <c r="Z2198" i="34"/>
  <c r="Z2319" i="34"/>
  <c r="Z2225" i="34"/>
  <c r="Z2106" i="34"/>
  <c r="Z2040" i="34"/>
  <c r="Z2317" i="34"/>
  <c r="Z2301" i="34"/>
  <c r="Z2194" i="34"/>
  <c r="Z2088" i="34"/>
  <c r="Z2028" i="34"/>
  <c r="Z2780" i="34"/>
  <c r="Z2594" i="34"/>
  <c r="Z2610" i="34"/>
  <c r="Z2625" i="34"/>
  <c r="Z2671" i="34"/>
  <c r="Z2571" i="34"/>
  <c r="Z2750" i="34"/>
  <c r="Z2712" i="34"/>
  <c r="Z2728" i="34"/>
  <c r="Z2744" i="34"/>
  <c r="Z2481" i="34"/>
  <c r="Z2494" i="34"/>
  <c r="Z2831" i="34"/>
  <c r="Z2510" i="34"/>
  <c r="Z2526" i="34"/>
  <c r="Z2640" i="34"/>
  <c r="Z2551" i="34"/>
  <c r="Z2698" i="34"/>
  <c r="Z2682" i="34"/>
  <c r="Z2543" i="34"/>
  <c r="Z2477" i="34"/>
  <c r="Z2770" i="34"/>
  <c r="Z2232" i="34"/>
  <c r="Z2216" i="34"/>
  <c r="Z2101" i="34"/>
  <c r="Z2035" i="34"/>
  <c r="Z2308" i="34"/>
  <c r="Z2292" i="34"/>
  <c r="Z2209" i="34"/>
  <c r="Z2193" i="34"/>
  <c r="Z2087" i="34"/>
  <c r="Z2027" i="34"/>
  <c r="Z2785" i="34"/>
  <c r="Z2591" i="34"/>
  <c r="Z2607" i="34"/>
  <c r="Z2626" i="34"/>
  <c r="Z2672" i="34"/>
  <c r="Z2572" i="34"/>
  <c r="Z2659" i="34"/>
  <c r="Z2717" i="34"/>
  <c r="Z2733" i="34"/>
  <c r="Z2749" i="34"/>
  <c r="Z2472" i="34"/>
  <c r="Z2495" i="34"/>
  <c r="Z2515" i="34"/>
  <c r="Z2531" i="34"/>
  <c r="Z2637" i="34"/>
  <c r="Z2554" i="34"/>
  <c r="Z2705" i="34"/>
  <c r="Z2685" i="34"/>
  <c r="Z2538" i="34"/>
  <c r="Z2484" i="34"/>
  <c r="Z2761" i="34"/>
  <c r="Z2325" i="34"/>
  <c r="Z2223" i="34"/>
  <c r="Z2104" i="34"/>
  <c r="Z2046" i="34"/>
  <c r="Z2441" i="34"/>
  <c r="Z2315" i="34"/>
  <c r="Z2299" i="34"/>
  <c r="Z2196" i="34"/>
  <c r="Z2082" i="34"/>
  <c r="Z2022" i="34"/>
  <c r="Z2778" i="34"/>
  <c r="Z2584" i="34"/>
  <c r="Z2600" i="34"/>
  <c r="Z2616" i="34"/>
  <c r="Z2669" i="34"/>
  <c r="Z2569" i="34"/>
  <c r="Z2652" i="34"/>
  <c r="Z2710" i="34"/>
  <c r="Z2726" i="34"/>
  <c r="Z2742" i="34"/>
  <c r="Z2449" i="34"/>
  <c r="Z2492" i="34"/>
  <c r="Z2508" i="34"/>
  <c r="Z2524" i="34"/>
  <c r="Z2620" i="34"/>
  <c r="Z2630" i="34"/>
  <c r="Z2700" i="34"/>
  <c r="Z2684" i="34"/>
  <c r="Z2483" i="34"/>
  <c r="Z2772" i="34"/>
  <c r="Z2756" i="34"/>
  <c r="Z2222" i="34"/>
  <c r="Z2037" i="34"/>
  <c r="Z2378" i="34"/>
  <c r="Z2310" i="34"/>
  <c r="Z2294" i="34"/>
  <c r="Z2203" i="34"/>
  <c r="Z2187" i="34"/>
  <c r="Z2089" i="34"/>
  <c r="Z2029" i="34"/>
  <c r="Z2783" i="34"/>
  <c r="Z2597" i="34"/>
  <c r="Z2613" i="34"/>
  <c r="Z2662" i="34"/>
  <c r="Z2788" i="34"/>
  <c r="Z2562" i="34"/>
  <c r="Z2578" i="34"/>
  <c r="Z2753" i="34"/>
  <c r="Z2715" i="34"/>
  <c r="Z2731" i="34"/>
  <c r="Z2747" i="34"/>
  <c r="Z2480" i="34"/>
  <c r="Z2493" i="34"/>
  <c r="Z2458" i="34"/>
  <c r="Z2509" i="34"/>
  <c r="Z2525" i="34"/>
  <c r="Z2621" i="34"/>
  <c r="Z2639" i="34"/>
  <c r="Z2552" i="34"/>
  <c r="Z2703" i="34"/>
  <c r="Z2687" i="34"/>
  <c r="Z2643" i="34"/>
  <c r="Z2544" i="34"/>
  <c r="Z2499" i="34"/>
  <c r="Z2482" i="34"/>
  <c r="Z2466" i="34"/>
  <c r="Z2763" i="34"/>
  <c r="Z2323" i="34"/>
  <c r="Z2229" i="34"/>
  <c r="Z2213" i="34"/>
  <c r="Z2110" i="34"/>
  <c r="Z2044" i="34"/>
  <c r="Z2305" i="34"/>
  <c r="Z2289" i="34"/>
  <c r="Z2202" i="34"/>
  <c r="Z2092" i="34"/>
  <c r="Z2032" i="34"/>
  <c r="Z2590" i="34"/>
  <c r="Z2606" i="34"/>
  <c r="Z2667" i="34"/>
  <c r="Z2567" i="34"/>
  <c r="Z2583" i="34"/>
  <c r="Z2658" i="34"/>
  <c r="Z2724" i="34"/>
  <c r="Z2740" i="34"/>
  <c r="Z2506" i="34"/>
  <c r="Z2522" i="34"/>
  <c r="Z2618" i="34"/>
  <c r="Z2636" i="34"/>
  <c r="Z2555" i="34"/>
  <c r="Z2702" i="34"/>
  <c r="Z2686" i="34"/>
  <c r="Z2642" i="34"/>
  <c r="Z2547" i="34"/>
  <c r="Z2498" i="34"/>
  <c r="Z2485" i="34"/>
  <c r="Z2465" i="34"/>
  <c r="Z2452" i="34"/>
  <c r="Z2774" i="34"/>
  <c r="Z2758" i="34"/>
  <c r="Z2322" i="34"/>
  <c r="Z2236" i="34"/>
  <c r="Z2220" i="34"/>
  <c r="Z2105" i="34"/>
  <c r="Z2039" i="34"/>
  <c r="Z2438" i="34"/>
  <c r="Z2312" i="34"/>
  <c r="Z2296" i="34"/>
  <c r="Z2197" i="34"/>
  <c r="Z2091" i="34"/>
  <c r="Z2031" i="34"/>
  <c r="Z2781" i="34"/>
  <c r="Z2587" i="34"/>
  <c r="Z2603" i="34"/>
  <c r="Z2668" i="34"/>
  <c r="Z2568" i="34"/>
  <c r="Z2655" i="34"/>
  <c r="Z2713" i="34"/>
  <c r="Z2729" i="34"/>
  <c r="Z2745" i="34"/>
  <c r="Z2464" i="34"/>
  <c r="Z2511" i="34"/>
  <c r="Z2527" i="34"/>
  <c r="Z2633" i="34"/>
  <c r="Z2558" i="34"/>
  <c r="Z2689" i="34"/>
  <c r="Z2645" i="34"/>
  <c r="Z2542" i="34"/>
  <c r="Z2497" i="34"/>
  <c r="Z2488" i="34"/>
  <c r="Z2769" i="34"/>
  <c r="Z2329" i="34"/>
  <c r="Z2227" i="34"/>
  <c r="Z2211" i="34"/>
  <c r="Z2108" i="34"/>
  <c r="Z2050" i="34"/>
  <c r="Z2379" i="34"/>
  <c r="Z1978" i="34"/>
  <c r="Z2303" i="34"/>
  <c r="Z2200" i="34"/>
  <c r="Z2184" i="34"/>
  <c r="Z2086" i="34"/>
  <c r="Z2026" i="34"/>
  <c r="Z2596" i="34"/>
  <c r="Z2612" i="34"/>
  <c r="Z2627" i="34"/>
  <c r="Z2665" i="34"/>
  <c r="Z2565" i="34"/>
  <c r="Z2581" i="34"/>
  <c r="Z2752" i="34"/>
  <c r="Z2722" i="34"/>
  <c r="Z2738" i="34"/>
  <c r="Z2504" i="34"/>
  <c r="Z2520" i="34"/>
  <c r="Z2536" i="34"/>
  <c r="Z2704" i="34"/>
  <c r="Z2688" i="34"/>
  <c r="Z2644" i="34"/>
  <c r="Z2541" i="34"/>
  <c r="Z2500" i="34"/>
  <c r="Z2487" i="34"/>
  <c r="Z2467" i="34"/>
  <c r="Z2776" i="34"/>
  <c r="Z2760" i="34"/>
  <c r="Z2320" i="34"/>
  <c r="Z2226" i="34"/>
  <c r="Z2210" i="34"/>
  <c r="Z2103" i="34"/>
  <c r="Z2041" i="34"/>
  <c r="Z2440" i="34"/>
  <c r="Z2382" i="34"/>
  <c r="Z2314" i="34"/>
  <c r="Z2298" i="34"/>
  <c r="Z2207" i="34"/>
  <c r="Z2191" i="34"/>
  <c r="Z2093" i="34"/>
  <c r="Z2033" i="34"/>
  <c r="Z2779" i="34"/>
  <c r="Z2593" i="34"/>
  <c r="Z2609" i="34"/>
  <c r="Z2574" i="34"/>
  <c r="Z2624" i="34"/>
  <c r="Z2661" i="34"/>
  <c r="Z2711" i="34"/>
  <c r="Z2727" i="34"/>
  <c r="Z2743" i="34"/>
  <c r="Z2448" i="34"/>
  <c r="Z2462" i="34"/>
  <c r="Z2830" i="34"/>
  <c r="Z2505" i="34"/>
  <c r="Z2521" i="34"/>
  <c r="Z2537" i="34"/>
  <c r="Z2635" i="34"/>
  <c r="Z2556" i="34"/>
  <c r="Z2691" i="34"/>
  <c r="Z2647" i="34"/>
  <c r="Z2548" i="34"/>
  <c r="Z2486" i="34"/>
  <c r="Z2470" i="34"/>
  <c r="Z2453" i="34"/>
  <c r="Z2767" i="34"/>
  <c r="Z2327" i="34"/>
  <c r="Z2233" i="34"/>
  <c r="Z2217" i="34"/>
  <c r="Z2114" i="34"/>
  <c r="Z2098" i="34"/>
  <c r="Z2048" i="34"/>
  <c r="Z2377" i="34"/>
  <c r="Z2309" i="34"/>
  <c r="Z2293" i="34"/>
  <c r="Z2206" i="34"/>
  <c r="Z2186" i="34"/>
  <c r="Z2096" i="34"/>
  <c r="Z2080" i="34"/>
  <c r="Z2020" i="34"/>
  <c r="Z2586" i="34"/>
  <c r="Z2602" i="34"/>
  <c r="Z2663" i="34"/>
  <c r="Z2563" i="34"/>
  <c r="Z2579" i="34"/>
  <c r="Z2654" i="34"/>
  <c r="Z2720" i="34"/>
  <c r="Z2736" i="34"/>
  <c r="Z2463" i="34"/>
  <c r="Z2518" i="34"/>
  <c r="Z2534" i="34"/>
  <c r="Z2632" i="34"/>
  <c r="Z2706" i="34"/>
  <c r="Z2690" i="34"/>
  <c r="Z2646" i="34"/>
  <c r="Z2489" i="34"/>
  <c r="Z2469" i="34"/>
  <c r="Z2762" i="34"/>
  <c r="Z2019" i="34"/>
  <c r="Z2326" i="34"/>
  <c r="Z2224" i="34"/>
  <c r="Z2109" i="34"/>
  <c r="Z2043" i="34"/>
  <c r="Z2376" i="34"/>
  <c r="Z2316" i="34"/>
  <c r="Z2300" i="34"/>
  <c r="Z2201" i="34"/>
  <c r="Z2185" i="34"/>
  <c r="Z2095" i="34"/>
  <c r="Z2079" i="34"/>
  <c r="Z2773" i="34"/>
  <c r="Z2599" i="34"/>
  <c r="Z2615" i="34"/>
  <c r="Z2664" i="34"/>
  <c r="Z2564" i="34"/>
  <c r="Z2580" i="34"/>
  <c r="Z2622" i="34"/>
  <c r="Z2651" i="34"/>
  <c r="Z2725" i="34"/>
  <c r="Z2741" i="34"/>
  <c r="Z2456" i="34"/>
  <c r="Z2674" i="34"/>
  <c r="Z2507" i="34"/>
  <c r="Z2523" i="34"/>
  <c r="Z2619" i="34"/>
  <c r="Z2629" i="34"/>
  <c r="Z2697" i="34"/>
  <c r="Z2649" i="34"/>
  <c r="Z2546" i="34"/>
  <c r="Z2468" i="34"/>
  <c r="Z2451" i="34"/>
  <c r="Z2777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7" i="34"/>
  <c r="Z1899" i="34"/>
  <c r="Z1897" i="34"/>
  <c r="Z1902" i="34"/>
  <c r="Z1960" i="34"/>
  <c r="Z1892" i="34"/>
  <c r="Z2415" i="34"/>
  <c r="Z1859" i="34"/>
  <c r="Z2146" i="34"/>
  <c r="Z2147" i="34"/>
  <c r="Z2259" i="34"/>
  <c r="Z2275" i="34"/>
  <c r="Z2372" i="34"/>
  <c r="Z1972" i="34"/>
  <c r="Z1992" i="34"/>
  <c r="Z2059" i="34"/>
  <c r="Z2129" i="34"/>
  <c r="Z1904" i="34"/>
  <c r="Z1885" i="34"/>
  <c r="Z2399" i="34"/>
  <c r="Z2410" i="34"/>
  <c r="Z2426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31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4" i="34"/>
  <c r="Z2436" i="34"/>
  <c r="Z1990" i="34"/>
  <c r="Z2053" i="34"/>
  <c r="Z2131" i="34"/>
  <c r="Z1825" i="34"/>
  <c r="Z1879" i="34"/>
  <c r="Z2397" i="34"/>
  <c r="Z2424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7" i="34"/>
  <c r="Z2010" i="34"/>
  <c r="Z2063" i="34"/>
  <c r="Z1744" i="34"/>
  <c r="Z1766" i="34"/>
  <c r="Z1816" i="34"/>
  <c r="Z1872" i="34"/>
  <c r="Z2078" i="34"/>
  <c r="Z2171" i="34"/>
  <c r="Z2271" i="34"/>
  <c r="Z2287" i="34"/>
  <c r="Z2368" i="34"/>
  <c r="Z2434" i="34"/>
  <c r="Z1988" i="34"/>
  <c r="Z2055" i="34"/>
  <c r="Z2125" i="34"/>
  <c r="Z2141" i="34"/>
  <c r="Z1939" i="34"/>
  <c r="Z1835" i="34"/>
  <c r="Z1881" i="34"/>
  <c r="Z1922" i="34"/>
  <c r="Z1947" i="34"/>
  <c r="Z2422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3" i="34"/>
  <c r="Z1977" i="34"/>
  <c r="Z1997" i="34"/>
  <c r="Z2056" i="34"/>
  <c r="Z2126" i="34"/>
  <c r="Z2142" i="34"/>
  <c r="Z1824" i="34"/>
  <c r="Z1878" i="34"/>
  <c r="Z1981" i="34"/>
  <c r="Z2364" i="34"/>
  <c r="Z2427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70" i="34"/>
  <c r="Z1986" i="34"/>
  <c r="Z2127" i="34"/>
  <c r="Z2143" i="34"/>
  <c r="Z1910" i="34"/>
  <c r="Z1891" i="34"/>
  <c r="Z2000" i="34"/>
  <c r="Z2393" i="34"/>
  <c r="Z2412" i="34"/>
  <c r="Z2420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5" i="34"/>
  <c r="Z1971" i="34"/>
  <c r="Z1991" i="34"/>
  <c r="Z2058" i="34"/>
  <c r="Z2120" i="34"/>
  <c r="Z2136" i="34"/>
  <c r="Z1903" i="34"/>
  <c r="Z1826" i="34"/>
  <c r="Z1888" i="34"/>
  <c r="Z1917" i="34"/>
  <c r="Z2145" i="34"/>
  <c r="Z2361" i="34"/>
  <c r="Z2006" i="34"/>
  <c r="Z1961" i="34"/>
  <c r="Z2828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30" i="34"/>
  <c r="Z1984" i="34"/>
  <c r="Z2051" i="34"/>
  <c r="Z2121" i="34"/>
  <c r="Z2137" i="34"/>
  <c r="Z1875" i="34"/>
  <c r="Z1912" i="34"/>
  <c r="Z1935" i="34"/>
  <c r="Z1831" i="34"/>
  <c r="Z1918" i="34"/>
  <c r="Z1943" i="34"/>
  <c r="Z2418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9" i="34"/>
  <c r="Z1973" i="34"/>
  <c r="Z1993" i="34"/>
  <c r="Z2052" i="34"/>
  <c r="Z2122" i="34"/>
  <c r="Z2138" i="34"/>
  <c r="Z1890" i="34"/>
  <c r="Z1919" i="34"/>
  <c r="Z2116" i="34"/>
  <c r="Z2396" i="34"/>
  <c r="Z2411" i="34"/>
  <c r="Z2423" i="34"/>
  <c r="Z2004" i="34"/>
  <c r="Z2069" i="34"/>
  <c r="Z1732" i="34"/>
  <c r="Z2416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32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7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71" i="34"/>
  <c r="Z1987" i="34"/>
  <c r="Z2054" i="34"/>
  <c r="Z2132" i="34"/>
  <c r="Z1884" i="34"/>
  <c r="Z1913" i="34"/>
  <c r="Z2398" i="34"/>
  <c r="Z2425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3" i="34"/>
  <c r="Z2390" i="34"/>
  <c r="Z2395" i="34"/>
  <c r="Z2011" i="34"/>
  <c r="Z2060" i="34"/>
  <c r="Z1731" i="34"/>
  <c r="Z2414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35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91" i="34"/>
  <c r="Z2406" i="34"/>
  <c r="Z2419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9" i="34"/>
  <c r="Z2365" i="34"/>
  <c r="Z2428" i="34"/>
  <c r="Z2826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33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6" i="34"/>
  <c r="Z2394" i="34"/>
  <c r="Z2409" i="34"/>
  <c r="Z2421" i="34"/>
  <c r="Z2014" i="34"/>
  <c r="Z2067" i="34"/>
  <c r="Z1791" i="34"/>
  <c r="Z1848" i="34"/>
  <c r="Z1741" i="34"/>
  <c r="Z1754" i="34"/>
  <c r="Z1820" i="34"/>
  <c r="Z2805" i="34"/>
  <c r="Z2821" i="34"/>
  <c r="Z2387" i="34"/>
  <c r="Z2447" i="34"/>
  <c r="Z2800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10" i="34"/>
  <c r="Z1733" i="34"/>
  <c r="Z2444" i="34"/>
  <c r="Z2797" i="34"/>
  <c r="Z2405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15" i="34"/>
  <c r="Z2389" i="34"/>
  <c r="Z2790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16" i="34"/>
  <c r="Z2442" i="34"/>
  <c r="Z2803" i="34"/>
  <c r="Z2403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7" i="34"/>
  <c r="Z1734" i="34"/>
  <c r="Z2796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806" i="34"/>
  <c r="Z2822" i="34"/>
  <c r="Z2388" i="34"/>
  <c r="Z2793" i="34"/>
  <c r="Z2401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11" i="34"/>
  <c r="Z2385" i="34"/>
  <c r="Z2802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12" i="34"/>
  <c r="Z2386" i="34"/>
  <c r="Z2799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13" i="34"/>
  <c r="Z2792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8" i="34"/>
  <c r="Z2384" i="34"/>
  <c r="Z2789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7" i="34"/>
  <c r="Z2823" i="34"/>
  <c r="Z1965" i="34"/>
  <c r="Z2798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8" i="34"/>
  <c r="Z2824" i="34"/>
  <c r="Z1749" i="34"/>
  <c r="Z2795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9" i="34"/>
  <c r="Z2825" i="34"/>
  <c r="Z2443" i="34"/>
  <c r="Z2404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14" i="34"/>
  <c r="Z2801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9" i="34"/>
  <c r="Z2445" i="34"/>
  <c r="Z2794" i="34"/>
  <c r="Z2402" i="34"/>
  <c r="Z2342" i="34"/>
  <c r="Z2383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804" i="34"/>
  <c r="Z2820" i="34"/>
  <c r="Z2446" i="34"/>
  <c r="Z2791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72" i="55"/>
  <c r="K400" i="55"/>
  <c r="K261" i="55"/>
  <c r="K250" i="55"/>
  <c r="K292" i="55"/>
  <c r="K316" i="55"/>
  <c r="K365" i="55"/>
  <c r="K305" i="55"/>
  <c r="K301" i="55"/>
  <c r="K335" i="55"/>
  <c r="K334" i="55"/>
  <c r="K192" i="55"/>
  <c r="K156" i="55"/>
  <c r="K401" i="55"/>
  <c r="K286" i="55"/>
  <c r="K23" i="55"/>
  <c r="K22" i="55"/>
  <c r="K347" i="55"/>
  <c r="K446" i="55"/>
  <c r="K427" i="55"/>
  <c r="K157" i="55"/>
  <c r="K191" i="55"/>
  <c r="K453" i="55"/>
  <c r="K344" i="55"/>
  <c r="K271" i="55"/>
  <c r="K153" i="55"/>
  <c r="K248" i="55"/>
  <c r="K152" i="55"/>
  <c r="K275" i="55"/>
  <c r="K160" i="55"/>
  <c r="K345" i="55"/>
  <c r="K169" i="55"/>
  <c r="K455" i="55"/>
  <c r="K179" i="55"/>
  <c r="K409" i="55"/>
  <c r="K470" i="55"/>
  <c r="K475" i="55"/>
  <c r="K467" i="55"/>
  <c r="K407" i="55"/>
  <c r="K329" i="55"/>
  <c r="K205" i="55"/>
  <c r="K457" i="55"/>
  <c r="K459" i="55"/>
  <c r="K257" i="55"/>
  <c r="K202" i="55"/>
  <c r="K302" i="55"/>
  <c r="K203" i="55"/>
  <c r="K251" i="55"/>
  <c r="K304" i="55"/>
  <c r="K256" i="55"/>
  <c r="K469" i="55"/>
  <c r="K278" i="55"/>
  <c r="K186" i="55"/>
  <c r="K200" i="55"/>
  <c r="K214" i="55"/>
  <c r="K243" i="55"/>
  <c r="K227" i="55"/>
  <c r="K447" i="55"/>
  <c r="K479" i="55"/>
  <c r="K246" i="55"/>
  <c r="K293" i="55"/>
  <c r="K260" i="55"/>
  <c r="K465" i="55"/>
  <c r="K266" i="55"/>
  <c r="K312" i="55"/>
  <c r="K327" i="55"/>
  <c r="K238" i="55"/>
  <c r="K259" i="55"/>
  <c r="K476" i="55"/>
  <c r="K473" i="55"/>
  <c r="K482" i="55"/>
  <c r="K189" i="55"/>
  <c r="K443" i="55"/>
  <c r="K330" i="55"/>
  <c r="K220" i="55"/>
  <c r="K438" i="55"/>
  <c r="K412" i="55"/>
  <c r="K458" i="55"/>
  <c r="K287" i="55"/>
  <c r="K291" i="55"/>
  <c r="K252" i="55"/>
  <c r="K215" i="55"/>
  <c r="K328" i="55"/>
  <c r="K404" i="55"/>
  <c r="K183" i="55"/>
  <c r="K253" i="55"/>
  <c r="K187" i="55"/>
  <c r="K234" i="55"/>
  <c r="K283" i="55"/>
  <c r="K216" i="55"/>
  <c r="K471" i="55"/>
  <c r="K265" i="55"/>
  <c r="K199" i="55"/>
  <c r="K448" i="55"/>
  <c r="K262" i="55"/>
  <c r="K233" i="55"/>
  <c r="K314" i="55"/>
  <c r="K210" i="55"/>
  <c r="K173" i="55"/>
  <c r="K463" i="55"/>
  <c r="K474" i="55"/>
  <c r="K297" i="55"/>
  <c r="K319" i="55"/>
  <c r="K180" i="55"/>
  <c r="K245" i="55"/>
  <c r="K450" i="55"/>
  <c r="K162" i="55"/>
  <c r="K174" i="55"/>
  <c r="K209" i="55"/>
  <c r="K155" i="55"/>
  <c r="K230" i="55"/>
  <c r="K213" i="55"/>
  <c r="K254" i="55"/>
  <c r="K161" i="55"/>
  <c r="K232" i="55"/>
  <c r="K181" i="55"/>
  <c r="K182" i="55"/>
  <c r="K211" i="55"/>
  <c r="K277" i="55"/>
  <c r="K362" i="55"/>
  <c r="K280" i="55"/>
  <c r="K346" i="55"/>
  <c r="K339" i="55"/>
  <c r="K428" i="55"/>
  <c r="K333" i="55"/>
  <c r="K483" i="55"/>
  <c r="K341" i="55"/>
  <c r="K340" i="55"/>
  <c r="K445" i="55"/>
  <c r="K285" i="55"/>
  <c r="K363" i="55"/>
  <c r="K369" i="55"/>
  <c r="K355" i="55"/>
  <c r="K351" i="55"/>
  <c r="K337" i="55"/>
  <c r="K332" i="55"/>
  <c r="K378" i="55"/>
  <c r="K393" i="55"/>
  <c r="K336" i="55"/>
  <c r="K454" i="55"/>
  <c r="K284" i="55"/>
  <c r="K360" i="55"/>
  <c r="K308" i="55"/>
  <c r="K368" i="55"/>
  <c r="K338" i="55"/>
  <c r="K380" i="55"/>
  <c r="K376" i="55"/>
  <c r="K449" i="55"/>
  <c r="K444" i="55"/>
  <c r="K373" i="55"/>
  <c r="K367" i="55"/>
  <c r="K435" i="55"/>
  <c r="K358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P14" i="34" l="1"/>
  <c r="Q14" i="34"/>
  <c r="O14" i="34"/>
  <c r="P2360" i="34"/>
  <c r="O1536" i="34"/>
  <c r="O994" i="34"/>
  <c r="Q1730" i="34"/>
  <c r="Q1336" i="34"/>
  <c r="P1534" i="34"/>
  <c r="O1841" i="34"/>
  <c r="O2360" i="34"/>
  <c r="P2362" i="34"/>
  <c r="P1839" i="34"/>
  <c r="Q1536" i="34"/>
  <c r="O1534" i="34"/>
  <c r="Q1841" i="34"/>
  <c r="Q2360" i="34"/>
  <c r="O2362" i="34"/>
  <c r="O1839" i="34"/>
  <c r="P994" i="34"/>
  <c r="P1730" i="34"/>
  <c r="P1336" i="34"/>
  <c r="Q1534" i="34"/>
  <c r="Q2362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9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9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9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7" i="34"/>
  <c r="Q2677" i="34"/>
  <c r="P1538" i="34"/>
  <c r="O2677" i="34"/>
  <c r="P2675" i="34"/>
  <c r="P2676" i="34"/>
  <c r="Q46" i="34"/>
  <c r="P46" i="34"/>
  <c r="Q2675" i="34"/>
  <c r="Q2676" i="34"/>
  <c r="O2676" i="34"/>
  <c r="O46" i="34"/>
  <c r="O2675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41" i="34"/>
  <c r="Q2437" i="34"/>
  <c r="P2379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8" i="34"/>
  <c r="P2778" i="34"/>
  <c r="O2782" i="34"/>
  <c r="Q2786" i="34"/>
  <c r="P2786" i="34"/>
  <c r="P2584" i="34"/>
  <c r="O2588" i="34"/>
  <c r="P2592" i="34"/>
  <c r="O2596" i="34"/>
  <c r="P2600" i="34"/>
  <c r="O2604" i="34"/>
  <c r="P2608" i="34"/>
  <c r="O2612" i="34"/>
  <c r="P2616" i="34"/>
  <c r="P2627" i="34"/>
  <c r="P2665" i="34"/>
  <c r="O2669" i="34"/>
  <c r="P2673" i="34"/>
  <c r="O2561" i="34"/>
  <c r="P2565" i="34"/>
  <c r="O2569" i="34"/>
  <c r="P2573" i="34"/>
  <c r="O2577" i="34"/>
  <c r="P2581" i="34"/>
  <c r="P2623" i="34"/>
  <c r="P2652" i="34"/>
  <c r="O2656" i="34"/>
  <c r="P2660" i="34"/>
  <c r="O2752" i="34"/>
  <c r="P2641" i="34"/>
  <c r="Q2710" i="34"/>
  <c r="P2710" i="34"/>
  <c r="O2714" i="34"/>
  <c r="Q2718" i="34"/>
  <c r="P2718" i="34"/>
  <c r="O2722" i="34"/>
  <c r="Q2726" i="34"/>
  <c r="P2726" i="34"/>
  <c r="O2730" i="34"/>
  <c r="Q2734" i="34"/>
  <c r="P2734" i="34"/>
  <c r="O2738" i="34"/>
  <c r="Q2742" i="34"/>
  <c r="P2742" i="34"/>
  <c r="O2746" i="34"/>
  <c r="O2449" i="34"/>
  <c r="P2457" i="34"/>
  <c r="P2492" i="34"/>
  <c r="P2829" i="34"/>
  <c r="O2496" i="34"/>
  <c r="P2504" i="34"/>
  <c r="O2508" i="34"/>
  <c r="P2512" i="34"/>
  <c r="O2516" i="34"/>
  <c r="P2520" i="34"/>
  <c r="O2524" i="34"/>
  <c r="P2528" i="34"/>
  <c r="O2532" i="34"/>
  <c r="P2536" i="34"/>
  <c r="O2620" i="34"/>
  <c r="O2630" i="34"/>
  <c r="Q2634" i="34"/>
  <c r="P2634" i="34"/>
  <c r="O2638" i="34"/>
  <c r="O2557" i="34"/>
  <c r="P2553" i="34"/>
  <c r="O2460" i="34"/>
  <c r="P2704" i="34"/>
  <c r="O2700" i="34"/>
  <c r="P2696" i="34"/>
  <c r="O2692" i="34"/>
  <c r="P2688" i="34"/>
  <c r="O2684" i="34"/>
  <c r="P2680" i="34"/>
  <c r="O2648" i="34"/>
  <c r="P2644" i="34"/>
  <c r="O2549" i="34"/>
  <c r="P2545" i="34"/>
  <c r="O2541" i="34"/>
  <c r="P2500" i="34"/>
  <c r="P2491" i="34"/>
  <c r="Q2329" i="34"/>
  <c r="O2325" i="34"/>
  <c r="Q2321" i="34"/>
  <c r="Q2235" i="34"/>
  <c r="Q2227" i="34"/>
  <c r="Q2219" i="34"/>
  <c r="Q2211" i="34"/>
  <c r="Q2046" i="34"/>
  <c r="Q2038" i="34"/>
  <c r="Q2379" i="34"/>
  <c r="Q2311" i="34"/>
  <c r="Q2303" i="34"/>
  <c r="Q2295" i="34"/>
  <c r="Q2090" i="34"/>
  <c r="Q2082" i="34"/>
  <c r="Q2030" i="34"/>
  <c r="Q2022" i="34"/>
  <c r="Q2584" i="34"/>
  <c r="Q2592" i="34"/>
  <c r="Q2600" i="34"/>
  <c r="Q2608" i="34"/>
  <c r="Q2616" i="34"/>
  <c r="Q2627" i="34"/>
  <c r="Q2665" i="34"/>
  <c r="Q2673" i="34"/>
  <c r="Q2565" i="34"/>
  <c r="Q2573" i="34"/>
  <c r="Q2581" i="34"/>
  <c r="Q2623" i="34"/>
  <c r="Q2652" i="34"/>
  <c r="Q2660" i="34"/>
  <c r="Q2641" i="34"/>
  <c r="O2479" i="34"/>
  <c r="O2457" i="34"/>
  <c r="O2492" i="34"/>
  <c r="Q2829" i="34"/>
  <c r="Q2504" i="34"/>
  <c r="Q2512" i="34"/>
  <c r="Q2520" i="34"/>
  <c r="Q2528" i="34"/>
  <c r="Q2536" i="34"/>
  <c r="Q2553" i="34"/>
  <c r="Q2704" i="34"/>
  <c r="Q2696" i="34"/>
  <c r="Q2688" i="34"/>
  <c r="Q2680" i="34"/>
  <c r="Q2644" i="34"/>
  <c r="Q2545" i="34"/>
  <c r="Q2500" i="34"/>
  <c r="Q2491" i="34"/>
  <c r="O2487" i="34"/>
  <c r="Q2483" i="34"/>
  <c r="O2475" i="34"/>
  <c r="Q2471" i="34"/>
  <c r="O2467" i="34"/>
  <c r="Q2776" i="34"/>
  <c r="Q2768" i="34"/>
  <c r="Q2760" i="34"/>
  <c r="Q2099" i="34"/>
  <c r="Q2234" i="34"/>
  <c r="Q2226" i="34"/>
  <c r="Q2218" i="34"/>
  <c r="Q2210" i="34"/>
  <c r="Q2107" i="34"/>
  <c r="O2049" i="34"/>
  <c r="Q2045" i="34"/>
  <c r="O2041" i="34"/>
  <c r="Q2037" i="34"/>
  <c r="Q2440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9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41" i="34"/>
  <c r="O2437" i="34"/>
  <c r="P2437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8" i="34"/>
  <c r="Q2782" i="34"/>
  <c r="P2782" i="34"/>
  <c r="O2786" i="34"/>
  <c r="O2584" i="34"/>
  <c r="P2588" i="34"/>
  <c r="O2592" i="34"/>
  <c r="P2596" i="34"/>
  <c r="O2600" i="34"/>
  <c r="P2604" i="34"/>
  <c r="O2608" i="34"/>
  <c r="P2612" i="34"/>
  <c r="O2616" i="34"/>
  <c r="O2665" i="34"/>
  <c r="P2669" i="34"/>
  <c r="O2673" i="34"/>
  <c r="P2561" i="34"/>
  <c r="O2565" i="34"/>
  <c r="P2569" i="34"/>
  <c r="O2573" i="34"/>
  <c r="P2577" i="34"/>
  <c r="O2581" i="34"/>
  <c r="O2652" i="34"/>
  <c r="P2656" i="34"/>
  <c r="O2660" i="34"/>
  <c r="P2752" i="34"/>
  <c r="O2641" i="34"/>
  <c r="O2710" i="34"/>
  <c r="Q2714" i="34"/>
  <c r="P2714" i="34"/>
  <c r="O2718" i="34"/>
  <c r="Q2722" i="34"/>
  <c r="P2722" i="34"/>
  <c r="O2726" i="34"/>
  <c r="Q2730" i="34"/>
  <c r="P2730" i="34"/>
  <c r="O2734" i="34"/>
  <c r="Q2738" i="34"/>
  <c r="P2738" i="34"/>
  <c r="O2742" i="34"/>
  <c r="Q2746" i="34"/>
  <c r="P2746" i="34"/>
  <c r="P2449" i="34"/>
  <c r="P2479" i="34"/>
  <c r="Q2457" i="34"/>
  <c r="Q2492" i="34"/>
  <c r="O2829" i="34"/>
  <c r="P2496" i="34"/>
  <c r="O2504" i="34"/>
  <c r="P2508" i="34"/>
  <c r="O2512" i="34"/>
  <c r="P2516" i="34"/>
  <c r="O2520" i="34"/>
  <c r="P2524" i="34"/>
  <c r="O2528" i="34"/>
  <c r="P2532" i="34"/>
  <c r="O2536" i="34"/>
  <c r="P2620" i="34"/>
  <c r="Q2630" i="34"/>
  <c r="P2630" i="34"/>
  <c r="O2634" i="34"/>
  <c r="Q2638" i="34"/>
  <c r="P2638" i="34"/>
  <c r="P2557" i="34"/>
  <c r="O2553" i="34"/>
  <c r="P2460" i="34"/>
  <c r="O2704" i="34"/>
  <c r="P2700" i="34"/>
  <c r="O2696" i="34"/>
  <c r="P2692" i="34"/>
  <c r="O2688" i="34"/>
  <c r="P2684" i="34"/>
  <c r="O2680" i="34"/>
  <c r="P2648" i="34"/>
  <c r="O2644" i="34"/>
  <c r="P2549" i="34"/>
  <c r="O2545" i="34"/>
  <c r="P2541" i="34"/>
  <c r="O2500" i="34"/>
  <c r="O2329" i="34"/>
  <c r="Q2325" i="34"/>
  <c r="O2321" i="34"/>
  <c r="Q2231" i="34"/>
  <c r="Q2223" i="34"/>
  <c r="Q2215" i="34"/>
  <c r="Q2050" i="34"/>
  <c r="Q2042" i="34"/>
  <c r="Q2441" i="34"/>
  <c r="O2379" i="34"/>
  <c r="Q2315" i="34"/>
  <c r="Q2307" i="34"/>
  <c r="Q2299" i="34"/>
  <c r="Q2291" i="34"/>
  <c r="Q2094" i="34"/>
  <c r="Q2086" i="34"/>
  <c r="Q2034" i="34"/>
  <c r="Q2026" i="34"/>
  <c r="Q2588" i="34"/>
  <c r="Q2596" i="34"/>
  <c r="Q2604" i="34"/>
  <c r="Q2612" i="34"/>
  <c r="O2627" i="34"/>
  <c r="Q2669" i="34"/>
  <c r="Q2561" i="34"/>
  <c r="Q2569" i="34"/>
  <c r="Q2577" i="34"/>
  <c r="O2623" i="34"/>
  <c r="Q2656" i="34"/>
  <c r="Q2752" i="34"/>
  <c r="Q2449" i="34"/>
  <c r="Q2479" i="34"/>
  <c r="Q2496" i="34"/>
  <c r="Q2508" i="34"/>
  <c r="Q2516" i="34"/>
  <c r="Q2524" i="34"/>
  <c r="Q2532" i="34"/>
  <c r="Q2620" i="34"/>
  <c r="Q2557" i="34"/>
  <c r="Q2460" i="34"/>
  <c r="Q2700" i="34"/>
  <c r="Q2692" i="34"/>
  <c r="Q2684" i="34"/>
  <c r="Q2648" i="34"/>
  <c r="Q2549" i="34"/>
  <c r="Q2541" i="34"/>
  <c r="O2491" i="34"/>
  <c r="Q2487" i="34"/>
  <c r="O2483" i="34"/>
  <c r="Q2475" i="34"/>
  <c r="O2471" i="34"/>
  <c r="Q2467" i="34"/>
  <c r="Q2772" i="34"/>
  <c r="Q2764" i="34"/>
  <c r="Q2756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9" i="34"/>
  <c r="O2783" i="34"/>
  <c r="Q2787" i="34"/>
  <c r="Q2585" i="34"/>
  <c r="Q2593" i="34"/>
  <c r="Q2601" i="34"/>
  <c r="Q2609" i="34"/>
  <c r="Q2617" i="34"/>
  <c r="Q2788" i="34"/>
  <c r="P2487" i="34"/>
  <c r="P2483" i="34"/>
  <c r="P2475" i="34"/>
  <c r="P2471" i="34"/>
  <c r="P2467" i="34"/>
  <c r="Q2454" i="34"/>
  <c r="P2454" i="34"/>
  <c r="P2776" i="34"/>
  <c r="O2768" i="34"/>
  <c r="P2760" i="34"/>
  <c r="O2099" i="34"/>
  <c r="O2230" i="34"/>
  <c r="P2222" i="34"/>
  <c r="O2214" i="34"/>
  <c r="P2111" i="34"/>
  <c r="O2103" i="34"/>
  <c r="O2382" i="34"/>
  <c r="Q2378" i="34"/>
  <c r="P2378" i="34"/>
  <c r="P2318" i="34"/>
  <c r="O2310" i="34"/>
  <c r="P2302" i="34"/>
  <c r="O2294" i="34"/>
  <c r="P2207" i="34"/>
  <c r="O2199" i="34"/>
  <c r="P2191" i="34"/>
  <c r="O2183" i="34"/>
  <c r="O2787" i="34"/>
  <c r="O2589" i="34"/>
  <c r="P2593" i="34"/>
  <c r="P2605" i="34"/>
  <c r="O2609" i="34"/>
  <c r="Q2613" i="34"/>
  <c r="Q2662" i="34"/>
  <c r="P2662" i="34"/>
  <c r="O2666" i="34"/>
  <c r="Q2670" i="34"/>
  <c r="P2670" i="34"/>
  <c r="P2788" i="34"/>
  <c r="Q2653" i="34"/>
  <c r="Q2661" i="34"/>
  <c r="Q2693" i="34"/>
  <c r="Q2711" i="34"/>
  <c r="O2715" i="34"/>
  <c r="Q2719" i="34"/>
  <c r="O2723" i="34"/>
  <c r="Q2727" i="34"/>
  <c r="O2731" i="34"/>
  <c r="Q2735" i="34"/>
  <c r="O2739" i="34"/>
  <c r="Q2743" i="34"/>
  <c r="O2747" i="34"/>
  <c r="Q2480" i="34"/>
  <c r="O2493" i="34"/>
  <c r="O2830" i="34"/>
  <c r="Q2458" i="34"/>
  <c r="P2458" i="34"/>
  <c r="P2505" i="34"/>
  <c r="O2509" i="34"/>
  <c r="P2513" i="34"/>
  <c r="O2517" i="34"/>
  <c r="P2521" i="34"/>
  <c r="O2525" i="34"/>
  <c r="P2529" i="34"/>
  <c r="O2533" i="34"/>
  <c r="P2537" i="34"/>
  <c r="O2621" i="34"/>
  <c r="P2635" i="34"/>
  <c r="O2556" i="34"/>
  <c r="P2552" i="34"/>
  <c r="O2501" i="34"/>
  <c r="P2699" i="34"/>
  <c r="P2691" i="34"/>
  <c r="P2683" i="34"/>
  <c r="P2647" i="34"/>
  <c r="O2548" i="34"/>
  <c r="P2544" i="34"/>
  <c r="O2540" i="34"/>
  <c r="Q2490" i="34"/>
  <c r="P2490" i="34"/>
  <c r="O2486" i="34"/>
  <c r="Q2482" i="34"/>
  <c r="P2482" i="34"/>
  <c r="O2478" i="34"/>
  <c r="Q2474" i="34"/>
  <c r="P2474" i="34"/>
  <c r="O2470" i="34"/>
  <c r="Q2466" i="34"/>
  <c r="P2466" i="34"/>
  <c r="P2453" i="34"/>
  <c r="P2775" i="34"/>
  <c r="P2767" i="34"/>
  <c r="P2759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81" i="34"/>
  <c r="P2377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72" i="34"/>
  <c r="O2764" i="34"/>
  <c r="P2756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40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9" i="34"/>
  <c r="P2783" i="34"/>
  <c r="P2585" i="34"/>
  <c r="P2597" i="34"/>
  <c r="O2601" i="34"/>
  <c r="Q2605" i="34"/>
  <c r="O2613" i="34"/>
  <c r="P2617" i="34"/>
  <c r="O2562" i="34"/>
  <c r="Q2566" i="34"/>
  <c r="P2566" i="34"/>
  <c r="O2570" i="34"/>
  <c r="Q2574" i="34"/>
  <c r="P2574" i="34"/>
  <c r="O2578" i="34"/>
  <c r="Q2582" i="34"/>
  <c r="P2582" i="34"/>
  <c r="P2624" i="34"/>
  <c r="O2653" i="34"/>
  <c r="P2657" i="34"/>
  <c r="O2661" i="34"/>
  <c r="P2753" i="34"/>
  <c r="O2693" i="34"/>
  <c r="P2715" i="34"/>
  <c r="P2723" i="34"/>
  <c r="P2731" i="34"/>
  <c r="P2739" i="34"/>
  <c r="P2747" i="34"/>
  <c r="P2448" i="34"/>
  <c r="O2480" i="34"/>
  <c r="P2462" i="34"/>
  <c r="Q2505" i="34"/>
  <c r="Q2513" i="34"/>
  <c r="Q2521" i="34"/>
  <c r="Q2529" i="34"/>
  <c r="Q2537" i="34"/>
  <c r="O2631" i="34"/>
  <c r="Q2635" i="34"/>
  <c r="O2639" i="34"/>
  <c r="Q2552" i="34"/>
  <c r="O2703" i="34"/>
  <c r="Q2699" i="34"/>
  <c r="O2695" i="34"/>
  <c r="Q2691" i="34"/>
  <c r="O2687" i="34"/>
  <c r="Q2683" i="34"/>
  <c r="O2679" i="34"/>
  <c r="Q2647" i="34"/>
  <c r="O2643" i="34"/>
  <c r="Q2544" i="34"/>
  <c r="O2499" i="34"/>
  <c r="Q2453" i="34"/>
  <c r="Q2775" i="34"/>
  <c r="O2771" i="34"/>
  <c r="Q2767" i="34"/>
  <c r="O2763" i="34"/>
  <c r="Q2759" i="34"/>
  <c r="O2755" i="34"/>
  <c r="Q2327" i="34"/>
  <c r="Q2319" i="34"/>
  <c r="Q2233" i="34"/>
  <c r="O2229" i="34"/>
  <c r="Q2225" i="34"/>
  <c r="O2221" i="34"/>
  <c r="Q2217" i="34"/>
  <c r="O2213" i="34"/>
  <c r="Q2110" i="34"/>
  <c r="Q2102" i="34"/>
  <c r="O2439" i="34"/>
  <c r="Q2377" i="34"/>
  <c r="Q2317" i="34"/>
  <c r="O2313" i="34"/>
  <c r="Q2309" i="34"/>
  <c r="O2305" i="34"/>
  <c r="Q2301" i="34"/>
  <c r="O2297" i="34"/>
  <c r="Q2293" i="34"/>
  <c r="O2289" i="34"/>
  <c r="Q2202" i="34"/>
  <c r="Q2190" i="34"/>
  <c r="Q2784" i="34"/>
  <c r="Q2625" i="34"/>
  <c r="Q2663" i="34"/>
  <c r="O2667" i="34"/>
  <c r="Q2671" i="34"/>
  <c r="O2559" i="34"/>
  <c r="Q2563" i="34"/>
  <c r="O2567" i="34"/>
  <c r="Q2571" i="34"/>
  <c r="O2575" i="34"/>
  <c r="Q2579" i="34"/>
  <c r="O2583" i="34"/>
  <c r="O2454" i="34"/>
  <c r="O2776" i="34"/>
  <c r="P2768" i="34"/>
  <c r="O2760" i="34"/>
  <c r="P2099" i="34"/>
  <c r="P2230" i="34"/>
  <c r="O2222" i="34"/>
  <c r="P2214" i="34"/>
  <c r="O2111" i="34"/>
  <c r="P2103" i="34"/>
  <c r="Q2382" i="34"/>
  <c r="P2382" i="34"/>
  <c r="O2378" i="34"/>
  <c r="O2318" i="34"/>
  <c r="P2310" i="34"/>
  <c r="O2302" i="34"/>
  <c r="P2294" i="34"/>
  <c r="O2207" i="34"/>
  <c r="P2199" i="34"/>
  <c r="O2191" i="34"/>
  <c r="P2183" i="34"/>
  <c r="Q2783" i="34"/>
  <c r="P2787" i="34"/>
  <c r="P2589" i="34"/>
  <c r="O2593" i="34"/>
  <c r="Q2597" i="34"/>
  <c r="O2605" i="34"/>
  <c r="P2609" i="34"/>
  <c r="O2662" i="34"/>
  <c r="Q2666" i="34"/>
  <c r="P2666" i="34"/>
  <c r="O2670" i="34"/>
  <c r="O2788" i="34"/>
  <c r="Q2624" i="34"/>
  <c r="Q2657" i="34"/>
  <c r="Q2753" i="34"/>
  <c r="O2711" i="34"/>
  <c r="Q2715" i="34"/>
  <c r="O2719" i="34"/>
  <c r="Q2723" i="34"/>
  <c r="O2727" i="34"/>
  <c r="Q2731" i="34"/>
  <c r="O2735" i="34"/>
  <c r="Q2739" i="34"/>
  <c r="O2743" i="34"/>
  <c r="Q2747" i="34"/>
  <c r="Q2448" i="34"/>
  <c r="O2462" i="34"/>
  <c r="P2493" i="34"/>
  <c r="Q2830" i="34"/>
  <c r="P2830" i="34"/>
  <c r="O2458" i="34"/>
  <c r="O2505" i="34"/>
  <c r="P2509" i="34"/>
  <c r="O2513" i="34"/>
  <c r="P2517" i="34"/>
  <c r="O2521" i="34"/>
  <c r="P2525" i="34"/>
  <c r="O2529" i="34"/>
  <c r="P2533" i="34"/>
  <c r="O2537" i="34"/>
  <c r="P2621" i="34"/>
  <c r="P2631" i="34"/>
  <c r="P2639" i="34"/>
  <c r="P2556" i="34"/>
  <c r="O2552" i="34"/>
  <c r="P2501" i="34"/>
  <c r="P2703" i="34"/>
  <c r="P2695" i="34"/>
  <c r="P2687" i="34"/>
  <c r="P2679" i="34"/>
  <c r="P2643" i="34"/>
  <c r="P2548" i="34"/>
  <c r="O2544" i="34"/>
  <c r="P2540" i="34"/>
  <c r="P2499" i="34"/>
  <c r="O2490" i="34"/>
  <c r="Q2486" i="34"/>
  <c r="P2486" i="34"/>
  <c r="O2482" i="34"/>
  <c r="Q2478" i="34"/>
  <c r="P2478" i="34"/>
  <c r="O2474" i="34"/>
  <c r="Q2470" i="34"/>
  <c r="P2470" i="34"/>
  <c r="O2466" i="34"/>
  <c r="O2453" i="34"/>
  <c r="P2771" i="34"/>
  <c r="P2763" i="34"/>
  <c r="P2755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9" i="34"/>
  <c r="P2381" i="34"/>
  <c r="O2377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72" i="34"/>
  <c r="P2764" i="34"/>
  <c r="O2756" i="34"/>
  <c r="O2328" i="34"/>
  <c r="Q2324" i="34"/>
  <c r="P2324" i="34"/>
  <c r="O2320" i="34"/>
  <c r="O2234" i="34"/>
  <c r="P2226" i="34"/>
  <c r="O2218" i="34"/>
  <c r="P2210" i="34"/>
  <c r="O2107" i="34"/>
  <c r="P2440" i="34"/>
  <c r="O2314" i="34"/>
  <c r="P2306" i="34"/>
  <c r="O2298" i="34"/>
  <c r="P2290" i="34"/>
  <c r="O2203" i="34"/>
  <c r="P2195" i="34"/>
  <c r="O2187" i="34"/>
  <c r="O2585" i="34"/>
  <c r="Q2589" i="34"/>
  <c r="O2597" i="34"/>
  <c r="P2601" i="34"/>
  <c r="P2613" i="34"/>
  <c r="O2617" i="34"/>
  <c r="Q2562" i="34"/>
  <c r="P2562" i="34"/>
  <c r="O2566" i="34"/>
  <c r="Q2570" i="34"/>
  <c r="P2570" i="34"/>
  <c r="O2574" i="34"/>
  <c r="Q2578" i="34"/>
  <c r="P2578" i="34"/>
  <c r="O2582" i="34"/>
  <c r="O2624" i="34"/>
  <c r="P2653" i="34"/>
  <c r="O2657" i="34"/>
  <c r="P2661" i="34"/>
  <c r="O2753" i="34"/>
  <c r="P2693" i="34"/>
  <c r="P2711" i="34"/>
  <c r="P2719" i="34"/>
  <c r="P2727" i="34"/>
  <c r="P2735" i="34"/>
  <c r="P2743" i="34"/>
  <c r="O2448" i="34"/>
  <c r="P2480" i="34"/>
  <c r="Q2462" i="34"/>
  <c r="Q2493" i="34"/>
  <c r="Q2509" i="34"/>
  <c r="Q2517" i="34"/>
  <c r="Q2525" i="34"/>
  <c r="Q2533" i="34"/>
  <c r="Q2621" i="34"/>
  <c r="Q2631" i="34"/>
  <c r="O2635" i="34"/>
  <c r="Q2639" i="34"/>
  <c r="Q2556" i="34"/>
  <c r="Q2501" i="34"/>
  <c r="Q2703" i="34"/>
  <c r="O2699" i="34"/>
  <c r="Q2695" i="34"/>
  <c r="O2691" i="34"/>
  <c r="Q2687" i="34"/>
  <c r="O2683" i="34"/>
  <c r="Q2679" i="34"/>
  <c r="O2647" i="34"/>
  <c r="Q2643" i="34"/>
  <c r="Q2548" i="34"/>
  <c r="Q2540" i="34"/>
  <c r="Q2499" i="34"/>
  <c r="O2775" i="34"/>
  <c r="Q2771" i="34"/>
  <c r="O2767" i="34"/>
  <c r="Q2763" i="34"/>
  <c r="O2759" i="34"/>
  <c r="Q2755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9" i="34"/>
  <c r="Q2381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80" i="34"/>
  <c r="O2663" i="34"/>
  <c r="Q2667" i="34"/>
  <c r="O2671" i="34"/>
  <c r="Q2559" i="34"/>
  <c r="O2563" i="34"/>
  <c r="Q2567" i="34"/>
  <c r="O2571" i="34"/>
  <c r="Q2575" i="34"/>
  <c r="O2579" i="34"/>
  <c r="Q2583" i="34"/>
  <c r="Q2707" i="34"/>
  <c r="Q2712" i="34"/>
  <c r="Q2720" i="34"/>
  <c r="Q2728" i="34"/>
  <c r="Q2736" i="34"/>
  <c r="Q2744" i="34"/>
  <c r="O2463" i="34"/>
  <c r="O2831" i="34"/>
  <c r="Q2459" i="34"/>
  <c r="Q2632" i="34"/>
  <c r="Q2640" i="34"/>
  <c r="Q2555" i="34"/>
  <c r="O2551" i="34"/>
  <c r="Q2547" i="34"/>
  <c r="O2543" i="34"/>
  <c r="Q2539" i="34"/>
  <c r="Q2485" i="34"/>
  <c r="Q2473" i="34"/>
  <c r="Q2465" i="34"/>
  <c r="Q2326" i="34"/>
  <c r="Q2113" i="34"/>
  <c r="O2109" i="34"/>
  <c r="Q2105" i="34"/>
  <c r="O2101" i="34"/>
  <c r="Q2097" i="34"/>
  <c r="Q2047" i="34"/>
  <c r="Q2039" i="34"/>
  <c r="Q2376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81" i="34"/>
  <c r="Q2461" i="34"/>
  <c r="Q2587" i="34"/>
  <c r="O2591" i="34"/>
  <c r="Q2595" i="34"/>
  <c r="O2599" i="34"/>
  <c r="Q2603" i="34"/>
  <c r="O2607" i="34"/>
  <c r="Q2611" i="34"/>
  <c r="O2615" i="34"/>
  <c r="Q2664" i="34"/>
  <c r="Q2672" i="34"/>
  <c r="Q2564" i="34"/>
  <c r="Q2572" i="34"/>
  <c r="Q2580" i="34"/>
  <c r="O2651" i="34"/>
  <c r="Q2655" i="34"/>
  <c r="O2659" i="34"/>
  <c r="Q2024" i="34"/>
  <c r="P2024" i="34"/>
  <c r="O2020" i="34"/>
  <c r="O2780" i="34"/>
  <c r="O2502" i="34"/>
  <c r="Q2586" i="34"/>
  <c r="P2586" i="34"/>
  <c r="O2590" i="34"/>
  <c r="Q2594" i="34"/>
  <c r="P2594" i="34"/>
  <c r="O2598" i="34"/>
  <c r="Q2602" i="34"/>
  <c r="P2602" i="34"/>
  <c r="O2606" i="34"/>
  <c r="Q2610" i="34"/>
  <c r="P2610" i="34"/>
  <c r="O2614" i="34"/>
  <c r="O2625" i="34"/>
  <c r="O2712" i="34"/>
  <c r="Q2716" i="34"/>
  <c r="O2724" i="34"/>
  <c r="P2728" i="34"/>
  <c r="P2740" i="34"/>
  <c r="O2744" i="34"/>
  <c r="Q2748" i="34"/>
  <c r="Q2481" i="34"/>
  <c r="Q2463" i="34"/>
  <c r="Q2494" i="34"/>
  <c r="P2494" i="34"/>
  <c r="Q2506" i="34"/>
  <c r="P2506" i="34"/>
  <c r="O2510" i="34"/>
  <c r="Q2514" i="34"/>
  <c r="P2514" i="34"/>
  <c r="O2518" i="34"/>
  <c r="Q2522" i="34"/>
  <c r="P2522" i="34"/>
  <c r="O2526" i="34"/>
  <c r="Q2530" i="34"/>
  <c r="P2530" i="34"/>
  <c r="O2534" i="34"/>
  <c r="Q2618" i="34"/>
  <c r="P2618" i="34"/>
  <c r="P2628" i="34"/>
  <c r="O2632" i="34"/>
  <c r="Q2636" i="34"/>
  <c r="P2555" i="34"/>
  <c r="O2706" i="34"/>
  <c r="Q2702" i="34"/>
  <c r="P2702" i="34"/>
  <c r="O2698" i="34"/>
  <c r="Q2694" i="34"/>
  <c r="P2694" i="34"/>
  <c r="O2690" i="34"/>
  <c r="Q2686" i="34"/>
  <c r="P2686" i="34"/>
  <c r="O2682" i="34"/>
  <c r="P2678" i="34"/>
  <c r="O2646" i="34"/>
  <c r="Q2642" i="34"/>
  <c r="P2642" i="34"/>
  <c r="O2547" i="34"/>
  <c r="Q2543" i="34"/>
  <c r="P2539" i="34"/>
  <c r="P2477" i="34"/>
  <c r="O2473" i="34"/>
  <c r="Q2469" i="34"/>
  <c r="O2452" i="34"/>
  <c r="O2774" i="34"/>
  <c r="P2770" i="34"/>
  <c r="Q2762" i="34"/>
  <c r="O2758" i="34"/>
  <c r="P2326" i="34"/>
  <c r="O2380" i="34"/>
  <c r="Q2201" i="34"/>
  <c r="O2189" i="34"/>
  <c r="O2095" i="34"/>
  <c r="P2079" i="34"/>
  <c r="P2781" i="34"/>
  <c r="Q2591" i="34"/>
  <c r="Q2607" i="34"/>
  <c r="O2664" i="34"/>
  <c r="P2576" i="34"/>
  <c r="P2655" i="34"/>
  <c r="O2713" i="34"/>
  <c r="O2721" i="34"/>
  <c r="O2729" i="34"/>
  <c r="O2737" i="34"/>
  <c r="O2745" i="34"/>
  <c r="O2472" i="34"/>
  <c r="P2519" i="34"/>
  <c r="O2629" i="34"/>
  <c r="O2637" i="34"/>
  <c r="Q2554" i="34"/>
  <c r="O2705" i="34"/>
  <c r="P2701" i="34"/>
  <c r="P2689" i="34"/>
  <c r="O2649" i="34"/>
  <c r="Q2546" i="34"/>
  <c r="Q2538" i="34"/>
  <c r="P2497" i="34"/>
  <c r="O2476" i="34"/>
  <c r="P2455" i="34"/>
  <c r="O2761" i="34"/>
  <c r="P2550" i="34"/>
  <c r="O2681" i="34"/>
  <c r="P2649" i="34"/>
  <c r="Q2542" i="34"/>
  <c r="O2484" i="34"/>
  <c r="O2468" i="34"/>
  <c r="O2769" i="34"/>
  <c r="O2784" i="34"/>
  <c r="P2663" i="34"/>
  <c r="P2667" i="34"/>
  <c r="P2671" i="34"/>
  <c r="P2559" i="34"/>
  <c r="P2563" i="34"/>
  <c r="P2567" i="34"/>
  <c r="P2571" i="34"/>
  <c r="P2575" i="34"/>
  <c r="P2579" i="34"/>
  <c r="P2583" i="34"/>
  <c r="Q2650" i="34"/>
  <c r="P2650" i="34"/>
  <c r="O2654" i="34"/>
  <c r="Q2658" i="34"/>
  <c r="P2658" i="34"/>
  <c r="O2750" i="34"/>
  <c r="Q2754" i="34"/>
  <c r="P2754" i="34"/>
  <c r="O2707" i="34"/>
  <c r="O2716" i="34"/>
  <c r="P2720" i="34"/>
  <c r="P2732" i="34"/>
  <c r="O2736" i="34"/>
  <c r="Q2740" i="34"/>
  <c r="O2748" i="34"/>
  <c r="O2450" i="34"/>
  <c r="O2481" i="34"/>
  <c r="O2459" i="34"/>
  <c r="Q2628" i="34"/>
  <c r="O2636" i="34"/>
  <c r="P2640" i="34"/>
  <c r="P2551" i="34"/>
  <c r="Q2498" i="34"/>
  <c r="P2498" i="34"/>
  <c r="P2489" i="34"/>
  <c r="O2485" i="34"/>
  <c r="Q2477" i="34"/>
  <c r="O2469" i="34"/>
  <c r="P2465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85" i="34"/>
  <c r="O2461" i="34"/>
  <c r="P2599" i="34"/>
  <c r="P2615" i="34"/>
  <c r="O2668" i="34"/>
  <c r="P2672" i="34"/>
  <c r="P2568" i="34"/>
  <c r="O2572" i="34"/>
  <c r="Q2576" i="34"/>
  <c r="Q2622" i="34"/>
  <c r="P2622" i="34"/>
  <c r="P2659" i="34"/>
  <c r="O2751" i="34"/>
  <c r="Q2708" i="34"/>
  <c r="Q2717" i="34"/>
  <c r="Q2725" i="34"/>
  <c r="Q2733" i="34"/>
  <c r="Q2741" i="34"/>
  <c r="Q2749" i="34"/>
  <c r="P2456" i="34"/>
  <c r="P2464" i="34"/>
  <c r="Q2674" i="34"/>
  <c r="O2495" i="34"/>
  <c r="Q2503" i="34"/>
  <c r="O2507" i="34"/>
  <c r="Q2511" i="34"/>
  <c r="O2515" i="34"/>
  <c r="Q2519" i="34"/>
  <c r="O2523" i="34"/>
  <c r="Q2527" i="34"/>
  <c r="O2531" i="34"/>
  <c r="Q2535" i="34"/>
  <c r="O2619" i="34"/>
  <c r="Q2633" i="34"/>
  <c r="Q2701" i="34"/>
  <c r="Q2689" i="34"/>
  <c r="Q2681" i="34"/>
  <c r="Q2645" i="34"/>
  <c r="Q2497" i="34"/>
  <c r="Q2484" i="34"/>
  <c r="Q2468" i="34"/>
  <c r="Q2455" i="34"/>
  <c r="O2451" i="34"/>
  <c r="P2697" i="34"/>
  <c r="O2546" i="34"/>
  <c r="O2497" i="34"/>
  <c r="P2777" i="34"/>
  <c r="O2757" i="34"/>
  <c r="P2028" i="34"/>
  <c r="O2024" i="34"/>
  <c r="Q2020" i="34"/>
  <c r="P2020" i="34"/>
  <c r="P2780" i="34"/>
  <c r="Q2502" i="34"/>
  <c r="P2502" i="34"/>
  <c r="O2586" i="34"/>
  <c r="Q2590" i="34"/>
  <c r="P2590" i="34"/>
  <c r="O2594" i="34"/>
  <c r="Q2598" i="34"/>
  <c r="P2598" i="34"/>
  <c r="O2602" i="34"/>
  <c r="Q2606" i="34"/>
  <c r="P2606" i="34"/>
  <c r="O2610" i="34"/>
  <c r="Q2614" i="34"/>
  <c r="P2614" i="34"/>
  <c r="P2625" i="34"/>
  <c r="P2712" i="34"/>
  <c r="P2724" i="34"/>
  <c r="O2728" i="34"/>
  <c r="Q2732" i="34"/>
  <c r="O2740" i="34"/>
  <c r="P2744" i="34"/>
  <c r="O2494" i="34"/>
  <c r="P2831" i="34"/>
  <c r="O2506" i="34"/>
  <c r="Q2510" i="34"/>
  <c r="P2510" i="34"/>
  <c r="O2514" i="34"/>
  <c r="Q2518" i="34"/>
  <c r="P2518" i="34"/>
  <c r="O2522" i="34"/>
  <c r="Q2526" i="34"/>
  <c r="P2526" i="34"/>
  <c r="O2530" i="34"/>
  <c r="Q2534" i="34"/>
  <c r="P2534" i="34"/>
  <c r="O2618" i="34"/>
  <c r="O2628" i="34"/>
  <c r="P2632" i="34"/>
  <c r="O2555" i="34"/>
  <c r="Q2551" i="34"/>
  <c r="Q2706" i="34"/>
  <c r="P2706" i="34"/>
  <c r="O2702" i="34"/>
  <c r="Q2698" i="34"/>
  <c r="P2698" i="34"/>
  <c r="O2694" i="34"/>
  <c r="Q2690" i="34"/>
  <c r="P2690" i="34"/>
  <c r="O2686" i="34"/>
  <c r="Q2682" i="34"/>
  <c r="P2682" i="34"/>
  <c r="O2678" i="34"/>
  <c r="Q2646" i="34"/>
  <c r="P2646" i="34"/>
  <c r="O2642" i="34"/>
  <c r="P2547" i="34"/>
  <c r="O2539" i="34"/>
  <c r="Q2489" i="34"/>
  <c r="O2477" i="34"/>
  <c r="P2473" i="34"/>
  <c r="P2452" i="34"/>
  <c r="Q2774" i="34"/>
  <c r="P2774" i="34"/>
  <c r="O2770" i="34"/>
  <c r="Q2766" i="34"/>
  <c r="P2766" i="34"/>
  <c r="O2762" i="34"/>
  <c r="Q2758" i="34"/>
  <c r="P2758" i="34"/>
  <c r="P2019" i="34"/>
  <c r="O2326" i="34"/>
  <c r="Q2322" i="34"/>
  <c r="P2101" i="34"/>
  <c r="P2047" i="34"/>
  <c r="P2035" i="34"/>
  <c r="Q2438" i="34"/>
  <c r="P2438" i="34"/>
  <c r="P2380" i="34"/>
  <c r="O2376" i="34"/>
  <c r="Q2209" i="34"/>
  <c r="P2205" i="34"/>
  <c r="O2197" i="34"/>
  <c r="Q2193" i="34"/>
  <c r="P2189" i="34"/>
  <c r="P2095" i="34"/>
  <c r="O2091" i="34"/>
  <c r="Q2087" i="34"/>
  <c r="O2079" i="34"/>
  <c r="P2031" i="34"/>
  <c r="P2773" i="34"/>
  <c r="O2781" i="34"/>
  <c r="Q2785" i="34"/>
  <c r="P2587" i="34"/>
  <c r="O2595" i="34"/>
  <c r="Q2599" i="34"/>
  <c r="P2603" i="34"/>
  <c r="O2611" i="34"/>
  <c r="Q2615" i="34"/>
  <c r="Q2626" i="34"/>
  <c r="P2626" i="34"/>
  <c r="P2664" i="34"/>
  <c r="P2560" i="34"/>
  <c r="O2564" i="34"/>
  <c r="Q2568" i="34"/>
  <c r="O2576" i="34"/>
  <c r="P2580" i="34"/>
  <c r="O2655" i="34"/>
  <c r="Q2659" i="34"/>
  <c r="P2751" i="34"/>
  <c r="P2765" i="34"/>
  <c r="O2708" i="34"/>
  <c r="P2713" i="34"/>
  <c r="O2717" i="34"/>
  <c r="P2721" i="34"/>
  <c r="O2725" i="34"/>
  <c r="P2729" i="34"/>
  <c r="O2733" i="34"/>
  <c r="P2737" i="34"/>
  <c r="O2741" i="34"/>
  <c r="P2745" i="34"/>
  <c r="O2749" i="34"/>
  <c r="P2472" i="34"/>
  <c r="O2456" i="34"/>
  <c r="Q2464" i="34"/>
  <c r="P2495" i="34"/>
  <c r="P2507" i="34"/>
  <c r="P2515" i="34"/>
  <c r="P2523" i="34"/>
  <c r="P2531" i="34"/>
  <c r="P2619" i="34"/>
  <c r="P2629" i="34"/>
  <c r="O2633" i="34"/>
  <c r="P2637" i="34"/>
  <c r="Q2558" i="34"/>
  <c r="P2558" i="34"/>
  <c r="O2554" i="34"/>
  <c r="Q2550" i="34"/>
  <c r="O2701" i="34"/>
  <c r="O2689" i="34"/>
  <c r="O2538" i="34"/>
  <c r="P2476" i="34"/>
  <c r="Q2028" i="34"/>
  <c r="P2784" i="34"/>
  <c r="O2650" i="34"/>
  <c r="Q2654" i="34"/>
  <c r="P2654" i="34"/>
  <c r="O2658" i="34"/>
  <c r="Q2750" i="34"/>
  <c r="P2750" i="34"/>
  <c r="O2754" i="34"/>
  <c r="P2707" i="34"/>
  <c r="P2716" i="34"/>
  <c r="O2720" i="34"/>
  <c r="Q2724" i="34"/>
  <c r="O2732" i="34"/>
  <c r="P2736" i="34"/>
  <c r="P2748" i="34"/>
  <c r="Q2450" i="34"/>
  <c r="P2450" i="34"/>
  <c r="P2481" i="34"/>
  <c r="P2463" i="34"/>
  <c r="Q2831" i="34"/>
  <c r="P2459" i="34"/>
  <c r="P2636" i="34"/>
  <c r="O2640" i="34"/>
  <c r="P2543" i="34"/>
  <c r="O2498" i="34"/>
  <c r="O2489" i="34"/>
  <c r="P2485" i="34"/>
  <c r="P2469" i="34"/>
  <c r="O2465" i="34"/>
  <c r="Q2452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80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73" i="34"/>
  <c r="O2785" i="34"/>
  <c r="P2461" i="34"/>
  <c r="P2591" i="34"/>
  <c r="P2607" i="34"/>
  <c r="P2668" i="34"/>
  <c r="O2672" i="34"/>
  <c r="Q2560" i="34"/>
  <c r="O2568" i="34"/>
  <c r="P2572" i="34"/>
  <c r="O2622" i="34"/>
  <c r="P2651" i="34"/>
  <c r="Q2751" i="34"/>
  <c r="Q2765" i="34"/>
  <c r="Q2713" i="34"/>
  <c r="Q2721" i="34"/>
  <c r="Q2729" i="34"/>
  <c r="Q2737" i="34"/>
  <c r="Q2745" i="34"/>
  <c r="Q2472" i="34"/>
  <c r="Q2456" i="34"/>
  <c r="O2464" i="34"/>
  <c r="P2674" i="34"/>
  <c r="Q2495" i="34"/>
  <c r="O2503" i="34"/>
  <c r="Q2507" i="34"/>
  <c r="O2511" i="34"/>
  <c r="Q2515" i="34"/>
  <c r="O2519" i="34"/>
  <c r="Q2523" i="34"/>
  <c r="O2527" i="34"/>
  <c r="Q2531" i="34"/>
  <c r="O2535" i="34"/>
  <c r="Q2619" i="34"/>
  <c r="Q2629" i="34"/>
  <c r="Q2637" i="34"/>
  <c r="Q2705" i="34"/>
  <c r="Q2697" i="34"/>
  <c r="Q2685" i="34"/>
  <c r="Q2649" i="34"/>
  <c r="Q2488" i="34"/>
  <c r="Q2476" i="34"/>
  <c r="O2455" i="34"/>
  <c r="Q2451" i="34"/>
  <c r="Q2777" i="34"/>
  <c r="Q2761" i="34"/>
  <c r="Q2678" i="34"/>
  <c r="Q2770" i="34"/>
  <c r="O2766" i="34"/>
  <c r="P2762" i="34"/>
  <c r="O2019" i="34"/>
  <c r="P2109" i="34"/>
  <c r="O2047" i="34"/>
  <c r="Q2043" i="34"/>
  <c r="O2035" i="34"/>
  <c r="O2438" i="34"/>
  <c r="P2376" i="34"/>
  <c r="O2205" i="34"/>
  <c r="P2197" i="34"/>
  <c r="Q2185" i="34"/>
  <c r="P2091" i="34"/>
  <c r="O2031" i="34"/>
  <c r="Q2027" i="34"/>
  <c r="O2773" i="34"/>
  <c r="O2587" i="34"/>
  <c r="P2595" i="34"/>
  <c r="O2603" i="34"/>
  <c r="P2611" i="34"/>
  <c r="O2626" i="34"/>
  <c r="Q2668" i="34"/>
  <c r="O2560" i="34"/>
  <c r="P2564" i="34"/>
  <c r="O2580" i="34"/>
  <c r="Q2651" i="34"/>
  <c r="O2765" i="34"/>
  <c r="P2708" i="34"/>
  <c r="P2717" i="34"/>
  <c r="P2725" i="34"/>
  <c r="P2733" i="34"/>
  <c r="P2741" i="34"/>
  <c r="P2749" i="34"/>
  <c r="O2674" i="34"/>
  <c r="P2503" i="34"/>
  <c r="P2511" i="34"/>
  <c r="P2527" i="34"/>
  <c r="P2535" i="34"/>
  <c r="P2633" i="34"/>
  <c r="O2558" i="34"/>
  <c r="P2554" i="34"/>
  <c r="O2550" i="34"/>
  <c r="O2697" i="34"/>
  <c r="O2685" i="34"/>
  <c r="P2681" i="34"/>
  <c r="P2645" i="34"/>
  <c r="P2546" i="34"/>
  <c r="O2542" i="34"/>
  <c r="P2538" i="34"/>
  <c r="O2488" i="34"/>
  <c r="P2484" i="34"/>
  <c r="P2468" i="34"/>
  <c r="O2777" i="34"/>
  <c r="P2769" i="34"/>
  <c r="P2757" i="34"/>
  <c r="Q2769" i="34"/>
  <c r="Q2757" i="34"/>
  <c r="P2705" i="34"/>
  <c r="P2685" i="34"/>
  <c r="O2645" i="34"/>
  <c r="P2542" i="34"/>
  <c r="P2488" i="34"/>
  <c r="P2451" i="34"/>
  <c r="P2761" i="34"/>
  <c r="O1860" i="34"/>
  <c r="P1892" i="34"/>
  <c r="O1900" i="34"/>
  <c r="P1924" i="34"/>
  <c r="P2415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15" i="34"/>
  <c r="O1858" i="34"/>
  <c r="Q1898" i="34"/>
  <c r="Q1896" i="34"/>
  <c r="O2827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7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15" i="34"/>
  <c r="Q1858" i="34"/>
  <c r="O1898" i="34"/>
  <c r="Q2827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8" i="34"/>
  <c r="P2372" i="34"/>
  <c r="P2430" i="34"/>
  <c r="O2434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3" i="34"/>
  <c r="Q2390" i="34"/>
  <c r="P2390" i="34"/>
  <c r="P2395" i="34"/>
  <c r="O2410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9" i="34"/>
  <c r="O2431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2" i="34"/>
  <c r="Q2430" i="34"/>
  <c r="P2434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3" i="34"/>
  <c r="O2395" i="34"/>
  <c r="O2399" i="34"/>
  <c r="P2410" i="34"/>
  <c r="O2418" i="34"/>
  <c r="Q2422" i="34"/>
  <c r="P2422" i="34"/>
  <c r="O2426" i="34"/>
  <c r="P2003" i="34"/>
  <c r="O2007" i="34"/>
  <c r="O2011" i="34"/>
  <c r="P2015" i="34"/>
  <c r="Q2060" i="34"/>
  <c r="P2060" i="34"/>
  <c r="O2064" i="34"/>
  <c r="Q2068" i="34"/>
  <c r="P2068" i="34"/>
  <c r="P1731" i="34"/>
  <c r="Q2414" i="34"/>
  <c r="P2414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8" i="34"/>
  <c r="O2372" i="34"/>
  <c r="Q2434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3" i="34"/>
  <c r="O2390" i="34"/>
  <c r="Q2395" i="34"/>
  <c r="Q2410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3" i="34"/>
  <c r="O2435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8" i="34"/>
  <c r="O2430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9" i="34"/>
  <c r="P2399" i="34"/>
  <c r="Q2418" i="34"/>
  <c r="P2418" i="34"/>
  <c r="O2422" i="34"/>
  <c r="Q2426" i="34"/>
  <c r="P2426" i="34"/>
  <c r="O2003" i="34"/>
  <c r="P2007" i="34"/>
  <c r="P2011" i="34"/>
  <c r="O2015" i="34"/>
  <c r="O2060" i="34"/>
  <c r="Q2064" i="34"/>
  <c r="P2064" i="34"/>
  <c r="O2068" i="34"/>
  <c r="O1731" i="34"/>
  <c r="O2414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9" i="34"/>
  <c r="Q2431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4" i="34"/>
  <c r="P2396" i="34"/>
  <c r="P2406" i="34"/>
  <c r="O2411" i="34"/>
  <c r="P2423" i="34"/>
  <c r="O2004" i="34"/>
  <c r="P2004" i="34"/>
  <c r="Q2008" i="34"/>
  <c r="Q2012" i="34"/>
  <c r="P2012" i="34"/>
  <c r="O2016" i="34"/>
  <c r="P2061" i="34"/>
  <c r="P2069" i="34"/>
  <c r="P1732" i="34"/>
  <c r="O2416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32" i="34"/>
  <c r="O2436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3" i="34"/>
  <c r="Q2407" i="34"/>
  <c r="Q2420" i="34"/>
  <c r="Q2428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71" i="34"/>
  <c r="Q2375" i="34"/>
  <c r="Q2433" i="34"/>
  <c r="O1971" i="34"/>
  <c r="O1983" i="34"/>
  <c r="O1991" i="34"/>
  <c r="O1999" i="34"/>
  <c r="Q2152" i="34"/>
  <c r="P2160" i="34"/>
  <c r="O2172" i="34"/>
  <c r="Q2268" i="34"/>
  <c r="P2276" i="34"/>
  <c r="P2373" i="34"/>
  <c r="Q2435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91" i="34"/>
  <c r="Q2396" i="34"/>
  <c r="Q2406" i="34"/>
  <c r="O2419" i="34"/>
  <c r="Q2423" i="34"/>
  <c r="O2427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70" i="34"/>
  <c r="P2370" i="34"/>
  <c r="O2374" i="34"/>
  <c r="P2432" i="34"/>
  <c r="Q2436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9" i="34"/>
  <c r="O2365" i="34"/>
  <c r="O2393" i="34"/>
  <c r="P2397" i="34"/>
  <c r="O2407" i="34"/>
  <c r="P2412" i="34"/>
  <c r="O2420" i="34"/>
  <c r="P2424" i="34"/>
  <c r="O2428" i="34"/>
  <c r="O2005" i="34"/>
  <c r="P2009" i="34"/>
  <c r="P2017" i="34"/>
  <c r="P2062" i="34"/>
  <c r="O2066" i="34"/>
  <c r="P2070" i="34"/>
  <c r="P1959" i="34"/>
  <c r="O2826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9" i="34"/>
  <c r="P2431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4" i="34"/>
  <c r="P2391" i="34"/>
  <c r="O2406" i="34"/>
  <c r="P2411" i="34"/>
  <c r="P2419" i="34"/>
  <c r="P2427" i="34"/>
  <c r="Q2004" i="34"/>
  <c r="O2008" i="34"/>
  <c r="P2008" i="34"/>
  <c r="O2012" i="34"/>
  <c r="Q2016" i="34"/>
  <c r="P2016" i="34"/>
  <c r="P2065" i="34"/>
  <c r="O1732" i="34"/>
  <c r="P2416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32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9" i="34"/>
  <c r="Q2397" i="34"/>
  <c r="Q2412" i="34"/>
  <c r="Q2424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71" i="34"/>
  <c r="O2375" i="34"/>
  <c r="O1975" i="34"/>
  <c r="O1987" i="34"/>
  <c r="O1995" i="34"/>
  <c r="O2156" i="34"/>
  <c r="Q2168" i="34"/>
  <c r="P2260" i="34"/>
  <c r="O2272" i="34"/>
  <c r="Q2284" i="34"/>
  <c r="O2373" i="34"/>
  <c r="P2435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4" i="34"/>
  <c r="Q2391" i="34"/>
  <c r="O2396" i="34"/>
  <c r="Q2411" i="34"/>
  <c r="Q2419" i="34"/>
  <c r="O2423" i="34"/>
  <c r="Q2427" i="34"/>
  <c r="O2061" i="34"/>
  <c r="Q2065" i="34"/>
  <c r="O2069" i="34"/>
  <c r="Q2416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70" i="34"/>
  <c r="Q2374" i="34"/>
  <c r="P2374" i="34"/>
  <c r="P2436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9" i="34"/>
  <c r="Q2365" i="34"/>
  <c r="P2365" i="34"/>
  <c r="P2393" i="34"/>
  <c r="O2397" i="34"/>
  <c r="P2407" i="34"/>
  <c r="O2412" i="34"/>
  <c r="P2420" i="34"/>
  <c r="O2424" i="34"/>
  <c r="P2428" i="34"/>
  <c r="P2005" i="34"/>
  <c r="O2009" i="34"/>
  <c r="P2013" i="34"/>
  <c r="O2062" i="34"/>
  <c r="P2066" i="34"/>
  <c r="O2070" i="34"/>
  <c r="Q2826" i="34"/>
  <c r="P2826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5" i="34"/>
  <c r="P2433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1" i="34"/>
  <c r="Q2398" i="34"/>
  <c r="Q2828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71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6" i="34"/>
  <c r="P2394" i="34"/>
  <c r="O2398" i="34"/>
  <c r="O2409" i="34"/>
  <c r="O2417" i="34"/>
  <c r="P2421" i="34"/>
  <c r="O2425" i="34"/>
  <c r="O2002" i="34"/>
  <c r="Q2006" i="34"/>
  <c r="P2006" i="34"/>
  <c r="P2010" i="34"/>
  <c r="O2014" i="34"/>
  <c r="P2018" i="34"/>
  <c r="O2063" i="34"/>
  <c r="P2067" i="34"/>
  <c r="O2071" i="34"/>
  <c r="P1961" i="34"/>
  <c r="O2828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1" i="34"/>
  <c r="Q2366" i="34"/>
  <c r="Q2394" i="34"/>
  <c r="Q2421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1" i="34"/>
  <c r="O2394" i="34"/>
  <c r="P2398" i="34"/>
  <c r="Q2409" i="34"/>
  <c r="P2409" i="34"/>
  <c r="P2417" i="34"/>
  <c r="O2421" i="34"/>
  <c r="P2425" i="34"/>
  <c r="Q2002" i="34"/>
  <c r="P2002" i="34"/>
  <c r="O2006" i="34"/>
  <c r="O2010" i="34"/>
  <c r="P2014" i="34"/>
  <c r="O2018" i="34"/>
  <c r="P2063" i="34"/>
  <c r="O2067" i="34"/>
  <c r="P2071" i="34"/>
  <c r="O1961" i="34"/>
  <c r="P2828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33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6" i="34"/>
  <c r="Q2417" i="34"/>
  <c r="Q2425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805" i="34"/>
  <c r="P2809" i="34"/>
  <c r="O2813" i="34"/>
  <c r="P2817" i="34"/>
  <c r="O2821" i="34"/>
  <c r="P2825" i="34"/>
  <c r="P1734" i="34"/>
  <c r="P2443" i="34"/>
  <c r="Q2447" i="34"/>
  <c r="Q2796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8" i="34"/>
  <c r="Q2789" i="34"/>
  <c r="Q2797" i="34"/>
  <c r="O2401" i="34"/>
  <c r="Q2405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7" i="34"/>
  <c r="O2811" i="34"/>
  <c r="Q2815" i="34"/>
  <c r="O2819" i="34"/>
  <c r="Q2823" i="34"/>
  <c r="Q2389" i="34"/>
  <c r="Q2402" i="34"/>
  <c r="Q2809" i="34"/>
  <c r="Q2817" i="34"/>
  <c r="Q2825" i="34"/>
  <c r="Q1734" i="34"/>
  <c r="O2387" i="34"/>
  <c r="Q2443" i="34"/>
  <c r="P2792" i="34"/>
  <c r="O2796" i="34"/>
  <c r="P2800" i="34"/>
  <c r="O2355" i="34"/>
  <c r="O2404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806" i="34"/>
  <c r="Q2810" i="34"/>
  <c r="P2810" i="34"/>
  <c r="O2814" i="34"/>
  <c r="Q2818" i="34"/>
  <c r="P2818" i="34"/>
  <c r="O2822" i="34"/>
  <c r="Q1733" i="34"/>
  <c r="P1733" i="34"/>
  <c r="P2384" i="34"/>
  <c r="O2388" i="34"/>
  <c r="P2444" i="34"/>
  <c r="O2789" i="34"/>
  <c r="P2793" i="34"/>
  <c r="O2797" i="34"/>
  <c r="P2801" i="34"/>
  <c r="P2401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805" i="34"/>
  <c r="O2809" i="34"/>
  <c r="P2813" i="34"/>
  <c r="O2817" i="34"/>
  <c r="P2821" i="34"/>
  <c r="O2825" i="34"/>
  <c r="P2387" i="34"/>
  <c r="P2447" i="34"/>
  <c r="Q2792" i="34"/>
  <c r="Q2800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4" i="34"/>
  <c r="Q2444" i="34"/>
  <c r="Q2793" i="34"/>
  <c r="Q2801" i="34"/>
  <c r="Q2401" i="34"/>
  <c r="O2405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7" i="34"/>
  <c r="Q2811" i="34"/>
  <c r="O2815" i="34"/>
  <c r="Q2819" i="34"/>
  <c r="O2823" i="34"/>
  <c r="O1965" i="34"/>
  <c r="Q2385" i="34"/>
  <c r="Q2445" i="34"/>
  <c r="Q2805" i="34"/>
  <c r="Q2813" i="34"/>
  <c r="Q2821" i="34"/>
  <c r="O1734" i="34"/>
  <c r="Q2387" i="34"/>
  <c r="O2443" i="34"/>
  <c r="O2447" i="34"/>
  <c r="O2792" i="34"/>
  <c r="P2796" i="34"/>
  <c r="O2800" i="34"/>
  <c r="P2355" i="34"/>
  <c r="Q2404" i="34"/>
  <c r="P2404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806" i="34"/>
  <c r="P2806" i="34"/>
  <c r="O2810" i="34"/>
  <c r="Q2814" i="34"/>
  <c r="P2814" i="34"/>
  <c r="O2818" i="34"/>
  <c r="Q2822" i="34"/>
  <c r="P2822" i="34"/>
  <c r="O1733" i="34"/>
  <c r="O2384" i="34"/>
  <c r="P2388" i="34"/>
  <c r="O2444" i="34"/>
  <c r="P2789" i="34"/>
  <c r="O2793" i="34"/>
  <c r="P2797" i="34"/>
  <c r="O2801" i="34"/>
  <c r="P2405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5" i="34"/>
  <c r="P2445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804" i="34"/>
  <c r="O2808" i="34"/>
  <c r="P2812" i="34"/>
  <c r="O2816" i="34"/>
  <c r="P2820" i="34"/>
  <c r="O2824" i="34"/>
  <c r="O1749" i="34"/>
  <c r="Q2386" i="34"/>
  <c r="P2386" i="34"/>
  <c r="O2442" i="34"/>
  <c r="P2446" i="34"/>
  <c r="P2795" i="34"/>
  <c r="P2803" i="34"/>
  <c r="P2403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9" i="34"/>
  <c r="O2790" i="34"/>
  <c r="Q2794" i="34"/>
  <c r="P2794" i="34"/>
  <c r="O2798" i="34"/>
  <c r="Q2802" i="34"/>
  <c r="P2802" i="34"/>
  <c r="P2402" i="34"/>
  <c r="Q2334" i="34"/>
  <c r="Q2342" i="34"/>
  <c r="O2383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804" i="34"/>
  <c r="Q2812" i="34"/>
  <c r="Q2820" i="34"/>
  <c r="O2791" i="34"/>
  <c r="Q2795" i="34"/>
  <c r="O2799" i="34"/>
  <c r="Q2803" i="34"/>
  <c r="Q2403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5" i="34"/>
  <c r="O2445" i="34"/>
  <c r="P2330" i="34"/>
  <c r="O2334" i="34"/>
  <c r="P2338" i="34"/>
  <c r="O2342" i="34"/>
  <c r="P2346" i="34"/>
  <c r="P2383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804" i="34"/>
  <c r="P2808" i="34"/>
  <c r="O2812" i="34"/>
  <c r="P2816" i="34"/>
  <c r="O2820" i="34"/>
  <c r="P2824" i="34"/>
  <c r="Q1749" i="34"/>
  <c r="P1749" i="34"/>
  <c r="O2386" i="34"/>
  <c r="Q2442" i="34"/>
  <c r="P2442" i="34"/>
  <c r="O2446" i="34"/>
  <c r="P2791" i="34"/>
  <c r="P2799" i="34"/>
  <c r="O2403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7" i="34"/>
  <c r="P2811" i="34"/>
  <c r="P2815" i="34"/>
  <c r="P2819" i="34"/>
  <c r="P2823" i="34"/>
  <c r="P1965" i="34"/>
  <c r="P2389" i="34"/>
  <c r="Q2790" i="34"/>
  <c r="P2790" i="34"/>
  <c r="O2794" i="34"/>
  <c r="Q2798" i="34"/>
  <c r="P2798" i="34"/>
  <c r="O2802" i="34"/>
  <c r="O2402" i="34"/>
  <c r="Q2330" i="34"/>
  <c r="Q2338" i="34"/>
  <c r="Q2346" i="34"/>
  <c r="Q2383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8" i="34"/>
  <c r="Q2816" i="34"/>
  <c r="Q2824" i="34"/>
  <c r="Q2791" i="34"/>
  <c r="O2795" i="34"/>
  <c r="Q2799" i="34"/>
  <c r="O2803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46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2" i="70"/>
  <c r="C22" i="70"/>
  <c r="B135" i="34" l="1"/>
  <c r="B136" i="34"/>
  <c r="B137" i="34"/>
  <c r="B138" i="34"/>
  <c r="B139" i="34"/>
  <c r="B140" i="34"/>
  <c r="B127" i="34"/>
  <c r="B128" i="34"/>
  <c r="B166" i="34"/>
  <c r="B167" i="34"/>
  <c r="B168" i="34"/>
  <c r="Z128" i="34" l="1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Z41" i="34" l="1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D13" i="15" l="1"/>
  <c r="C13" i="15"/>
  <c r="B78" i="34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39" i="15"/>
  <c r="D39" i="15"/>
  <c r="C34" i="15"/>
  <c r="D34" i="15"/>
  <c r="D31" i="15"/>
  <c r="D32" i="15" s="1"/>
  <c r="C24" i="15"/>
  <c r="D24" i="15"/>
  <c r="D16" i="15"/>
  <c r="C16" i="15"/>
  <c r="D11" i="15"/>
  <c r="C11" i="15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32" i="34" l="1"/>
  <c r="B2833" i="34"/>
  <c r="B2834" i="34"/>
  <c r="B2835" i="34"/>
  <c r="B2836" i="34"/>
  <c r="B2837" i="34"/>
  <c r="O2835" i="34" l="1"/>
  <c r="Q2835" i="34"/>
  <c r="U2835" i="34"/>
  <c r="W2835" i="34"/>
  <c r="P2835" i="34"/>
  <c r="Z2835" i="34"/>
  <c r="Q2834" i="34"/>
  <c r="U2834" i="34"/>
  <c r="O2834" i="34"/>
  <c r="W2834" i="34"/>
  <c r="P2834" i="34"/>
  <c r="A2834" i="34"/>
  <c r="Z2834" i="34"/>
  <c r="P2833" i="34"/>
  <c r="W2833" i="34"/>
  <c r="Q2833" i="34"/>
  <c r="U2833" i="34"/>
  <c r="A2833" i="34"/>
  <c r="O2833" i="34"/>
  <c r="Z2833" i="34"/>
  <c r="Q2836" i="34"/>
  <c r="U2836" i="34"/>
  <c r="P2836" i="34"/>
  <c r="W2836" i="34"/>
  <c r="O2836" i="34"/>
  <c r="Z2836" i="34"/>
  <c r="O2832" i="34"/>
  <c r="P2832" i="34"/>
  <c r="Q2832" i="34"/>
  <c r="U2832" i="34"/>
  <c r="W2832" i="34"/>
  <c r="A2832" i="34"/>
  <c r="Z2832" i="34"/>
  <c r="A2835" i="34"/>
  <c r="P2837" i="34"/>
  <c r="Q2837" i="34"/>
  <c r="U2837" i="34"/>
  <c r="Z2837" i="34"/>
  <c r="O2837" i="34"/>
  <c r="A2836" i="34"/>
  <c r="A2837" i="34"/>
  <c r="I6" i="43"/>
  <c r="G419" i="55" l="1" a="1"/>
  <c r="G419" i="55" s="1"/>
  <c r="I423" i="55" a="1"/>
  <c r="I423" i="55" s="1"/>
  <c r="I237" i="55" a="1"/>
  <c r="I237" i="55" s="1"/>
  <c r="I322" i="55" a="1"/>
  <c r="I322" i="55" s="1"/>
  <c r="I377" i="55" a="1"/>
  <c r="I377" i="55" s="1"/>
  <c r="I226" i="55" a="1"/>
  <c r="I226" i="55" s="1"/>
  <c r="I198" i="55" a="1"/>
  <c r="I198" i="55" s="1"/>
  <c r="I185" i="55" a="1"/>
  <c r="I185" i="55" s="1"/>
  <c r="I269" i="55" a="1"/>
  <c r="I269" i="55" s="1"/>
  <c r="I299" i="55" a="1"/>
  <c r="I299" i="55" s="1"/>
  <c r="I166" i="55" a="1"/>
  <c r="I166" i="55" s="1"/>
  <c r="I356" i="55" a="1"/>
  <c r="I356" i="55" s="1"/>
  <c r="I164" i="55" a="1"/>
  <c r="I164" i="55" s="1"/>
  <c r="I364" i="55" a="1"/>
  <c r="I364" i="55" s="1"/>
  <c r="I197" i="55" a="1"/>
  <c r="I197" i="55" s="1"/>
  <c r="I188" i="55" a="1"/>
  <c r="I188" i="55" s="1"/>
  <c r="I419" i="55" a="1"/>
  <c r="I419" i="55" s="1"/>
  <c r="G461" i="55" a="1"/>
  <c r="G461" i="55" s="1"/>
  <c r="G159" i="55" a="1"/>
  <c r="G159" i="55" s="1"/>
  <c r="G313" i="55" a="1"/>
  <c r="G313" i="55" s="1"/>
  <c r="G343" i="55" a="1"/>
  <c r="G343" i="55" s="1"/>
  <c r="G353" i="55" a="1"/>
  <c r="G353" i="55" s="1"/>
  <c r="G325" i="55" a="1"/>
  <c r="G325" i="55" s="1"/>
  <c r="G217" i="55" a="1"/>
  <c r="G217" i="55" s="1"/>
  <c r="G258" i="55" a="1"/>
  <c r="G258" i="55" s="1"/>
  <c r="G201" i="55" a="1"/>
  <c r="G201" i="55" s="1"/>
  <c r="G171" i="55" a="1"/>
  <c r="G171" i="55" s="1"/>
  <c r="G172" i="55" a="1"/>
  <c r="G172" i="55" s="1"/>
  <c r="G306" i="55" a="1"/>
  <c r="G306" i="55" s="1"/>
  <c r="G295" i="55" a="1"/>
  <c r="G295" i="55" s="1"/>
  <c r="I282" i="55" a="1"/>
  <c r="I282" i="55" s="1"/>
  <c r="I437" i="55" a="1"/>
  <c r="I437" i="55" s="1"/>
  <c r="I321" i="55" a="1"/>
  <c r="I321" i="55" s="1"/>
  <c r="I371" i="55" a="1"/>
  <c r="I371" i="55" s="1"/>
  <c r="I354" i="55" a="1"/>
  <c r="I354" i="55" s="1"/>
  <c r="I320" i="55" a="1"/>
  <c r="I320" i="55" s="1"/>
  <c r="I177" i="55" a="1"/>
  <c r="I177" i="55" s="1"/>
  <c r="I224" i="55" a="1"/>
  <c r="I224" i="55" s="1"/>
  <c r="I168" i="55" a="1"/>
  <c r="I168" i="55" s="1"/>
  <c r="I165" i="55" a="1"/>
  <c r="I165" i="55" s="1"/>
  <c r="I366" i="55" a="1"/>
  <c r="I366" i="55" s="1"/>
  <c r="I268" i="55" a="1"/>
  <c r="I268" i="55" s="1"/>
  <c r="I388" i="55" a="1"/>
  <c r="I388" i="55" s="1"/>
  <c r="G421" i="55" a="1"/>
  <c r="G421" i="55" s="1"/>
  <c r="G387" i="55" a="1"/>
  <c r="G387" i="55" s="1"/>
  <c r="G379" i="55" a="1"/>
  <c r="G379" i="55" s="1"/>
  <c r="G382" i="55" a="1"/>
  <c r="G382" i="55" s="1"/>
  <c r="G381" i="55" a="1"/>
  <c r="G381" i="55" s="1"/>
  <c r="G433" i="55" a="1"/>
  <c r="G433" i="55" s="1"/>
  <c r="I425" i="55" a="1"/>
  <c r="I425" i="55" s="1"/>
  <c r="I461" i="55" a="1"/>
  <c r="I461" i="55" s="1"/>
  <c r="I159" i="55" a="1"/>
  <c r="I159" i="55" s="1"/>
  <c r="I313" i="55" a="1"/>
  <c r="I313" i="55" s="1"/>
  <c r="I343" i="55" a="1"/>
  <c r="I343" i="55" s="1"/>
  <c r="I353" i="55" a="1"/>
  <c r="I353" i="55" s="1"/>
  <c r="I325" i="55" a="1"/>
  <c r="I325" i="55" s="1"/>
  <c r="I217" i="55" a="1"/>
  <c r="I217" i="55" s="1"/>
  <c r="I258" i="55" a="1"/>
  <c r="I258" i="55" s="1"/>
  <c r="I201" i="55" a="1"/>
  <c r="I201" i="55" s="1"/>
  <c r="I171" i="55" a="1"/>
  <c r="I171" i="55" s="1"/>
  <c r="I172" i="55" a="1"/>
  <c r="I172" i="55" s="1"/>
  <c r="I306" i="55" a="1"/>
  <c r="I306" i="55" s="1"/>
  <c r="G425" i="55" a="1"/>
  <c r="G425" i="55" s="1"/>
  <c r="I421" i="55" a="1"/>
  <c r="I421" i="55" s="1"/>
  <c r="I387" i="55" a="1"/>
  <c r="I387" i="55" s="1"/>
  <c r="I379" i="55" a="1"/>
  <c r="I379" i="55" s="1"/>
  <c r="I382" i="55" a="1"/>
  <c r="I382" i="55" s="1"/>
  <c r="I381" i="55" a="1"/>
  <c r="I381" i="55" s="1"/>
  <c r="I310" i="55" a="1"/>
  <c r="I310" i="55" s="1"/>
  <c r="I236" i="55" a="1"/>
  <c r="I236" i="55" s="1"/>
  <c r="I386" i="55" a="1"/>
  <c r="I386" i="55" s="1"/>
  <c r="I307" i="55" a="1"/>
  <c r="I307" i="55" s="1"/>
  <c r="I167" i="55" a="1"/>
  <c r="I167" i="55" s="1"/>
  <c r="I383" i="55" a="1"/>
  <c r="I383" i="55" s="1"/>
  <c r="I163" i="55" a="1"/>
  <c r="I163" i="55" s="1"/>
  <c r="I235" i="55" a="1"/>
  <c r="I235" i="55" s="1"/>
  <c r="I359" i="55" a="1"/>
  <c r="I359" i="55" s="1"/>
  <c r="G388" i="55" a="1"/>
  <c r="G388" i="55" s="1"/>
  <c r="G437" i="55" a="1"/>
  <c r="G437" i="55" s="1"/>
  <c r="G321" i="55" a="1"/>
  <c r="G321" i="55" s="1"/>
  <c r="G371" i="55" a="1"/>
  <c r="G371" i="55" s="1"/>
  <c r="G423" i="55" a="1"/>
  <c r="G423" i="55" s="1"/>
  <c r="G226" i="55" a="1"/>
  <c r="G226" i="55" s="1"/>
  <c r="G185" i="55" a="1"/>
  <c r="G185" i="55" s="1"/>
  <c r="K185" i="55" s="1"/>
  <c r="G224" i="55" a="1"/>
  <c r="G224" i="55" s="1"/>
  <c r="G167" i="55" a="1"/>
  <c r="G167" i="55" s="1"/>
  <c r="G356" i="55" a="1"/>
  <c r="G356" i="55" s="1"/>
  <c r="G235" i="55" a="1"/>
  <c r="G235" i="55" s="1"/>
  <c r="K235" i="55" s="1"/>
  <c r="G188" i="55" a="1"/>
  <c r="G188" i="55" s="1"/>
  <c r="I294" i="55" a="1"/>
  <c r="I294" i="55" s="1"/>
  <c r="I206" i="55" a="1"/>
  <c r="I206" i="55" s="1"/>
  <c r="I281" i="55" a="1"/>
  <c r="I281" i="55" s="1"/>
  <c r="I231" i="55" a="1"/>
  <c r="I231" i="55" s="1"/>
  <c r="I289" i="55" a="1"/>
  <c r="I289" i="55" s="1"/>
  <c r="I357" i="55" a="1"/>
  <c r="I357" i="55" s="1"/>
  <c r="G282" i="55" a="1"/>
  <c r="G282" i="55" s="1"/>
  <c r="G349" i="55" a="1"/>
  <c r="G349" i="55" s="1"/>
  <c r="G225" i="55" a="1"/>
  <c r="G225" i="55" s="1"/>
  <c r="G350" i="55" a="1"/>
  <c r="G350" i="55" s="1"/>
  <c r="G184" i="55" a="1"/>
  <c r="G184" i="55" s="1"/>
  <c r="G324" i="55" a="1"/>
  <c r="G324" i="55" s="1"/>
  <c r="G270" i="55" a="1"/>
  <c r="G270" i="55" s="1"/>
  <c r="G370" i="55" a="1"/>
  <c r="G370" i="55" s="1"/>
  <c r="G385" i="55" a="1"/>
  <c r="G385" i="55" s="1"/>
  <c r="I14" i="55" a="1"/>
  <c r="I14" i="55" s="1"/>
  <c r="G396" i="55" a="1"/>
  <c r="G396" i="55" s="1"/>
  <c r="G418" i="55" a="1"/>
  <c r="G418" i="55" s="1"/>
  <c r="G323" i="55" a="1"/>
  <c r="G323" i="55" s="1"/>
  <c r="I429" i="55" a="1"/>
  <c r="I429" i="55" s="1"/>
  <c r="I158" i="55" a="1"/>
  <c r="I158" i="55" s="1"/>
  <c r="I410" i="55" a="1"/>
  <c r="I410" i="55" s="1"/>
  <c r="I411" i="55" a="1"/>
  <c r="I411" i="55" s="1"/>
  <c r="G274" i="55" a="1"/>
  <c r="G274" i="55" s="1"/>
  <c r="G398" i="55" a="1"/>
  <c r="G398" i="55" s="1"/>
  <c r="G432" i="55" a="1"/>
  <c r="G432" i="55" s="1"/>
  <c r="I274" i="55" a="1"/>
  <c r="I274" i="55" s="1"/>
  <c r="I398" i="55" a="1"/>
  <c r="I398" i="55" s="1"/>
  <c r="I432" i="55" a="1"/>
  <c r="I432" i="55" s="1"/>
  <c r="I415" i="55" a="1"/>
  <c r="I415" i="55" s="1"/>
  <c r="G148" i="55" a="1"/>
  <c r="G148" i="55" s="1"/>
  <c r="I36" i="55" a="1"/>
  <c r="I36" i="55" s="1"/>
  <c r="G108" i="55" a="1"/>
  <c r="G108" i="55" s="1"/>
  <c r="G116" i="55" a="1"/>
  <c r="G116" i="55" s="1"/>
  <c r="G125" i="55" a="1"/>
  <c r="G125" i="55" s="1"/>
  <c r="I133" i="55" a="1"/>
  <c r="I133" i="55" s="1"/>
  <c r="I141" i="55" a="1"/>
  <c r="I141" i="55" s="1"/>
  <c r="G143" i="55" a="1"/>
  <c r="G143" i="55" s="1"/>
  <c r="I108" i="55" a="1"/>
  <c r="I108" i="55" s="1"/>
  <c r="I116" i="55" a="1"/>
  <c r="I116" i="55" s="1"/>
  <c r="I123" i="55" a="1"/>
  <c r="I123" i="55" s="1"/>
  <c r="G131" i="55" a="1"/>
  <c r="G131" i="55" s="1"/>
  <c r="I140" i="55" a="1"/>
  <c r="I140" i="55" s="1"/>
  <c r="G107" i="55" a="1"/>
  <c r="G107" i="55" s="1"/>
  <c r="G115" i="55" a="1"/>
  <c r="G115" i="55" s="1"/>
  <c r="G122" i="55" a="1"/>
  <c r="G122" i="55" s="1"/>
  <c r="I129" i="55" a="1"/>
  <c r="I129" i="55" s="1"/>
  <c r="G138" i="55" a="1"/>
  <c r="G138" i="55" s="1"/>
  <c r="I109" i="55" a="1"/>
  <c r="I109" i="55" s="1"/>
  <c r="I117" i="55" a="1"/>
  <c r="I117" i="55" s="1"/>
  <c r="I126" i="55" a="1"/>
  <c r="I126" i="55" s="1"/>
  <c r="I134" i="55" a="1"/>
  <c r="I134" i="55" s="1"/>
  <c r="I142" i="55" a="1"/>
  <c r="I142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102" i="55" a="1"/>
  <c r="G102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I102" i="55" a="1"/>
  <c r="I102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237" i="55" a="1"/>
  <c r="G237" i="55" s="1"/>
  <c r="K237" i="55" s="1"/>
  <c r="G354" i="55" a="1"/>
  <c r="G354" i="55" s="1"/>
  <c r="G198" i="55" a="1"/>
  <c r="G198" i="55" s="1"/>
  <c r="K198" i="55" s="1"/>
  <c r="G177" i="55" a="1"/>
  <c r="G177" i="55" s="1"/>
  <c r="K177" i="55" s="1"/>
  <c r="G307" i="55" a="1"/>
  <c r="G307" i="55" s="1"/>
  <c r="G166" i="55" a="1"/>
  <c r="G166" i="55" s="1"/>
  <c r="K166" i="55" s="1"/>
  <c r="G366" i="55" a="1"/>
  <c r="G366" i="55" s="1"/>
  <c r="G364" i="55" a="1"/>
  <c r="G364" i="55" s="1"/>
  <c r="K364" i="55" s="1"/>
  <c r="G197" i="55" a="1"/>
  <c r="G197" i="55" s="1"/>
  <c r="K197" i="55" s="1"/>
  <c r="I272" i="55" a="1"/>
  <c r="I272" i="55" s="1"/>
  <c r="I349" i="55" a="1"/>
  <c r="I349" i="55" s="1"/>
  <c r="I225" i="55" a="1"/>
  <c r="I225" i="55" s="1"/>
  <c r="I350" i="55" a="1"/>
  <c r="I350" i="55" s="1"/>
  <c r="I184" i="55" a="1"/>
  <c r="I184" i="55" s="1"/>
  <c r="I324" i="55" a="1"/>
  <c r="I324" i="55" s="1"/>
  <c r="I270" i="55" a="1"/>
  <c r="I270" i="55" s="1"/>
  <c r="I370" i="55" a="1"/>
  <c r="I370" i="55" s="1"/>
  <c r="I385" i="55" a="1"/>
  <c r="I385" i="55" s="1"/>
  <c r="G288" i="55" a="1"/>
  <c r="G288" i="55" s="1"/>
  <c r="G375" i="55" a="1"/>
  <c r="G375" i="55" s="1"/>
  <c r="G309" i="55" a="1"/>
  <c r="G309" i="55" s="1"/>
  <c r="G374" i="55" a="1"/>
  <c r="G374" i="55" s="1"/>
  <c r="G263" i="55" a="1"/>
  <c r="G263" i="55" s="1"/>
  <c r="G342" i="55" a="1"/>
  <c r="G342" i="55" s="1"/>
  <c r="G311" i="55" a="1"/>
  <c r="G311" i="55" s="1"/>
  <c r="G384" i="55" a="1"/>
  <c r="G384" i="55" s="1"/>
  <c r="G420" i="55" a="1"/>
  <c r="G420" i="55" s="1"/>
  <c r="G208" i="55" a="1"/>
  <c r="G208" i="55" s="1"/>
  <c r="G395" i="55" a="1"/>
  <c r="G395" i="55" s="1"/>
  <c r="G414" i="55" a="1"/>
  <c r="G414" i="55" s="1"/>
  <c r="G417" i="55" a="1"/>
  <c r="G417" i="55" s="1"/>
  <c r="I264" i="55" a="1"/>
  <c r="I264" i="55" s="1"/>
  <c r="I389" i="55" a="1"/>
  <c r="I389" i="55" s="1"/>
  <c r="I392" i="55" a="1"/>
  <c r="I392" i="55" s="1"/>
  <c r="I413" i="55" a="1"/>
  <c r="I413" i="55" s="1"/>
  <c r="G422" i="55" a="1"/>
  <c r="G422" i="55" s="1"/>
  <c r="G394" i="55" a="1"/>
  <c r="G394" i="55" s="1"/>
  <c r="G416" i="55" a="1"/>
  <c r="G416" i="55" s="1"/>
  <c r="I422" i="55" a="1"/>
  <c r="I422" i="55" s="1"/>
  <c r="I394" i="55" a="1"/>
  <c r="I394" i="55" s="1"/>
  <c r="I416" i="55" a="1"/>
  <c r="I416" i="55" s="1"/>
  <c r="I176" i="55" a="1"/>
  <c r="I176" i="55" s="1"/>
  <c r="I148" i="55" a="1"/>
  <c r="I148" i="55" s="1"/>
  <c r="G35" i="55" a="1"/>
  <c r="G35" i="55" s="1"/>
  <c r="G110" i="55" a="1"/>
  <c r="G110" i="55" s="1"/>
  <c r="G119" i="55" a="1"/>
  <c r="G119" i="55" s="1"/>
  <c r="I128" i="55" a="1"/>
  <c r="I128" i="55" s="1"/>
  <c r="G136" i="55" a="1"/>
  <c r="G136" i="55" s="1"/>
  <c r="G144" i="55" a="1"/>
  <c r="G144" i="55" s="1"/>
  <c r="I139" i="55" a="1"/>
  <c r="I139" i="55" s="1"/>
  <c r="I110" i="55" a="1"/>
  <c r="I110" i="55" s="1"/>
  <c r="G118" i="55" a="1"/>
  <c r="G118" i="55" s="1"/>
  <c r="I125" i="55" a="1"/>
  <c r="I125" i="55" s="1"/>
  <c r="I132" i="55" a="1"/>
  <c r="I132" i="55" s="1"/>
  <c r="I144" i="55" a="1"/>
  <c r="I144" i="55" s="1"/>
  <c r="G109" i="55" a="1"/>
  <c r="G109" i="55" s="1"/>
  <c r="G117" i="55" a="1"/>
  <c r="G117" i="55" s="1"/>
  <c r="G124" i="55" a="1"/>
  <c r="G124" i="55" s="1"/>
  <c r="I131" i="55" a="1"/>
  <c r="I131" i="55" s="1"/>
  <c r="G142" i="55" a="1"/>
  <c r="G142" i="55" s="1"/>
  <c r="I111" i="55" a="1"/>
  <c r="I111" i="55" s="1"/>
  <c r="I120" i="55" a="1"/>
  <c r="I120" i="55" s="1"/>
  <c r="G128" i="55" a="1"/>
  <c r="G128" i="55" s="1"/>
  <c r="K128" i="55" s="1"/>
  <c r="G137" i="55" a="1"/>
  <c r="G137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1" i="55" a="1"/>
  <c r="I101" i="55" s="1"/>
  <c r="I100" i="55" a="1"/>
  <c r="I100" i="55" s="1"/>
  <c r="I76" i="55" a="1"/>
  <c r="I76" i="55" s="1"/>
  <c r="G83" i="55" a="1"/>
  <c r="G83" i="55" s="1"/>
  <c r="G91" i="55" a="1"/>
  <c r="G91" i="55" s="1"/>
  <c r="G103" i="55" a="1"/>
  <c r="G103" i="55" s="1"/>
  <c r="I295" i="55" a="1"/>
  <c r="I295" i="55" s="1"/>
  <c r="G322" i="55" a="1"/>
  <c r="G322" i="55" s="1"/>
  <c r="G310" i="55" a="1"/>
  <c r="G310" i="55" s="1"/>
  <c r="G386" i="55" a="1"/>
  <c r="G386" i="55" s="1"/>
  <c r="G299" i="55" a="1"/>
  <c r="G299" i="55" s="1"/>
  <c r="K299" i="55" s="1"/>
  <c r="G165" i="55" a="1"/>
  <c r="G165" i="55" s="1"/>
  <c r="G163" i="55" a="1"/>
  <c r="G163" i="55" s="1"/>
  <c r="K163" i="55" s="1"/>
  <c r="G268" i="55" a="1"/>
  <c r="G268" i="55" s="1"/>
  <c r="K268" i="55" s="1"/>
  <c r="I288" i="55" a="1"/>
  <c r="I288" i="55" s="1"/>
  <c r="I375" i="55" a="1"/>
  <c r="I375" i="55" s="1"/>
  <c r="I309" i="55" a="1"/>
  <c r="I309" i="55" s="1"/>
  <c r="I374" i="55" a="1"/>
  <c r="I374" i="55" s="1"/>
  <c r="I263" i="55" a="1"/>
  <c r="I263" i="55" s="1"/>
  <c r="I342" i="55" a="1"/>
  <c r="I342" i="55" s="1"/>
  <c r="I311" i="55" a="1"/>
  <c r="I311" i="55" s="1"/>
  <c r="I384" i="55" a="1"/>
  <c r="I384" i="55" s="1"/>
  <c r="I433" i="55" a="1"/>
  <c r="I433" i="55" s="1"/>
  <c r="G228" i="55" a="1"/>
  <c r="G228" i="55" s="1"/>
  <c r="G352" i="55" a="1"/>
  <c r="G352" i="55" s="1"/>
  <c r="G195" i="55" a="1"/>
  <c r="G195" i="55" s="1"/>
  <c r="G348" i="55" a="1"/>
  <c r="G348" i="55" s="1"/>
  <c r="G361" i="55" a="1"/>
  <c r="G361" i="55" s="1"/>
  <c r="G429" i="55" a="1"/>
  <c r="G429" i="55" s="1"/>
  <c r="K429" i="55" s="1"/>
  <c r="G158" i="55" a="1"/>
  <c r="G158" i="55" s="1"/>
  <c r="K158" i="55" s="1"/>
  <c r="G410" i="55" a="1"/>
  <c r="G410" i="55" s="1"/>
  <c r="G411" i="55" a="1"/>
  <c r="G411" i="55" s="1"/>
  <c r="I396" i="55" a="1"/>
  <c r="I396" i="55" s="1"/>
  <c r="I418" i="55" a="1"/>
  <c r="I418" i="55" s="1"/>
  <c r="G430" i="55" a="1"/>
  <c r="G430" i="55" s="1"/>
  <c r="G154" i="55" a="1"/>
  <c r="G154" i="55" s="1"/>
  <c r="G390" i="55" a="1"/>
  <c r="G390" i="55" s="1"/>
  <c r="I430" i="55" a="1"/>
  <c r="I430" i="55" s="1"/>
  <c r="I154" i="55" a="1"/>
  <c r="I154" i="55" s="1"/>
  <c r="I390" i="55" a="1"/>
  <c r="I390" i="55" s="1"/>
  <c r="G147" i="55" a="1"/>
  <c r="G147" i="55" s="1"/>
  <c r="G24" i="55" a="1"/>
  <c r="G24" i="55" s="1"/>
  <c r="G112" i="55" a="1"/>
  <c r="G112" i="55" s="1"/>
  <c r="G121" i="55" a="1"/>
  <c r="G121" i="55" s="1"/>
  <c r="I130" i="55" a="1"/>
  <c r="I130" i="55" s="1"/>
  <c r="I137" i="55" a="1"/>
  <c r="I137" i="55" s="1"/>
  <c r="I145" i="55" a="1"/>
  <c r="I145" i="55" s="1"/>
  <c r="G146" i="55" a="1"/>
  <c r="G146" i="55" s="1"/>
  <c r="I112" i="55" a="1"/>
  <c r="I112" i="55" s="1"/>
  <c r="I119" i="55" a="1"/>
  <c r="I119" i="55" s="1"/>
  <c r="G127" i="55" a="1"/>
  <c r="G127" i="55" s="1"/>
  <c r="G135" i="55" a="1"/>
  <c r="G135" i="55" s="1"/>
  <c r="I143" i="55" a="1"/>
  <c r="I143" i="55" s="1"/>
  <c r="G111" i="55" a="1"/>
  <c r="G111" i="55" s="1"/>
  <c r="I118" i="55" a="1"/>
  <c r="I118" i="55" s="1"/>
  <c r="G126" i="55" a="1"/>
  <c r="G126" i="55" s="1"/>
  <c r="G134" i="55" a="1"/>
  <c r="G134" i="55" s="1"/>
  <c r="K134" i="55" s="1"/>
  <c r="G145" i="55" a="1"/>
  <c r="G145" i="55" s="1"/>
  <c r="I113" i="55" a="1"/>
  <c r="I113" i="55" s="1"/>
  <c r="I122" i="55" a="1"/>
  <c r="I122" i="55" s="1"/>
  <c r="G130" i="55" a="1"/>
  <c r="G130" i="55" s="1"/>
  <c r="K130" i="55" s="1"/>
  <c r="I138" i="55" a="1"/>
  <c r="I138" i="55" s="1"/>
  <c r="G29" i="55" a="1"/>
  <c r="G29" i="55" s="1"/>
  <c r="G377" i="55" a="1"/>
  <c r="G377" i="55" s="1"/>
  <c r="G320" i="55" a="1"/>
  <c r="G320" i="55" s="1"/>
  <c r="G236" i="55" a="1"/>
  <c r="G236" i="55" s="1"/>
  <c r="K236" i="55" s="1"/>
  <c r="G269" i="55" a="1"/>
  <c r="G269" i="55" s="1"/>
  <c r="K269" i="55" s="1"/>
  <c r="G168" i="55" a="1"/>
  <c r="G168" i="55" s="1"/>
  <c r="K168" i="55" s="1"/>
  <c r="G383" i="55" a="1"/>
  <c r="G383" i="55" s="1"/>
  <c r="G164" i="55" a="1"/>
  <c r="G164" i="55" s="1"/>
  <c r="K164" i="55" s="1"/>
  <c r="G359" i="55" a="1"/>
  <c r="G359" i="55" s="1"/>
  <c r="I228" i="55" a="1"/>
  <c r="I228" i="55" s="1"/>
  <c r="I352" i="55" a="1"/>
  <c r="I352" i="55" s="1"/>
  <c r="I195" i="55" a="1"/>
  <c r="I195" i="55" s="1"/>
  <c r="I348" i="55" a="1"/>
  <c r="I348" i="55" s="1"/>
  <c r="I361" i="55" a="1"/>
  <c r="I361" i="55" s="1"/>
  <c r="G272" i="55" a="1"/>
  <c r="G272" i="55" s="1"/>
  <c r="K272" i="55" s="1"/>
  <c r="G294" i="55" a="1"/>
  <c r="G294" i="55" s="1"/>
  <c r="G206" i="55" a="1"/>
  <c r="G206" i="55" s="1"/>
  <c r="K206" i="55" s="1"/>
  <c r="G281" i="55" a="1"/>
  <c r="G281" i="55" s="1"/>
  <c r="G231" i="55" a="1"/>
  <c r="G231" i="55" s="1"/>
  <c r="K231" i="55" s="1"/>
  <c r="G289" i="55" a="1"/>
  <c r="G289" i="55" s="1"/>
  <c r="G357" i="55" a="1"/>
  <c r="G357" i="55" s="1"/>
  <c r="G14" i="55" a="1"/>
  <c r="G14" i="55" s="1"/>
  <c r="K14" i="55" s="1"/>
  <c r="G264" i="55" a="1"/>
  <c r="G264" i="55" s="1"/>
  <c r="G389" i="55" a="1"/>
  <c r="G389" i="55" s="1"/>
  <c r="K389" i="55" s="1"/>
  <c r="G392" i="55" a="1"/>
  <c r="G392" i="55" s="1"/>
  <c r="G413" i="55" a="1"/>
  <c r="G413" i="55" s="1"/>
  <c r="I323" i="55" a="1"/>
  <c r="I323" i="55" s="1"/>
  <c r="I420" i="55" a="1"/>
  <c r="I420" i="55" s="1"/>
  <c r="I208" i="55" a="1"/>
  <c r="I208" i="55" s="1"/>
  <c r="I395" i="55" a="1"/>
  <c r="I395" i="55" s="1"/>
  <c r="I414" i="55" a="1"/>
  <c r="I414" i="55" s="1"/>
  <c r="G415" i="55" a="1"/>
  <c r="G415" i="55" s="1"/>
  <c r="G431" i="55" a="1"/>
  <c r="G431" i="55" s="1"/>
  <c r="G397" i="55" a="1"/>
  <c r="G397" i="55" s="1"/>
  <c r="G391" i="55" a="1"/>
  <c r="G391" i="55" s="1"/>
  <c r="G176" i="55" a="1"/>
  <c r="G176" i="55" s="1"/>
  <c r="I431" i="55" a="1"/>
  <c r="I431" i="55" s="1"/>
  <c r="I397" i="55" a="1"/>
  <c r="I397" i="55" s="1"/>
  <c r="I391" i="55" a="1"/>
  <c r="I391" i="55" s="1"/>
  <c r="I417" i="55" a="1"/>
  <c r="I417" i="55" s="1"/>
  <c r="G33" i="55" a="1"/>
  <c r="G33" i="55" s="1"/>
  <c r="I147" i="55" a="1"/>
  <c r="I147" i="55" s="1"/>
  <c r="G106" i="55" a="1"/>
  <c r="G106" i="55" s="1"/>
  <c r="G114" i="55" a="1"/>
  <c r="G114" i="55" s="1"/>
  <c r="G123" i="55" a="1"/>
  <c r="G123" i="55" s="1"/>
  <c r="K123" i="55" s="1"/>
  <c r="G132" i="55" a="1"/>
  <c r="G132" i="55" s="1"/>
  <c r="G140" i="55" a="1"/>
  <c r="G140" i="55" s="1"/>
  <c r="G139" i="55" a="1"/>
  <c r="G139" i="55" s="1"/>
  <c r="I106" i="55" a="1"/>
  <c r="I106" i="55" s="1"/>
  <c r="I114" i="55" a="1"/>
  <c r="I114" i="55" s="1"/>
  <c r="I121" i="55" a="1"/>
  <c r="I121" i="55" s="1"/>
  <c r="G129" i="55" a="1"/>
  <c r="G129" i="55" s="1"/>
  <c r="K129" i="55" s="1"/>
  <c r="I136" i="55" a="1"/>
  <c r="I136" i="55" s="1"/>
  <c r="I146" i="55" a="1"/>
  <c r="I146" i="55" s="1"/>
  <c r="G113" i="55" a="1"/>
  <c r="G113" i="55" s="1"/>
  <c r="G120" i="55" a="1"/>
  <c r="G120" i="55" s="1"/>
  <c r="I127" i="55" a="1"/>
  <c r="I127" i="55" s="1"/>
  <c r="I135" i="55" a="1"/>
  <c r="I135" i="55" s="1"/>
  <c r="I107" i="55" a="1"/>
  <c r="I107" i="55" s="1"/>
  <c r="I115" i="55" a="1"/>
  <c r="I115" i="55" s="1"/>
  <c r="I124" i="55" a="1"/>
  <c r="I124" i="55" s="1"/>
  <c r="G133" i="55" a="1"/>
  <c r="G133" i="55" s="1"/>
  <c r="K133" i="55" s="1"/>
  <c r="G141" i="55" a="1"/>
  <c r="G141" i="55" s="1"/>
  <c r="K141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105" i="55" a="1"/>
  <c r="I105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G104" i="55" a="1"/>
  <c r="G104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101" i="55" a="1"/>
  <c r="G101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104" i="55" a="1"/>
  <c r="I104" i="55" s="1"/>
  <c r="I103" i="55" a="1"/>
  <c r="I103" i="55" s="1"/>
  <c r="I83" i="55" a="1"/>
  <c r="I83" i="55" s="1"/>
  <c r="I95" i="55" a="1"/>
  <c r="I95" i="55" s="1"/>
  <c r="G82" i="55" a="1"/>
  <c r="G82" i="55" s="1"/>
  <c r="G93" i="55" a="1"/>
  <c r="G93" i="55" s="1"/>
  <c r="G105" i="55" a="1"/>
  <c r="G105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5" i="12"/>
  <c r="K85" i="55" l="1"/>
  <c r="K140" i="55"/>
  <c r="K264" i="55"/>
  <c r="K320" i="55"/>
  <c r="K411" i="55"/>
  <c r="K165" i="55"/>
  <c r="K90" i="55"/>
  <c r="A44" i="43"/>
  <c r="C44" i="43"/>
  <c r="E44" i="43"/>
  <c r="G44" i="43"/>
  <c r="D44" i="43"/>
  <c r="B44" i="43"/>
  <c r="F44" i="43"/>
  <c r="K167" i="55"/>
  <c r="K82" i="55"/>
  <c r="K188" i="55"/>
  <c r="K224" i="55"/>
  <c r="K132" i="55"/>
  <c r="K226" i="55"/>
  <c r="K142" i="55"/>
  <c r="K139" i="55"/>
  <c r="K176" i="55"/>
  <c r="K154" i="55"/>
  <c r="K147" i="55"/>
  <c r="K137" i="55"/>
  <c r="K136" i="55"/>
  <c r="K208" i="55"/>
  <c r="K148" i="55"/>
  <c r="K184" i="55"/>
  <c r="K172" i="55"/>
  <c r="K217" i="55"/>
  <c r="K135" i="55"/>
  <c r="K146" i="55"/>
  <c r="K228" i="55"/>
  <c r="K263" i="55"/>
  <c r="K143" i="55"/>
  <c r="K171" i="55"/>
  <c r="K159" i="55"/>
  <c r="K270" i="55"/>
  <c r="K225" i="55"/>
  <c r="K201" i="55"/>
  <c r="K145" i="55"/>
  <c r="K195" i="55"/>
  <c r="K144" i="55"/>
  <c r="K138" i="55"/>
  <c r="K274" i="55"/>
  <c r="K258" i="55"/>
  <c r="K282" i="55"/>
  <c r="K26" i="55"/>
  <c r="K410" i="55"/>
  <c r="K354" i="55"/>
  <c r="K111" i="55"/>
  <c r="K71" i="55"/>
  <c r="K120" i="55"/>
  <c r="K415" i="55"/>
  <c r="K383" i="55"/>
  <c r="K377" i="55"/>
  <c r="K63" i="55"/>
  <c r="K357" i="55"/>
  <c r="K281" i="55"/>
  <c r="K359" i="55"/>
  <c r="K310" i="55"/>
  <c r="K96" i="55"/>
  <c r="K322" i="55"/>
  <c r="K366" i="55"/>
  <c r="K413" i="55"/>
  <c r="K321" i="55"/>
  <c r="K371" i="55"/>
  <c r="K29" i="55"/>
  <c r="K62" i="55"/>
  <c r="K109" i="55"/>
  <c r="K44" i="55"/>
  <c r="K437" i="55"/>
  <c r="K307" i="55"/>
  <c r="K388" i="55"/>
  <c r="K78" i="55"/>
  <c r="K38" i="55"/>
  <c r="K102" i="55"/>
  <c r="K89" i="55"/>
  <c r="K97" i="55"/>
  <c r="K50" i="55"/>
  <c r="K70" i="55"/>
  <c r="K113" i="55"/>
  <c r="K106" i="55"/>
  <c r="K77" i="55"/>
  <c r="K66" i="55"/>
  <c r="K34" i="55"/>
  <c r="K116" i="55"/>
  <c r="K42" i="55"/>
  <c r="K27" i="55"/>
  <c r="K127" i="55"/>
  <c r="K54" i="55"/>
  <c r="K101" i="55"/>
  <c r="K126" i="55"/>
  <c r="K386" i="55"/>
  <c r="K289" i="55"/>
  <c r="K294" i="55"/>
  <c r="K423" i="55"/>
  <c r="K425" i="55"/>
  <c r="K47" i="55"/>
  <c r="K35" i="55"/>
  <c r="K392" i="55"/>
  <c r="K356" i="55"/>
  <c r="K119" i="55"/>
  <c r="K114" i="55"/>
  <c r="K51" i="55"/>
  <c r="K397" i="55"/>
  <c r="K93" i="55"/>
  <c r="K60" i="55"/>
  <c r="K46" i="55"/>
  <c r="K43" i="55"/>
  <c r="K361" i="55"/>
  <c r="K91" i="55"/>
  <c r="K30" i="55"/>
  <c r="K118" i="55"/>
  <c r="K394" i="55"/>
  <c r="K420" i="55"/>
  <c r="K288" i="55"/>
  <c r="K40" i="55"/>
  <c r="K57" i="55"/>
  <c r="K81" i="55"/>
  <c r="K92" i="55"/>
  <c r="K125" i="55"/>
  <c r="K418" i="55"/>
  <c r="K385" i="55"/>
  <c r="K379" i="55"/>
  <c r="K325" i="55"/>
  <c r="K313" i="55"/>
  <c r="K75" i="55"/>
  <c r="K391" i="55"/>
  <c r="K121" i="55"/>
  <c r="K430" i="55"/>
  <c r="K348" i="55"/>
  <c r="K83" i="55"/>
  <c r="K414" i="55"/>
  <c r="K384" i="55"/>
  <c r="K374" i="55"/>
  <c r="K64" i="55"/>
  <c r="K49" i="55"/>
  <c r="K86" i="55"/>
  <c r="K25" i="55"/>
  <c r="K122" i="55"/>
  <c r="K131" i="55"/>
  <c r="K396" i="55"/>
  <c r="K370" i="55"/>
  <c r="K350" i="55"/>
  <c r="K433" i="55"/>
  <c r="K387" i="55"/>
  <c r="K353" i="55"/>
  <c r="K419" i="55"/>
  <c r="K45" i="55"/>
  <c r="K95" i="55"/>
  <c r="K74" i="55"/>
  <c r="K68" i="55"/>
  <c r="K87" i="55"/>
  <c r="K112" i="55"/>
  <c r="K352" i="55"/>
  <c r="K124" i="55"/>
  <c r="K422" i="55"/>
  <c r="K395" i="55"/>
  <c r="K311" i="55"/>
  <c r="K309" i="55"/>
  <c r="K56" i="55"/>
  <c r="K73" i="55"/>
  <c r="K41" i="55"/>
  <c r="K99" i="55"/>
  <c r="K76" i="55"/>
  <c r="K115" i="55"/>
  <c r="K108" i="55"/>
  <c r="K432" i="55"/>
  <c r="K381" i="55"/>
  <c r="K421" i="55"/>
  <c r="K306" i="55"/>
  <c r="K343" i="55"/>
  <c r="K461" i="55"/>
  <c r="K61" i="55"/>
  <c r="K37" i="55"/>
  <c r="K69" i="55"/>
  <c r="K59" i="55"/>
  <c r="K72" i="55"/>
  <c r="K105" i="55"/>
  <c r="K52" i="55"/>
  <c r="K98" i="55"/>
  <c r="K67" i="55"/>
  <c r="K58" i="55"/>
  <c r="K53" i="55"/>
  <c r="K80" i="55"/>
  <c r="K104" i="55"/>
  <c r="K33" i="55"/>
  <c r="K431" i="55"/>
  <c r="K24" i="55"/>
  <c r="K390" i="55"/>
  <c r="K103" i="55"/>
  <c r="K79" i="55"/>
  <c r="K31" i="55"/>
  <c r="K117" i="55"/>
  <c r="K110" i="55"/>
  <c r="K416" i="55"/>
  <c r="K417" i="55"/>
  <c r="K342" i="55"/>
  <c r="K375" i="55"/>
  <c r="K48" i="55"/>
  <c r="K65" i="55"/>
  <c r="K94" i="55"/>
  <c r="K100" i="55"/>
  <c r="K32" i="55"/>
  <c r="K107" i="55"/>
  <c r="K398" i="55"/>
  <c r="K323" i="55"/>
  <c r="K324" i="55"/>
  <c r="K349" i="55"/>
  <c r="K382" i="55"/>
  <c r="K295" i="55"/>
  <c r="A12" i="43"/>
  <c r="G50" i="43" s="1"/>
  <c r="F486" i="55"/>
  <c r="F151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H24" i="77" s="1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H20" i="77" s="1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K29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1" i="74" l="1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0" i="15"/>
  <c r="D20" i="15"/>
  <c r="F36" i="74" l="1"/>
  <c r="F37" i="74" s="1"/>
  <c r="G34" i="77"/>
  <c r="F33" i="77"/>
  <c r="F34" i="77" s="1"/>
  <c r="G28" i="78"/>
  <c r="G24" i="75"/>
  <c r="F23" i="75"/>
  <c r="F24" i="75" s="1"/>
  <c r="G37" i="74"/>
  <c r="D36" i="15"/>
  <c r="G29" i="78" l="1"/>
  <c r="F28" i="78"/>
  <c r="F29" i="78" s="1"/>
  <c r="B11" i="61"/>
  <c r="L588" i="60"/>
  <c r="L339" i="60"/>
  <c r="J339" i="60"/>
  <c r="A338" i="60"/>
  <c r="L171" i="60"/>
  <c r="I7" i="60" s="1"/>
  <c r="J171" i="60"/>
  <c r="C171" i="60"/>
  <c r="A31" i="58"/>
  <c r="I13" i="58"/>
  <c r="C8" i="58"/>
  <c r="A73" i="57"/>
  <c r="L13" i="57"/>
  <c r="K13" i="57"/>
  <c r="I7" i="57"/>
  <c r="D7" i="56"/>
  <c r="C7" i="56"/>
  <c r="D5" i="56"/>
  <c r="A486" i="55"/>
  <c r="F485" i="55"/>
  <c r="E486" i="55" s="1"/>
  <c r="E485" i="55"/>
  <c r="A485" i="55"/>
  <c r="I436" i="55" a="1"/>
  <c r="I436" i="55" s="1"/>
  <c r="G436" i="55" a="1"/>
  <c r="G436" i="55" s="1"/>
  <c r="I434" i="55" a="1"/>
  <c r="I434" i="55" s="1"/>
  <c r="G434" i="55" a="1"/>
  <c r="G434" i="55" s="1"/>
  <c r="I426" i="55" a="1"/>
  <c r="I426" i="55" s="1"/>
  <c r="G426" i="55" a="1"/>
  <c r="G426" i="55" s="1"/>
  <c r="I424" i="55" a="1"/>
  <c r="I424" i="55" s="1"/>
  <c r="G424" i="55" a="1"/>
  <c r="G424" i="55" s="1"/>
  <c r="E151" i="55"/>
  <c r="I20" i="55" a="1"/>
  <c r="I20" i="55" s="1"/>
  <c r="I19" i="55" a="1"/>
  <c r="I19" i="55" s="1"/>
  <c r="I18" i="55" a="1"/>
  <c r="I18" i="55" s="1"/>
  <c r="G18" i="55" a="1"/>
  <c r="G18" i="55" s="1"/>
  <c r="G150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2429" i="34" s="1"/>
  <c r="V2408" i="34" l="1"/>
  <c r="V2413" i="34"/>
  <c r="V2392" i="34"/>
  <c r="V2400" i="34"/>
  <c r="V2358" i="34"/>
  <c r="V2367" i="34"/>
  <c r="V13" i="34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3" i="34"/>
  <c r="V2368" i="34"/>
  <c r="V2372" i="34"/>
  <c r="V2376" i="34"/>
  <c r="V2380" i="34"/>
  <c r="V2384" i="34"/>
  <c r="V2388" i="34"/>
  <c r="V2393" i="34"/>
  <c r="V2398" i="34"/>
  <c r="V2403" i="34"/>
  <c r="V2407" i="34"/>
  <c r="V2412" i="34"/>
  <c r="V2417" i="34"/>
  <c r="V2421" i="34"/>
  <c r="V2425" i="34"/>
  <c r="V2430" i="34"/>
  <c r="V2434" i="34"/>
  <c r="V2438" i="34"/>
  <c r="V2442" i="34"/>
  <c r="V2446" i="34"/>
  <c r="V2447" i="34"/>
  <c r="V2451" i="34"/>
  <c r="V2455" i="34"/>
  <c r="V2456" i="34"/>
  <c r="V2457" i="34"/>
  <c r="V2461" i="34"/>
  <c r="V2462" i="34"/>
  <c r="V2466" i="34"/>
  <c r="V2470" i="34"/>
  <c r="V2474" i="34"/>
  <c r="V2478" i="34"/>
  <c r="V2482" i="34"/>
  <c r="V2486" i="34"/>
  <c r="V2490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9" i="34"/>
  <c r="V2360" i="34"/>
  <c r="V2361" i="34"/>
  <c r="V2362" i="34"/>
  <c r="V2366" i="34"/>
  <c r="V2371" i="34"/>
  <c r="V2375" i="34"/>
  <c r="V2379" i="34"/>
  <c r="V2383" i="34"/>
  <c r="V2387" i="34"/>
  <c r="V2391" i="34"/>
  <c r="V2397" i="34"/>
  <c r="V2402" i="34"/>
  <c r="V2406" i="34"/>
  <c r="V2411" i="34"/>
  <c r="V2416" i="34"/>
  <c r="V2420" i="34"/>
  <c r="V2424" i="34"/>
  <c r="V2428" i="34"/>
  <c r="V2433" i="34"/>
  <c r="V2437" i="34"/>
  <c r="V2441" i="34"/>
  <c r="V2445" i="34"/>
  <c r="V2450" i="34"/>
  <c r="V2454" i="34"/>
  <c r="V2460" i="34"/>
  <c r="V2465" i="34"/>
  <c r="V2469" i="34"/>
  <c r="V2473" i="34"/>
  <c r="V2477" i="34"/>
  <c r="V2481" i="34"/>
  <c r="V2485" i="34"/>
  <c r="V2489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5" i="34"/>
  <c r="V2370" i="34"/>
  <c r="V2374" i="34"/>
  <c r="V2378" i="34"/>
  <c r="V2382" i="34"/>
  <c r="V2386" i="34"/>
  <c r="V2390" i="34"/>
  <c r="V2396" i="34"/>
  <c r="V2401" i="34"/>
  <c r="V2405" i="34"/>
  <c r="V2410" i="34"/>
  <c r="V2415" i="34"/>
  <c r="V2419" i="34"/>
  <c r="V2423" i="34"/>
  <c r="V2427" i="34"/>
  <c r="V2432" i="34"/>
  <c r="V2436" i="34"/>
  <c r="V2440" i="34"/>
  <c r="V2444" i="34"/>
  <c r="V2449" i="34"/>
  <c r="V2453" i="34"/>
  <c r="V2459" i="34"/>
  <c r="V2464" i="34"/>
  <c r="V2468" i="34"/>
  <c r="V2472" i="34"/>
  <c r="V2476" i="34"/>
  <c r="V2480" i="34"/>
  <c r="V2484" i="34"/>
  <c r="V2488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4" i="34"/>
  <c r="V2369" i="34"/>
  <c r="V2373" i="34"/>
  <c r="V2377" i="34"/>
  <c r="V2381" i="34"/>
  <c r="V2385" i="34"/>
  <c r="V2389" i="34"/>
  <c r="V2394" i="34"/>
  <c r="V2395" i="34"/>
  <c r="V2399" i="34"/>
  <c r="V2404" i="34"/>
  <c r="V2409" i="34"/>
  <c r="V2414" i="34"/>
  <c r="V2418" i="34"/>
  <c r="V2422" i="34"/>
  <c r="V2426" i="34"/>
  <c r="V2431" i="34"/>
  <c r="V2435" i="34"/>
  <c r="V2439" i="34"/>
  <c r="V2443" i="34"/>
  <c r="V2448" i="34"/>
  <c r="V2452" i="34"/>
  <c r="V2458" i="34"/>
  <c r="V2463" i="34"/>
  <c r="V2467" i="34"/>
  <c r="V2471" i="34"/>
  <c r="V2475" i="34"/>
  <c r="V2479" i="34"/>
  <c r="V2483" i="34"/>
  <c r="V2487" i="34"/>
  <c r="V2491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42" i="34"/>
  <c r="V2646" i="34"/>
  <c r="V2650" i="34"/>
  <c r="V2654" i="34"/>
  <c r="V2658" i="34"/>
  <c r="V2662" i="34"/>
  <c r="V2666" i="34"/>
  <c r="V2670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827" i="34"/>
  <c r="V2831" i="34"/>
  <c r="V2638" i="34"/>
  <c r="V2641" i="34"/>
  <c r="V2645" i="34"/>
  <c r="V2649" i="34"/>
  <c r="V2653" i="34"/>
  <c r="V2657" i="34"/>
  <c r="V2661" i="34"/>
  <c r="V2665" i="34"/>
  <c r="V2669" i="34"/>
  <c r="V2673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30" i="34"/>
  <c r="V2637" i="34"/>
  <c r="V2640" i="34"/>
  <c r="V2644" i="34"/>
  <c r="V2648" i="34"/>
  <c r="V2652" i="34"/>
  <c r="V2656" i="34"/>
  <c r="V2660" i="34"/>
  <c r="V2664" i="34"/>
  <c r="V2668" i="34"/>
  <c r="V2672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V2829" i="34"/>
  <c r="V2833" i="34"/>
  <c r="V2834" i="34"/>
  <c r="V2835" i="34"/>
  <c r="V2836" i="34"/>
  <c r="V2636" i="34"/>
  <c r="V2643" i="34"/>
  <c r="V2647" i="34"/>
  <c r="V2651" i="34"/>
  <c r="V2655" i="34"/>
  <c r="V2659" i="34"/>
  <c r="V2663" i="34"/>
  <c r="V2667" i="34"/>
  <c r="V2671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828" i="34"/>
  <c r="V2832" i="34"/>
  <c r="E347" i="60"/>
  <c r="I347" i="60"/>
  <c r="E348" i="60"/>
  <c r="I348" i="60"/>
  <c r="D349" i="60"/>
  <c r="H349" i="60"/>
  <c r="G350" i="60"/>
  <c r="G351" i="60"/>
  <c r="G352" i="60"/>
  <c r="G353" i="60"/>
  <c r="F354" i="60"/>
  <c r="J354" i="60"/>
  <c r="F355" i="60"/>
  <c r="J355" i="60"/>
  <c r="F356" i="60"/>
  <c r="J356" i="60"/>
  <c r="E357" i="60"/>
  <c r="I357" i="60"/>
  <c r="D358" i="60"/>
  <c r="H358" i="60"/>
  <c r="D359" i="60"/>
  <c r="H359" i="60"/>
  <c r="D360" i="60"/>
  <c r="H360" i="60"/>
  <c r="G361" i="60"/>
  <c r="F362" i="60"/>
  <c r="J362" i="60"/>
  <c r="F363" i="60"/>
  <c r="J363" i="60"/>
  <c r="F364" i="60"/>
  <c r="J364" i="60"/>
  <c r="E365" i="60"/>
  <c r="I365" i="60"/>
  <c r="D366" i="60"/>
  <c r="H366" i="60"/>
  <c r="D367" i="60"/>
  <c r="H367" i="60"/>
  <c r="D368" i="60"/>
  <c r="H368" i="60"/>
  <c r="G369" i="60"/>
  <c r="F370" i="60"/>
  <c r="J370" i="60"/>
  <c r="F371" i="60"/>
  <c r="J371" i="60"/>
  <c r="F372" i="60"/>
  <c r="J372" i="60"/>
  <c r="F373" i="60"/>
  <c r="J373" i="60"/>
  <c r="E374" i="60"/>
  <c r="I374" i="60"/>
  <c r="E375" i="60"/>
  <c r="I375" i="60"/>
  <c r="E376" i="60"/>
  <c r="I376" i="60"/>
  <c r="E377" i="60"/>
  <c r="I377" i="60"/>
  <c r="D378" i="60"/>
  <c r="H378" i="60"/>
  <c r="D379" i="60"/>
  <c r="H379" i="60"/>
  <c r="D380" i="60"/>
  <c r="H380" i="60"/>
  <c r="D381" i="60"/>
  <c r="H381" i="60"/>
  <c r="G382" i="60"/>
  <c r="G383" i="60"/>
  <c r="G384" i="60"/>
  <c r="G385" i="60"/>
  <c r="F386" i="60"/>
  <c r="J386" i="60"/>
  <c r="F387" i="60"/>
  <c r="J387" i="60"/>
  <c r="F388" i="60"/>
  <c r="J388" i="60"/>
  <c r="F389" i="60"/>
  <c r="J389" i="60"/>
  <c r="E390" i="60"/>
  <c r="I390" i="60"/>
  <c r="E391" i="60"/>
  <c r="I391" i="60"/>
  <c r="E392" i="60"/>
  <c r="I392" i="60"/>
  <c r="E393" i="60"/>
  <c r="I393" i="60"/>
  <c r="D394" i="60"/>
  <c r="H394" i="60"/>
  <c r="D395" i="60"/>
  <c r="H395" i="60"/>
  <c r="D396" i="60"/>
  <c r="H396" i="60"/>
  <c r="D397" i="60"/>
  <c r="H397" i="60"/>
  <c r="G398" i="60"/>
  <c r="G399" i="60"/>
  <c r="G400" i="60"/>
  <c r="G401" i="60"/>
  <c r="F402" i="60"/>
  <c r="J402" i="60"/>
  <c r="F403" i="60"/>
  <c r="J403" i="60"/>
  <c r="F404" i="60"/>
  <c r="J404" i="60"/>
  <c r="F405" i="60"/>
  <c r="J405" i="60"/>
  <c r="E406" i="60"/>
  <c r="I406" i="60"/>
  <c r="E407" i="60"/>
  <c r="I407" i="60"/>
  <c r="E408" i="60"/>
  <c r="I408" i="60"/>
  <c r="E409" i="60"/>
  <c r="I409" i="60"/>
  <c r="D410" i="60"/>
  <c r="H410" i="60"/>
  <c r="D411" i="60"/>
  <c r="H411" i="60"/>
  <c r="D412" i="60"/>
  <c r="H412" i="60"/>
  <c r="D413" i="60"/>
  <c r="H413" i="60"/>
  <c r="G414" i="60"/>
  <c r="G415" i="60"/>
  <c r="G416" i="60"/>
  <c r="G417" i="60"/>
  <c r="F418" i="60"/>
  <c r="J418" i="60"/>
  <c r="F419" i="60"/>
  <c r="J419" i="60"/>
  <c r="F420" i="60"/>
  <c r="J420" i="60"/>
  <c r="F421" i="60"/>
  <c r="J421" i="60"/>
  <c r="E422" i="60"/>
  <c r="I422" i="60"/>
  <c r="E423" i="60"/>
  <c r="I423" i="60"/>
  <c r="E424" i="60"/>
  <c r="I424" i="60"/>
  <c r="E425" i="60"/>
  <c r="I425" i="60"/>
  <c r="D426" i="60"/>
  <c r="H426" i="60"/>
  <c r="D427" i="60"/>
  <c r="H427" i="60"/>
  <c r="D428" i="60"/>
  <c r="F347" i="60"/>
  <c r="J347" i="60"/>
  <c r="F348" i="60"/>
  <c r="J348" i="60"/>
  <c r="E349" i="60"/>
  <c r="I349" i="60"/>
  <c r="D350" i="60"/>
  <c r="H350" i="60"/>
  <c r="D351" i="60"/>
  <c r="H351" i="60"/>
  <c r="D352" i="60"/>
  <c r="H352" i="60"/>
  <c r="D353" i="60"/>
  <c r="H353" i="60"/>
  <c r="G354" i="60"/>
  <c r="G355" i="60"/>
  <c r="G356" i="60"/>
  <c r="F357" i="60"/>
  <c r="J357" i="60"/>
  <c r="E358" i="60"/>
  <c r="I358" i="60"/>
  <c r="E359" i="60"/>
  <c r="I359" i="60"/>
  <c r="E360" i="60"/>
  <c r="I360" i="60"/>
  <c r="D361" i="60"/>
  <c r="H361" i="60"/>
  <c r="G362" i="60"/>
  <c r="G363" i="60"/>
  <c r="G364" i="60"/>
  <c r="F365" i="60"/>
  <c r="J365" i="60"/>
  <c r="E366" i="60"/>
  <c r="I366" i="60"/>
  <c r="E367" i="60"/>
  <c r="I367" i="60"/>
  <c r="E368" i="60"/>
  <c r="I368" i="60"/>
  <c r="D369" i="60"/>
  <c r="H369" i="60"/>
  <c r="G370" i="60"/>
  <c r="G371" i="60"/>
  <c r="G372" i="60"/>
  <c r="G373" i="60"/>
  <c r="F374" i="60"/>
  <c r="J374" i="60"/>
  <c r="F375" i="60"/>
  <c r="J375" i="60"/>
  <c r="F376" i="60"/>
  <c r="J376" i="60"/>
  <c r="F377" i="60"/>
  <c r="J377" i="60"/>
  <c r="E378" i="60"/>
  <c r="I378" i="60"/>
  <c r="E379" i="60"/>
  <c r="I379" i="60"/>
  <c r="E380" i="60"/>
  <c r="I380" i="60"/>
  <c r="E381" i="60"/>
  <c r="G347" i="60"/>
  <c r="G348" i="60"/>
  <c r="F349" i="60"/>
  <c r="J349" i="60"/>
  <c r="E350" i="60"/>
  <c r="I350" i="60"/>
  <c r="E351" i="60"/>
  <c r="I351" i="60"/>
  <c r="E352" i="60"/>
  <c r="I352" i="60"/>
  <c r="E353" i="60"/>
  <c r="I353" i="60"/>
  <c r="D354" i="60"/>
  <c r="H354" i="60"/>
  <c r="D355" i="60"/>
  <c r="H355" i="60"/>
  <c r="D356" i="60"/>
  <c r="H356" i="60"/>
  <c r="G357" i="60"/>
  <c r="F358" i="60"/>
  <c r="J358" i="60"/>
  <c r="F359" i="60"/>
  <c r="J359" i="60"/>
  <c r="F360" i="60"/>
  <c r="J360" i="60"/>
  <c r="E361" i="60"/>
  <c r="I361" i="60"/>
  <c r="D362" i="60"/>
  <c r="H362" i="60"/>
  <c r="D363" i="60"/>
  <c r="H363" i="60"/>
  <c r="D364" i="60"/>
  <c r="H364" i="60"/>
  <c r="G365" i="60"/>
  <c r="F366" i="60"/>
  <c r="J366" i="60"/>
  <c r="F367" i="60"/>
  <c r="J367" i="60"/>
  <c r="F368" i="60"/>
  <c r="J368" i="60"/>
  <c r="E369" i="60"/>
  <c r="I369" i="60"/>
  <c r="D370" i="60"/>
  <c r="H370" i="60"/>
  <c r="D371" i="60"/>
  <c r="D347" i="60"/>
  <c r="H347" i="60"/>
  <c r="D348" i="60"/>
  <c r="H348" i="60"/>
  <c r="G349" i="60"/>
  <c r="F350" i="60"/>
  <c r="J350" i="60"/>
  <c r="F351" i="60"/>
  <c r="J351" i="60"/>
  <c r="F352" i="60"/>
  <c r="J352" i="60"/>
  <c r="F353" i="60"/>
  <c r="J353" i="60"/>
  <c r="E354" i="60"/>
  <c r="I354" i="60"/>
  <c r="E355" i="60"/>
  <c r="I355" i="60"/>
  <c r="E356" i="60"/>
  <c r="I356" i="60"/>
  <c r="D357" i="60"/>
  <c r="K357" i="60" s="1"/>
  <c r="H357" i="60"/>
  <c r="G358" i="60"/>
  <c r="G359" i="60"/>
  <c r="G360" i="60"/>
  <c r="F361" i="60"/>
  <c r="J361" i="60"/>
  <c r="E362" i="60"/>
  <c r="I362" i="60"/>
  <c r="E363" i="60"/>
  <c r="I363" i="60"/>
  <c r="E364" i="60"/>
  <c r="I364" i="60"/>
  <c r="D365" i="60"/>
  <c r="H365" i="60"/>
  <c r="G366" i="60"/>
  <c r="G367" i="60"/>
  <c r="G368" i="60"/>
  <c r="F369" i="60"/>
  <c r="J369" i="60"/>
  <c r="E370" i="60"/>
  <c r="I370" i="60"/>
  <c r="E371" i="60"/>
  <c r="I371" i="60"/>
  <c r="E372" i="60"/>
  <c r="I372" i="60"/>
  <c r="E373" i="60"/>
  <c r="I373" i="60"/>
  <c r="D374" i="60"/>
  <c r="H374" i="60"/>
  <c r="D375" i="60"/>
  <c r="H375" i="60"/>
  <c r="D376" i="60"/>
  <c r="H376" i="60"/>
  <c r="D377" i="60"/>
  <c r="H377" i="60"/>
  <c r="G378" i="60"/>
  <c r="G379" i="60"/>
  <c r="G380" i="60"/>
  <c r="G381" i="60"/>
  <c r="F382" i="60"/>
  <c r="J382" i="60"/>
  <c r="F383" i="60"/>
  <c r="J383" i="60"/>
  <c r="F384" i="60"/>
  <c r="J384" i="60"/>
  <c r="F385" i="60"/>
  <c r="J385" i="60"/>
  <c r="E386" i="60"/>
  <c r="I386" i="60"/>
  <c r="E387" i="60"/>
  <c r="I387" i="60"/>
  <c r="E388" i="60"/>
  <c r="I388" i="60"/>
  <c r="E389" i="60"/>
  <c r="I389" i="60"/>
  <c r="D390" i="60"/>
  <c r="H390" i="60"/>
  <c r="D391" i="60"/>
  <c r="H391" i="60"/>
  <c r="D392" i="60"/>
  <c r="H392" i="60"/>
  <c r="D393" i="60"/>
  <c r="H393" i="60"/>
  <c r="G394" i="60"/>
  <c r="G395" i="60"/>
  <c r="G396" i="60"/>
  <c r="G397" i="60"/>
  <c r="F398" i="60"/>
  <c r="J398" i="60"/>
  <c r="F399" i="60"/>
  <c r="J399" i="60"/>
  <c r="F400" i="60"/>
  <c r="J400" i="60"/>
  <c r="F401" i="60"/>
  <c r="J401" i="60"/>
  <c r="E402" i="60"/>
  <c r="I402" i="60"/>
  <c r="E403" i="60"/>
  <c r="I403" i="60"/>
  <c r="E404" i="60"/>
  <c r="I404" i="60"/>
  <c r="E405" i="60"/>
  <c r="I405" i="60"/>
  <c r="D406" i="60"/>
  <c r="H406" i="60"/>
  <c r="D407" i="60"/>
  <c r="H407" i="60"/>
  <c r="D408" i="60"/>
  <c r="H408" i="60"/>
  <c r="D409" i="60"/>
  <c r="H409" i="60"/>
  <c r="G410" i="60"/>
  <c r="G411" i="60"/>
  <c r="G412" i="60"/>
  <c r="G413" i="60"/>
  <c r="F414" i="60"/>
  <c r="J414" i="60"/>
  <c r="F415" i="60"/>
  <c r="J415" i="60"/>
  <c r="F416" i="60"/>
  <c r="J416" i="60"/>
  <c r="F417" i="60"/>
  <c r="J417" i="60"/>
  <c r="E418" i="60"/>
  <c r="I418" i="60"/>
  <c r="E419" i="60"/>
  <c r="I419" i="60"/>
  <c r="E420" i="60"/>
  <c r="I420" i="60"/>
  <c r="E421" i="60"/>
  <c r="I421" i="60"/>
  <c r="D422" i="60"/>
  <c r="H422" i="60"/>
  <c r="D423" i="60"/>
  <c r="H423" i="60"/>
  <c r="D424" i="60"/>
  <c r="H424" i="60"/>
  <c r="D425" i="60"/>
  <c r="H425" i="60"/>
  <c r="G426" i="60"/>
  <c r="H371" i="60"/>
  <c r="H373" i="60"/>
  <c r="G375" i="60"/>
  <c r="G377" i="60"/>
  <c r="F379" i="60"/>
  <c r="F381" i="60"/>
  <c r="E382" i="60"/>
  <c r="E383" i="60"/>
  <c r="E384" i="60"/>
  <c r="E385" i="60"/>
  <c r="D386" i="60"/>
  <c r="D387" i="60"/>
  <c r="D388" i="60"/>
  <c r="D389" i="60"/>
  <c r="J394" i="60"/>
  <c r="J395" i="60"/>
  <c r="J396" i="60"/>
  <c r="J397" i="60"/>
  <c r="I398" i="60"/>
  <c r="I399" i="60"/>
  <c r="I400" i="60"/>
  <c r="I401" i="60"/>
  <c r="H402" i="60"/>
  <c r="H403" i="60"/>
  <c r="H404" i="60"/>
  <c r="H405" i="60"/>
  <c r="G406" i="60"/>
  <c r="G407" i="60"/>
  <c r="G408" i="60"/>
  <c r="G409" i="60"/>
  <c r="F410" i="60"/>
  <c r="F411" i="60"/>
  <c r="F412" i="60"/>
  <c r="F413" i="60"/>
  <c r="E414" i="60"/>
  <c r="E415" i="60"/>
  <c r="E416" i="60"/>
  <c r="E417" i="60"/>
  <c r="D418" i="60"/>
  <c r="D419" i="60"/>
  <c r="D420" i="60"/>
  <c r="D421" i="60"/>
  <c r="J426" i="60"/>
  <c r="I427" i="60"/>
  <c r="F428" i="60"/>
  <c r="J428" i="60"/>
  <c r="F429" i="60"/>
  <c r="J429" i="60"/>
  <c r="E430" i="60"/>
  <c r="I430" i="60"/>
  <c r="E431" i="60"/>
  <c r="I431" i="60"/>
  <c r="E432" i="60"/>
  <c r="I432" i="60"/>
  <c r="E433" i="60"/>
  <c r="I433" i="60"/>
  <c r="D434" i="60"/>
  <c r="H434" i="60"/>
  <c r="D435" i="60"/>
  <c r="H435" i="60"/>
  <c r="D436" i="60"/>
  <c r="H436" i="60"/>
  <c r="D437" i="60"/>
  <c r="H437" i="60"/>
  <c r="G438" i="60"/>
  <c r="G439" i="60"/>
  <c r="G440" i="60"/>
  <c r="G441" i="60"/>
  <c r="F442" i="60"/>
  <c r="J442" i="60"/>
  <c r="F443" i="60"/>
  <c r="J443" i="60"/>
  <c r="F444" i="60"/>
  <c r="J444" i="60"/>
  <c r="F445" i="60"/>
  <c r="J445" i="60"/>
  <c r="E446" i="60"/>
  <c r="I446" i="60"/>
  <c r="E447" i="60"/>
  <c r="I447" i="60"/>
  <c r="E448" i="60"/>
  <c r="I448" i="60"/>
  <c r="E449" i="60"/>
  <c r="I449" i="60"/>
  <c r="D450" i="60"/>
  <c r="H450" i="60"/>
  <c r="D451" i="60"/>
  <c r="H451" i="60"/>
  <c r="D452" i="60"/>
  <c r="H452" i="60"/>
  <c r="D453" i="60"/>
  <c r="H453" i="60"/>
  <c r="G454" i="60"/>
  <c r="G455" i="60"/>
  <c r="G456" i="60"/>
  <c r="G457" i="60"/>
  <c r="F458" i="60"/>
  <c r="J458" i="60"/>
  <c r="F459" i="60"/>
  <c r="J459" i="60"/>
  <c r="F460" i="60"/>
  <c r="J460" i="60"/>
  <c r="F461" i="60"/>
  <c r="J461" i="60"/>
  <c r="E462" i="60"/>
  <c r="I462" i="60"/>
  <c r="D372" i="60"/>
  <c r="J379" i="60"/>
  <c r="I381" i="60"/>
  <c r="H382" i="60"/>
  <c r="H383" i="60"/>
  <c r="H384" i="60"/>
  <c r="H385" i="60"/>
  <c r="G386" i="60"/>
  <c r="G387" i="60"/>
  <c r="G388" i="60"/>
  <c r="G389" i="60"/>
  <c r="F390" i="60"/>
  <c r="F391" i="60"/>
  <c r="F392" i="60"/>
  <c r="F393" i="60"/>
  <c r="E394" i="60"/>
  <c r="E395" i="60"/>
  <c r="E396" i="60"/>
  <c r="E397" i="60"/>
  <c r="D398" i="60"/>
  <c r="D399" i="60"/>
  <c r="D400" i="60"/>
  <c r="D401" i="60"/>
  <c r="J406" i="60"/>
  <c r="J407" i="60"/>
  <c r="J408" i="60"/>
  <c r="J409" i="60"/>
  <c r="I410" i="60"/>
  <c r="I411" i="60"/>
  <c r="I412" i="60"/>
  <c r="I413" i="60"/>
  <c r="H414" i="60"/>
  <c r="H415" i="60"/>
  <c r="H416" i="60"/>
  <c r="H417" i="60"/>
  <c r="G418" i="60"/>
  <c r="G419" i="60"/>
  <c r="G420" i="60"/>
  <c r="G421" i="60"/>
  <c r="F422" i="60"/>
  <c r="F423" i="60"/>
  <c r="F424" i="60"/>
  <c r="F425" i="60"/>
  <c r="E426" i="60"/>
  <c r="E427" i="60"/>
  <c r="J427" i="60"/>
  <c r="G428" i="60"/>
  <c r="G429" i="60"/>
  <c r="F430" i="60"/>
  <c r="J430" i="60"/>
  <c r="F431" i="60"/>
  <c r="J431" i="60"/>
  <c r="F432" i="60"/>
  <c r="J432" i="60"/>
  <c r="F433" i="60"/>
  <c r="J433" i="60"/>
  <c r="E434" i="60"/>
  <c r="I434" i="60"/>
  <c r="E435" i="60"/>
  <c r="I435" i="60"/>
  <c r="E436" i="60"/>
  <c r="I436" i="60"/>
  <c r="E437" i="60"/>
  <c r="I437" i="60"/>
  <c r="D438" i="60"/>
  <c r="H438" i="60"/>
  <c r="D439" i="60"/>
  <c r="H439" i="60"/>
  <c r="D440" i="60"/>
  <c r="H440" i="60"/>
  <c r="D441" i="60"/>
  <c r="H441" i="60"/>
  <c r="G442" i="60"/>
  <c r="G443" i="60"/>
  <c r="G444" i="60"/>
  <c r="G445" i="60"/>
  <c r="F446" i="60"/>
  <c r="J446" i="60"/>
  <c r="F447" i="60"/>
  <c r="J447" i="60"/>
  <c r="F448" i="60"/>
  <c r="J448" i="60"/>
  <c r="F449" i="60"/>
  <c r="J449" i="60"/>
  <c r="E450" i="60"/>
  <c r="I450" i="60"/>
  <c r="E451" i="60"/>
  <c r="I451" i="60"/>
  <c r="E452" i="60"/>
  <c r="I452" i="60"/>
  <c r="E453" i="60"/>
  <c r="I453" i="60"/>
  <c r="D454" i="60"/>
  <c r="H454" i="60"/>
  <c r="D455" i="60"/>
  <c r="H455" i="60"/>
  <c r="D456" i="60"/>
  <c r="H456" i="60"/>
  <c r="D457" i="60"/>
  <c r="H457" i="60"/>
  <c r="G458" i="60"/>
  <c r="G459" i="60"/>
  <c r="H372" i="60"/>
  <c r="K372" i="60" s="1"/>
  <c r="G374" i="60"/>
  <c r="G376" i="60"/>
  <c r="F378" i="60"/>
  <c r="F380" i="60"/>
  <c r="J381" i="60"/>
  <c r="I382" i="60"/>
  <c r="I383" i="60"/>
  <c r="I384" i="60"/>
  <c r="I385" i="60"/>
  <c r="H386" i="60"/>
  <c r="H387" i="60"/>
  <c r="H388" i="60"/>
  <c r="H389" i="60"/>
  <c r="G390" i="60"/>
  <c r="G391" i="60"/>
  <c r="G392" i="60"/>
  <c r="G393" i="60"/>
  <c r="F394" i="60"/>
  <c r="F395" i="60"/>
  <c r="F396" i="60"/>
  <c r="F397" i="60"/>
  <c r="E398" i="60"/>
  <c r="E399" i="60"/>
  <c r="E400" i="60"/>
  <c r="E401" i="60"/>
  <c r="D402" i="60"/>
  <c r="D403" i="60"/>
  <c r="D404" i="60"/>
  <c r="D405" i="60"/>
  <c r="J410" i="60"/>
  <c r="J411" i="60"/>
  <c r="J412" i="60"/>
  <c r="J413" i="60"/>
  <c r="I414" i="60"/>
  <c r="I415" i="60"/>
  <c r="I416" i="60"/>
  <c r="I417" i="60"/>
  <c r="H418" i="60"/>
  <c r="H419" i="60"/>
  <c r="H420" i="60"/>
  <c r="H421" i="60"/>
  <c r="G422" i="60"/>
  <c r="G423" i="60"/>
  <c r="G424" i="60"/>
  <c r="G425" i="60"/>
  <c r="F426" i="60"/>
  <c r="F427" i="60"/>
  <c r="H428" i="60"/>
  <c r="D429" i="60"/>
  <c r="H429" i="60"/>
  <c r="G430" i="60"/>
  <c r="G431" i="60"/>
  <c r="G432" i="60"/>
  <c r="G433" i="60"/>
  <c r="F434" i="60"/>
  <c r="J434" i="60"/>
  <c r="F435" i="60"/>
  <c r="J435" i="60"/>
  <c r="F436" i="60"/>
  <c r="J436" i="60"/>
  <c r="F437" i="60"/>
  <c r="J437" i="60"/>
  <c r="E438" i="60"/>
  <c r="I438" i="60"/>
  <c r="E439" i="60"/>
  <c r="I439" i="60"/>
  <c r="E440" i="60"/>
  <c r="I440" i="60"/>
  <c r="E441" i="60"/>
  <c r="I441" i="60"/>
  <c r="D442" i="60"/>
  <c r="H442" i="60"/>
  <c r="D443" i="60"/>
  <c r="D373" i="60"/>
  <c r="K373" i="60" s="1"/>
  <c r="J378" i="60"/>
  <c r="J380" i="60"/>
  <c r="D382" i="60"/>
  <c r="K382" i="60" s="1"/>
  <c r="D383" i="60"/>
  <c r="K383" i="60" s="1"/>
  <c r="D384" i="60"/>
  <c r="K384" i="60" s="1"/>
  <c r="D385" i="60"/>
  <c r="K385" i="60" s="1"/>
  <c r="J390" i="60"/>
  <c r="J391" i="60"/>
  <c r="J392" i="60"/>
  <c r="J393" i="60"/>
  <c r="I394" i="60"/>
  <c r="I395" i="60"/>
  <c r="I396" i="60"/>
  <c r="I397" i="60"/>
  <c r="H398" i="60"/>
  <c r="H399" i="60"/>
  <c r="H400" i="60"/>
  <c r="H401" i="60"/>
  <c r="G402" i="60"/>
  <c r="G403" i="60"/>
  <c r="G404" i="60"/>
  <c r="G405" i="60"/>
  <c r="F406" i="60"/>
  <c r="F407" i="60"/>
  <c r="F408" i="60"/>
  <c r="F409" i="60"/>
  <c r="E410" i="60"/>
  <c r="E411" i="60"/>
  <c r="E412" i="60"/>
  <c r="E413" i="60"/>
  <c r="D414" i="60"/>
  <c r="K414" i="60" s="1"/>
  <c r="D415" i="60"/>
  <c r="K415" i="60" s="1"/>
  <c r="D416" i="60"/>
  <c r="K416" i="60" s="1"/>
  <c r="D417" i="60"/>
  <c r="K417" i="60" s="1"/>
  <c r="J422" i="60"/>
  <c r="J423" i="60"/>
  <c r="J424" i="60"/>
  <c r="J425" i="60"/>
  <c r="I426" i="60"/>
  <c r="G427" i="60"/>
  <c r="E428" i="60"/>
  <c r="I428" i="60"/>
  <c r="E429" i="60"/>
  <c r="I429" i="60"/>
  <c r="D430" i="60"/>
  <c r="H430" i="60"/>
  <c r="D431" i="60"/>
  <c r="K431" i="60" s="1"/>
  <c r="H431" i="60"/>
  <c r="D432" i="60"/>
  <c r="H432" i="60"/>
  <c r="D433" i="60"/>
  <c r="K433" i="60" s="1"/>
  <c r="H433" i="60"/>
  <c r="G434" i="60"/>
  <c r="G435" i="60"/>
  <c r="G436" i="60"/>
  <c r="G437" i="60"/>
  <c r="F438" i="60"/>
  <c r="J438" i="60"/>
  <c r="F439" i="60"/>
  <c r="J439" i="60"/>
  <c r="F440" i="60"/>
  <c r="J440" i="60"/>
  <c r="F441" i="60"/>
  <c r="J441" i="60"/>
  <c r="E442" i="60"/>
  <c r="K442" i="60" s="1"/>
  <c r="I442" i="60"/>
  <c r="E443" i="60"/>
  <c r="I443" i="60"/>
  <c r="E444" i="60"/>
  <c r="I444" i="60"/>
  <c r="E445" i="60"/>
  <c r="I445" i="60"/>
  <c r="D446" i="60"/>
  <c r="H446" i="60"/>
  <c r="D447" i="60"/>
  <c r="H447" i="60"/>
  <c r="D448" i="60"/>
  <c r="H448" i="60"/>
  <c r="D449" i="60"/>
  <c r="H449" i="60"/>
  <c r="G450" i="60"/>
  <c r="G451" i="60"/>
  <c r="G452" i="60"/>
  <c r="G453" i="60"/>
  <c r="F454" i="60"/>
  <c r="J454" i="60"/>
  <c r="F455" i="60"/>
  <c r="J455" i="60"/>
  <c r="F456" i="60"/>
  <c r="J456" i="60"/>
  <c r="F457" i="60"/>
  <c r="J457" i="60"/>
  <c r="E458" i="60"/>
  <c r="I458" i="60"/>
  <c r="E459" i="60"/>
  <c r="I459" i="60"/>
  <c r="E460" i="60"/>
  <c r="I460" i="60"/>
  <c r="E461" i="60"/>
  <c r="I461" i="60"/>
  <c r="D462" i="60"/>
  <c r="H462" i="60"/>
  <c r="D463" i="60"/>
  <c r="H463" i="60"/>
  <c r="D464" i="60"/>
  <c r="H464" i="60"/>
  <c r="D465" i="60"/>
  <c r="H465" i="60"/>
  <c r="G466" i="60"/>
  <c r="G467" i="60"/>
  <c r="G468" i="60"/>
  <c r="G469" i="60"/>
  <c r="F470" i="60"/>
  <c r="J470" i="60"/>
  <c r="F471" i="60"/>
  <c r="J471" i="60"/>
  <c r="F472" i="60"/>
  <c r="J472" i="60"/>
  <c r="F473" i="60"/>
  <c r="J473" i="60"/>
  <c r="E474" i="60"/>
  <c r="I474" i="60"/>
  <c r="E475" i="60"/>
  <c r="I475" i="60"/>
  <c r="E476" i="60"/>
  <c r="I476" i="60"/>
  <c r="E477" i="60"/>
  <c r="I477" i="60"/>
  <c r="D478" i="60"/>
  <c r="H478" i="60"/>
  <c r="D479" i="60"/>
  <c r="H479" i="60"/>
  <c r="D480" i="60"/>
  <c r="H480" i="60"/>
  <c r="D481" i="60"/>
  <c r="H481" i="60"/>
  <c r="G482" i="60"/>
  <c r="G483" i="60"/>
  <c r="G484" i="60"/>
  <c r="G485" i="60"/>
  <c r="F486" i="60"/>
  <c r="J486" i="60"/>
  <c r="F487" i="60"/>
  <c r="J487" i="60"/>
  <c r="F488" i="60"/>
  <c r="J488" i="60"/>
  <c r="F489" i="60"/>
  <c r="J489" i="60"/>
  <c r="E490" i="60"/>
  <c r="I490" i="60"/>
  <c r="E491" i="60"/>
  <c r="I491" i="60"/>
  <c r="E492" i="60"/>
  <c r="I492" i="60"/>
  <c r="E493" i="60"/>
  <c r="I493" i="60"/>
  <c r="D494" i="60"/>
  <c r="H494" i="60"/>
  <c r="D495" i="60"/>
  <c r="H495" i="60"/>
  <c r="D496" i="60"/>
  <c r="H496" i="60"/>
  <c r="D497" i="60"/>
  <c r="H497" i="60"/>
  <c r="G498" i="60"/>
  <c r="H443" i="60"/>
  <c r="H445" i="60"/>
  <c r="G447" i="60"/>
  <c r="G449" i="60"/>
  <c r="F451" i="60"/>
  <c r="F453" i="60"/>
  <c r="E455" i="60"/>
  <c r="E457" i="60"/>
  <c r="D459" i="60"/>
  <c r="G460" i="60"/>
  <c r="G461" i="60"/>
  <c r="F462" i="60"/>
  <c r="E463" i="60"/>
  <c r="J463" i="60"/>
  <c r="G464" i="60"/>
  <c r="E465" i="60"/>
  <c r="J465" i="60"/>
  <c r="F466" i="60"/>
  <c r="D467" i="60"/>
  <c r="I467" i="60"/>
  <c r="F468" i="60"/>
  <c r="D469" i="60"/>
  <c r="I469" i="60"/>
  <c r="E470" i="60"/>
  <c r="H471" i="60"/>
  <c r="E472" i="60"/>
  <c r="H473" i="60"/>
  <c r="D474" i="60"/>
  <c r="J474" i="60"/>
  <c r="G475" i="60"/>
  <c r="D476" i="60"/>
  <c r="J476" i="60"/>
  <c r="G477" i="60"/>
  <c r="I478" i="60"/>
  <c r="F479" i="60"/>
  <c r="I480" i="60"/>
  <c r="F481" i="60"/>
  <c r="H482" i="60"/>
  <c r="E483" i="60"/>
  <c r="J483" i="60"/>
  <c r="H484" i="60"/>
  <c r="E485" i="60"/>
  <c r="J485" i="60"/>
  <c r="G486" i="60"/>
  <c r="D487" i="60"/>
  <c r="I487" i="60"/>
  <c r="G488" i="60"/>
  <c r="D489" i="60"/>
  <c r="I489" i="60"/>
  <c r="F490" i="60"/>
  <c r="H491" i="60"/>
  <c r="F492" i="60"/>
  <c r="H493" i="60"/>
  <c r="E494" i="60"/>
  <c r="J494" i="60"/>
  <c r="G495" i="60"/>
  <c r="E496" i="60"/>
  <c r="J496" i="60"/>
  <c r="G497" i="60"/>
  <c r="D498" i="60"/>
  <c r="I498" i="60"/>
  <c r="E499" i="60"/>
  <c r="I499" i="60"/>
  <c r="E500" i="60"/>
  <c r="I500" i="60"/>
  <c r="E501" i="60"/>
  <c r="I501" i="60"/>
  <c r="D502" i="60"/>
  <c r="H502" i="60"/>
  <c r="D503" i="60"/>
  <c r="H503" i="60"/>
  <c r="D504" i="60"/>
  <c r="H504" i="60"/>
  <c r="D505" i="60"/>
  <c r="H505" i="60"/>
  <c r="G506" i="60"/>
  <c r="G507" i="60"/>
  <c r="G508" i="60"/>
  <c r="G509" i="60"/>
  <c r="F510" i="60"/>
  <c r="J510" i="60"/>
  <c r="F511" i="60"/>
  <c r="J511" i="60"/>
  <c r="F512" i="60"/>
  <c r="J512" i="60"/>
  <c r="F513" i="60"/>
  <c r="J513" i="60"/>
  <c r="E514" i="60"/>
  <c r="I514" i="60"/>
  <c r="E515" i="60"/>
  <c r="I515" i="60"/>
  <c r="E516" i="60"/>
  <c r="I516" i="60"/>
  <c r="E517" i="60"/>
  <c r="I517" i="60"/>
  <c r="D518" i="60"/>
  <c r="H518" i="60"/>
  <c r="D519" i="60"/>
  <c r="H519" i="60"/>
  <c r="D520" i="60"/>
  <c r="H520" i="60"/>
  <c r="D521" i="60"/>
  <c r="H521" i="60"/>
  <c r="G522" i="60"/>
  <c r="G523" i="60"/>
  <c r="G524" i="60"/>
  <c r="G525" i="60"/>
  <c r="F526" i="60"/>
  <c r="J526" i="60"/>
  <c r="F527" i="60"/>
  <c r="J527" i="60"/>
  <c r="F528" i="60"/>
  <c r="J528" i="60"/>
  <c r="F529" i="60"/>
  <c r="J529" i="60"/>
  <c r="E530" i="60"/>
  <c r="I530" i="60"/>
  <c r="E531" i="60"/>
  <c r="I531" i="60"/>
  <c r="E532" i="60"/>
  <c r="I532" i="60"/>
  <c r="E533" i="60"/>
  <c r="I533" i="60"/>
  <c r="D534" i="60"/>
  <c r="H534" i="60"/>
  <c r="D535" i="60"/>
  <c r="H535" i="60"/>
  <c r="D536" i="60"/>
  <c r="H536" i="60"/>
  <c r="D537" i="60"/>
  <c r="H537" i="60"/>
  <c r="G538" i="60"/>
  <c r="G539" i="60"/>
  <c r="G540" i="60"/>
  <c r="G541" i="60"/>
  <c r="F542" i="60"/>
  <c r="J542" i="60"/>
  <c r="F543" i="60"/>
  <c r="J543" i="60"/>
  <c r="F544" i="60"/>
  <c r="J544" i="60"/>
  <c r="F545" i="60"/>
  <c r="J545" i="60"/>
  <c r="E546" i="60"/>
  <c r="I546" i="60"/>
  <c r="E547" i="60"/>
  <c r="I547" i="60"/>
  <c r="E548" i="60"/>
  <c r="I548" i="60"/>
  <c r="E549" i="60"/>
  <c r="I549" i="60"/>
  <c r="D550" i="60"/>
  <c r="H550" i="60"/>
  <c r="D551" i="60"/>
  <c r="H551" i="60"/>
  <c r="D552" i="60"/>
  <c r="H552" i="60"/>
  <c r="D553" i="60"/>
  <c r="H553" i="60"/>
  <c r="G554" i="60"/>
  <c r="G555" i="60"/>
  <c r="G556" i="60"/>
  <c r="G557" i="60"/>
  <c r="F558" i="60"/>
  <c r="J558" i="60"/>
  <c r="F559" i="60"/>
  <c r="J559" i="60"/>
  <c r="F560" i="60"/>
  <c r="J560" i="60"/>
  <c r="F561" i="60"/>
  <c r="J561" i="60"/>
  <c r="E562" i="60"/>
  <c r="I562" i="60"/>
  <c r="E563" i="60"/>
  <c r="I563" i="60"/>
  <c r="E564" i="60"/>
  <c r="I564" i="60"/>
  <c r="E565" i="60"/>
  <c r="I565" i="60"/>
  <c r="D566" i="60"/>
  <c r="H566" i="60"/>
  <c r="D567" i="60"/>
  <c r="H567" i="60"/>
  <c r="D568" i="60"/>
  <c r="H568" i="60"/>
  <c r="D444" i="60"/>
  <c r="J451" i="60"/>
  <c r="J453" i="60"/>
  <c r="I455" i="60"/>
  <c r="I457" i="60"/>
  <c r="H459" i="60"/>
  <c r="H460" i="60"/>
  <c r="H461" i="60"/>
  <c r="G462" i="60"/>
  <c r="F463" i="60"/>
  <c r="I464" i="60"/>
  <c r="F465" i="60"/>
  <c r="H466" i="60"/>
  <c r="E467" i="60"/>
  <c r="J467" i="60"/>
  <c r="H468" i="60"/>
  <c r="E469" i="60"/>
  <c r="J469" i="60"/>
  <c r="G470" i="60"/>
  <c r="D471" i="60"/>
  <c r="I471" i="60"/>
  <c r="G472" i="60"/>
  <c r="D473" i="60"/>
  <c r="I473" i="60"/>
  <c r="F474" i="60"/>
  <c r="H475" i="60"/>
  <c r="F476" i="60"/>
  <c r="H477" i="60"/>
  <c r="E478" i="60"/>
  <c r="J478" i="60"/>
  <c r="G479" i="60"/>
  <c r="E480" i="60"/>
  <c r="J480" i="60"/>
  <c r="G481" i="60"/>
  <c r="D482" i="60"/>
  <c r="I482" i="60"/>
  <c r="F483" i="60"/>
  <c r="D484" i="60"/>
  <c r="I484" i="60"/>
  <c r="F485" i="60"/>
  <c r="H486" i="60"/>
  <c r="E487" i="60"/>
  <c r="H488" i="60"/>
  <c r="E489" i="60"/>
  <c r="G490" i="60"/>
  <c r="D491" i="60"/>
  <c r="J491" i="60"/>
  <c r="G492" i="60"/>
  <c r="D493" i="60"/>
  <c r="J493" i="60"/>
  <c r="F494" i="60"/>
  <c r="I495" i="60"/>
  <c r="F496" i="60"/>
  <c r="I497" i="60"/>
  <c r="E498" i="60"/>
  <c r="J498" i="60"/>
  <c r="F499" i="60"/>
  <c r="J499" i="60"/>
  <c r="F500" i="60"/>
  <c r="J500" i="60"/>
  <c r="F501" i="60"/>
  <c r="J501" i="60"/>
  <c r="E502" i="60"/>
  <c r="I502" i="60"/>
  <c r="E503" i="60"/>
  <c r="I503" i="60"/>
  <c r="E504" i="60"/>
  <c r="I504" i="60"/>
  <c r="E505" i="60"/>
  <c r="I505" i="60"/>
  <c r="D506" i="60"/>
  <c r="H506" i="60"/>
  <c r="D507" i="60"/>
  <c r="H507" i="60"/>
  <c r="D508" i="60"/>
  <c r="H508" i="60"/>
  <c r="D509" i="60"/>
  <c r="H509" i="60"/>
  <c r="G510" i="60"/>
  <c r="G511" i="60"/>
  <c r="G512" i="60"/>
  <c r="G513" i="60"/>
  <c r="F514" i="60"/>
  <c r="J514" i="60"/>
  <c r="F515" i="60"/>
  <c r="J515" i="60"/>
  <c r="F516" i="60"/>
  <c r="J516" i="60"/>
  <c r="F517" i="60"/>
  <c r="J517" i="60"/>
  <c r="E518" i="60"/>
  <c r="I518" i="60"/>
  <c r="E519" i="60"/>
  <c r="I519" i="60"/>
  <c r="E520" i="60"/>
  <c r="I520" i="60"/>
  <c r="E521" i="60"/>
  <c r="I521" i="60"/>
  <c r="D522" i="60"/>
  <c r="H522" i="60"/>
  <c r="D523" i="60"/>
  <c r="H523" i="60"/>
  <c r="D524" i="60"/>
  <c r="H524" i="60"/>
  <c r="D525" i="60"/>
  <c r="H525" i="60"/>
  <c r="G526" i="60"/>
  <c r="G527" i="60"/>
  <c r="G528" i="60"/>
  <c r="G529" i="60"/>
  <c r="F530" i="60"/>
  <c r="J530" i="60"/>
  <c r="F531" i="60"/>
  <c r="J531" i="60"/>
  <c r="F532" i="60"/>
  <c r="J532" i="60"/>
  <c r="F533" i="60"/>
  <c r="J533" i="60"/>
  <c r="E534" i="60"/>
  <c r="I534" i="60"/>
  <c r="E535" i="60"/>
  <c r="I535" i="60"/>
  <c r="E536" i="60"/>
  <c r="I536" i="60"/>
  <c r="E537" i="60"/>
  <c r="I537" i="60"/>
  <c r="D538" i="60"/>
  <c r="H538" i="60"/>
  <c r="D539" i="60"/>
  <c r="H539" i="60"/>
  <c r="D540" i="60"/>
  <c r="H540" i="60"/>
  <c r="D541" i="60"/>
  <c r="H541" i="60"/>
  <c r="G542" i="60"/>
  <c r="G543" i="60"/>
  <c r="G544" i="60"/>
  <c r="G545" i="60"/>
  <c r="F546" i="60"/>
  <c r="J546" i="60"/>
  <c r="F547" i="60"/>
  <c r="J547" i="60"/>
  <c r="F548" i="60"/>
  <c r="H444" i="60"/>
  <c r="G446" i="60"/>
  <c r="G448" i="60"/>
  <c r="F450" i="60"/>
  <c r="F452" i="60"/>
  <c r="E454" i="60"/>
  <c r="E456" i="60"/>
  <c r="D458" i="60"/>
  <c r="J462" i="60"/>
  <c r="G463" i="60"/>
  <c r="E464" i="60"/>
  <c r="J464" i="60"/>
  <c r="G465" i="60"/>
  <c r="D466" i="60"/>
  <c r="I466" i="60"/>
  <c r="F467" i="60"/>
  <c r="D468" i="60"/>
  <c r="I468" i="60"/>
  <c r="F469" i="60"/>
  <c r="H470" i="60"/>
  <c r="E471" i="60"/>
  <c r="H472" i="60"/>
  <c r="E473" i="60"/>
  <c r="G474" i="60"/>
  <c r="D475" i="60"/>
  <c r="J475" i="60"/>
  <c r="G476" i="60"/>
  <c r="D477" i="60"/>
  <c r="J477" i="60"/>
  <c r="F478" i="60"/>
  <c r="I479" i="60"/>
  <c r="F480" i="60"/>
  <c r="I481" i="60"/>
  <c r="E482" i="60"/>
  <c r="J482" i="60"/>
  <c r="H483" i="60"/>
  <c r="E484" i="60"/>
  <c r="J484" i="60"/>
  <c r="H485" i="60"/>
  <c r="D486" i="60"/>
  <c r="I486" i="60"/>
  <c r="G487" i="60"/>
  <c r="D488" i="60"/>
  <c r="I488" i="60"/>
  <c r="G489" i="60"/>
  <c r="H490" i="60"/>
  <c r="F491" i="60"/>
  <c r="H492" i="60"/>
  <c r="F493" i="60"/>
  <c r="G494" i="60"/>
  <c r="E495" i="60"/>
  <c r="J495" i="60"/>
  <c r="G496" i="60"/>
  <c r="E497" i="60"/>
  <c r="J497" i="60"/>
  <c r="F498" i="60"/>
  <c r="G499" i="60"/>
  <c r="G500" i="60"/>
  <c r="G501" i="60"/>
  <c r="F502" i="60"/>
  <c r="J502" i="60"/>
  <c r="F503" i="60"/>
  <c r="J503" i="60"/>
  <c r="F504" i="60"/>
  <c r="J504" i="60"/>
  <c r="F505" i="60"/>
  <c r="J505" i="60"/>
  <c r="E506" i="60"/>
  <c r="I506" i="60"/>
  <c r="E507" i="60"/>
  <c r="I507" i="60"/>
  <c r="E508" i="60"/>
  <c r="I508" i="60"/>
  <c r="E509" i="60"/>
  <c r="I509" i="60"/>
  <c r="D510" i="60"/>
  <c r="H510" i="60"/>
  <c r="D511" i="60"/>
  <c r="H511" i="60"/>
  <c r="D512" i="60"/>
  <c r="H512" i="60"/>
  <c r="D513" i="60"/>
  <c r="H513" i="60"/>
  <c r="G514" i="60"/>
  <c r="G515" i="60"/>
  <c r="G516" i="60"/>
  <c r="G517" i="60"/>
  <c r="F518" i="60"/>
  <c r="J518" i="60"/>
  <c r="F519" i="60"/>
  <c r="J519" i="60"/>
  <c r="F520" i="60"/>
  <c r="J520" i="60"/>
  <c r="F521" i="60"/>
  <c r="J521" i="60"/>
  <c r="E522" i="60"/>
  <c r="I522" i="60"/>
  <c r="E523" i="60"/>
  <c r="I523" i="60"/>
  <c r="E524" i="60"/>
  <c r="D445" i="60"/>
  <c r="K445" i="60" s="1"/>
  <c r="J450" i="60"/>
  <c r="J452" i="60"/>
  <c r="I454" i="60"/>
  <c r="I456" i="60"/>
  <c r="H458" i="60"/>
  <c r="D460" i="60"/>
  <c r="K460" i="60" s="1"/>
  <c r="D461" i="60"/>
  <c r="K461" i="60" s="1"/>
  <c r="I463" i="60"/>
  <c r="F464" i="60"/>
  <c r="I465" i="60"/>
  <c r="E466" i="60"/>
  <c r="K466" i="60" s="1"/>
  <c r="J466" i="60"/>
  <c r="H467" i="60"/>
  <c r="E468" i="60"/>
  <c r="J468" i="60"/>
  <c r="H469" i="60"/>
  <c r="D470" i="60"/>
  <c r="I470" i="60"/>
  <c r="G471" i="60"/>
  <c r="D472" i="60"/>
  <c r="I472" i="60"/>
  <c r="G473" i="60"/>
  <c r="H474" i="60"/>
  <c r="F475" i="60"/>
  <c r="H476" i="60"/>
  <c r="F477" i="60"/>
  <c r="G478" i="60"/>
  <c r="E479" i="60"/>
  <c r="J479" i="60"/>
  <c r="G480" i="60"/>
  <c r="E481" i="60"/>
  <c r="J481" i="60"/>
  <c r="F482" i="60"/>
  <c r="D483" i="60"/>
  <c r="I483" i="60"/>
  <c r="F484" i="60"/>
  <c r="D485" i="60"/>
  <c r="K485" i="60" s="1"/>
  <c r="I485" i="60"/>
  <c r="E486" i="60"/>
  <c r="K486" i="60" s="1"/>
  <c r="H487" i="60"/>
  <c r="E488" i="60"/>
  <c r="H489" i="60"/>
  <c r="D490" i="60"/>
  <c r="J490" i="60"/>
  <c r="G491" i="60"/>
  <c r="D492" i="60"/>
  <c r="J492" i="60"/>
  <c r="G493" i="60"/>
  <c r="I494" i="60"/>
  <c r="F495" i="60"/>
  <c r="I496" i="60"/>
  <c r="F497" i="60"/>
  <c r="H498" i="60"/>
  <c r="D499" i="60"/>
  <c r="H499" i="60"/>
  <c r="D500" i="60"/>
  <c r="H500" i="60"/>
  <c r="D501" i="60"/>
  <c r="H501" i="60"/>
  <c r="G502" i="60"/>
  <c r="G503" i="60"/>
  <c r="G504" i="60"/>
  <c r="G505" i="60"/>
  <c r="F506" i="60"/>
  <c r="J506" i="60"/>
  <c r="F507" i="60"/>
  <c r="J507" i="60"/>
  <c r="F508" i="60"/>
  <c r="J508" i="60"/>
  <c r="F509" i="60"/>
  <c r="J509" i="60"/>
  <c r="E510" i="60"/>
  <c r="I510" i="60"/>
  <c r="E511" i="60"/>
  <c r="I511" i="60"/>
  <c r="E512" i="60"/>
  <c r="I512" i="60"/>
  <c r="E513" i="60"/>
  <c r="I513" i="60"/>
  <c r="D514" i="60"/>
  <c r="H514" i="60"/>
  <c r="D515" i="60"/>
  <c r="H515" i="60"/>
  <c r="D516" i="60"/>
  <c r="H516" i="60"/>
  <c r="D517" i="60"/>
  <c r="H517" i="60"/>
  <c r="G518" i="60"/>
  <c r="G519" i="60"/>
  <c r="G520" i="60"/>
  <c r="G521" i="60"/>
  <c r="F522" i="60"/>
  <c r="J522" i="60"/>
  <c r="F523" i="60"/>
  <c r="J523" i="60"/>
  <c r="F524" i="60"/>
  <c r="J524" i="60"/>
  <c r="F525" i="60"/>
  <c r="J525" i="60"/>
  <c r="E526" i="60"/>
  <c r="I526" i="60"/>
  <c r="E527" i="60"/>
  <c r="I527" i="60"/>
  <c r="E528" i="60"/>
  <c r="I528" i="60"/>
  <c r="E529" i="60"/>
  <c r="I529" i="60"/>
  <c r="D530" i="60"/>
  <c r="H530" i="60"/>
  <c r="D531" i="60"/>
  <c r="H531" i="60"/>
  <c r="D532" i="60"/>
  <c r="H532" i="60"/>
  <c r="D533" i="60"/>
  <c r="H533" i="60"/>
  <c r="G534" i="60"/>
  <c r="G535" i="60"/>
  <c r="G536" i="60"/>
  <c r="G537" i="60"/>
  <c r="F538" i="60"/>
  <c r="J538" i="60"/>
  <c r="F539" i="60"/>
  <c r="J539" i="60"/>
  <c r="F540" i="60"/>
  <c r="J540" i="60"/>
  <c r="F541" i="60"/>
  <c r="J541" i="60"/>
  <c r="E542" i="60"/>
  <c r="I542" i="60"/>
  <c r="E543" i="60"/>
  <c r="I543" i="60"/>
  <c r="E544" i="60"/>
  <c r="I544" i="60"/>
  <c r="E545" i="60"/>
  <c r="I545" i="60"/>
  <c r="D546" i="60"/>
  <c r="H546" i="60"/>
  <c r="D547" i="60"/>
  <c r="H547" i="60"/>
  <c r="D548" i="60"/>
  <c r="H548" i="60"/>
  <c r="D549" i="60"/>
  <c r="H549" i="60"/>
  <c r="G550" i="60"/>
  <c r="G551" i="60"/>
  <c r="G552" i="60"/>
  <c r="G553" i="60"/>
  <c r="F554" i="60"/>
  <c r="J554" i="60"/>
  <c r="F555" i="60"/>
  <c r="J555" i="60"/>
  <c r="F556" i="60"/>
  <c r="J556" i="60"/>
  <c r="F557" i="60"/>
  <c r="J557" i="60"/>
  <c r="E558" i="60"/>
  <c r="I558" i="60"/>
  <c r="E559" i="60"/>
  <c r="I559" i="60"/>
  <c r="E560" i="60"/>
  <c r="I560" i="60"/>
  <c r="E561" i="60"/>
  <c r="I561" i="60"/>
  <c r="D562" i="60"/>
  <c r="H562" i="60"/>
  <c r="D563" i="60"/>
  <c r="H563" i="60"/>
  <c r="D564" i="60"/>
  <c r="H564" i="60"/>
  <c r="D565" i="60"/>
  <c r="H565" i="60"/>
  <c r="G566" i="60"/>
  <c r="G567" i="60"/>
  <c r="G568" i="60"/>
  <c r="G569" i="60"/>
  <c r="F570" i="60"/>
  <c r="J570" i="60"/>
  <c r="F571" i="60"/>
  <c r="J571" i="60"/>
  <c r="F572" i="60"/>
  <c r="J572" i="60"/>
  <c r="F573" i="60"/>
  <c r="J573" i="60"/>
  <c r="E574" i="60"/>
  <c r="I574" i="60"/>
  <c r="E575" i="60"/>
  <c r="I575" i="60"/>
  <c r="E576" i="60"/>
  <c r="I524" i="60"/>
  <c r="H526" i="60"/>
  <c r="H528" i="60"/>
  <c r="G530" i="60"/>
  <c r="G532" i="60"/>
  <c r="F534" i="60"/>
  <c r="F536" i="60"/>
  <c r="E538" i="60"/>
  <c r="E540" i="60"/>
  <c r="D542" i="60"/>
  <c r="D544" i="60"/>
  <c r="F549" i="60"/>
  <c r="E550" i="60"/>
  <c r="E551" i="60"/>
  <c r="E552" i="60"/>
  <c r="E553" i="60"/>
  <c r="D554" i="60"/>
  <c r="D555" i="60"/>
  <c r="D556" i="60"/>
  <c r="D557" i="60"/>
  <c r="J562" i="60"/>
  <c r="J563" i="60"/>
  <c r="J564" i="60"/>
  <c r="J565" i="60"/>
  <c r="I566" i="60"/>
  <c r="I567" i="60"/>
  <c r="I568" i="60"/>
  <c r="F569" i="60"/>
  <c r="H570" i="60"/>
  <c r="E571" i="60"/>
  <c r="H572" i="60"/>
  <c r="E573" i="60"/>
  <c r="G574" i="60"/>
  <c r="D575" i="60"/>
  <c r="J575" i="60"/>
  <c r="G576" i="60"/>
  <c r="G577" i="60"/>
  <c r="F578" i="60"/>
  <c r="J578" i="60"/>
  <c r="F579" i="60"/>
  <c r="J579" i="60"/>
  <c r="F580" i="60"/>
  <c r="J580" i="60"/>
  <c r="F581" i="60"/>
  <c r="J581" i="60"/>
  <c r="I582" i="60"/>
  <c r="E583" i="60"/>
  <c r="I584" i="60"/>
  <c r="I585" i="60"/>
  <c r="G546" i="60"/>
  <c r="G549" i="60"/>
  <c r="F552" i="60"/>
  <c r="F553" i="60"/>
  <c r="E556" i="60"/>
  <c r="D558" i="60"/>
  <c r="D560" i="60"/>
  <c r="J567" i="60"/>
  <c r="I570" i="60"/>
  <c r="G571" i="60"/>
  <c r="G573" i="60"/>
  <c r="H574" i="60"/>
  <c r="F575" i="60"/>
  <c r="D577" i="60"/>
  <c r="G579" i="60"/>
  <c r="G580" i="60"/>
  <c r="G581" i="60"/>
  <c r="F582" i="60"/>
  <c r="J583" i="60"/>
  <c r="J584" i="60"/>
  <c r="J585" i="60"/>
  <c r="H580" i="60"/>
  <c r="E525" i="60"/>
  <c r="D527" i="60"/>
  <c r="D529" i="60"/>
  <c r="J536" i="60"/>
  <c r="I538" i="60"/>
  <c r="I540" i="60"/>
  <c r="H542" i="60"/>
  <c r="H544" i="60"/>
  <c r="G548" i="60"/>
  <c r="F550" i="60"/>
  <c r="E555" i="60"/>
  <c r="D561" i="60"/>
  <c r="H569" i="60"/>
  <c r="I572" i="60"/>
  <c r="J582" i="60"/>
  <c r="F584" i="60"/>
  <c r="E586" i="60"/>
  <c r="G582" i="60"/>
  <c r="G584" i="60"/>
  <c r="F586" i="60"/>
  <c r="I525" i="60"/>
  <c r="H527" i="60"/>
  <c r="H529" i="60"/>
  <c r="G531" i="60"/>
  <c r="G533" i="60"/>
  <c r="F535" i="60"/>
  <c r="F537" i="60"/>
  <c r="E539" i="60"/>
  <c r="E541" i="60"/>
  <c r="D543" i="60"/>
  <c r="D545" i="60"/>
  <c r="J548" i="60"/>
  <c r="J549" i="60"/>
  <c r="I550" i="60"/>
  <c r="I551" i="60"/>
  <c r="I552" i="60"/>
  <c r="I553" i="60"/>
  <c r="H554" i="60"/>
  <c r="H555" i="60"/>
  <c r="H556" i="60"/>
  <c r="H557" i="60"/>
  <c r="G558" i="60"/>
  <c r="G559" i="60"/>
  <c r="G560" i="60"/>
  <c r="G561" i="60"/>
  <c r="F562" i="60"/>
  <c r="F563" i="60"/>
  <c r="F564" i="60"/>
  <c r="F565" i="60"/>
  <c r="E566" i="60"/>
  <c r="E567" i="60"/>
  <c r="E568" i="60"/>
  <c r="D569" i="60"/>
  <c r="I569" i="60"/>
  <c r="E570" i="60"/>
  <c r="H571" i="60"/>
  <c r="E572" i="60"/>
  <c r="H573" i="60"/>
  <c r="D574" i="60"/>
  <c r="J574" i="60"/>
  <c r="G575" i="60"/>
  <c r="D576" i="60"/>
  <c r="I576" i="60"/>
  <c r="E577" i="60"/>
  <c r="I577" i="60"/>
  <c r="D578" i="60"/>
  <c r="H578" i="60"/>
  <c r="D579" i="60"/>
  <c r="H579" i="60"/>
  <c r="D580" i="60"/>
  <c r="D581" i="60"/>
  <c r="G585" i="60"/>
  <c r="D526" i="60"/>
  <c r="D528" i="60"/>
  <c r="K528" i="60" s="1"/>
  <c r="J535" i="60"/>
  <c r="J537" i="60"/>
  <c r="I539" i="60"/>
  <c r="I541" i="60"/>
  <c r="H543" i="60"/>
  <c r="H545" i="60"/>
  <c r="G547" i="60"/>
  <c r="J550" i="60"/>
  <c r="J551" i="60"/>
  <c r="J552" i="60"/>
  <c r="J553" i="60"/>
  <c r="I554" i="60"/>
  <c r="I555" i="60"/>
  <c r="I556" i="60"/>
  <c r="I557" i="60"/>
  <c r="H558" i="60"/>
  <c r="H559" i="60"/>
  <c r="H560" i="60"/>
  <c r="H561" i="60"/>
  <c r="G562" i="60"/>
  <c r="G563" i="60"/>
  <c r="G564" i="60"/>
  <c r="G565" i="60"/>
  <c r="F566" i="60"/>
  <c r="F567" i="60"/>
  <c r="F568" i="60"/>
  <c r="E569" i="60"/>
  <c r="J569" i="60"/>
  <c r="G570" i="60"/>
  <c r="D571" i="60"/>
  <c r="K571" i="60" s="1"/>
  <c r="I571" i="60"/>
  <c r="G572" i="60"/>
  <c r="D573" i="60"/>
  <c r="I573" i="60"/>
  <c r="F574" i="60"/>
  <c r="H575" i="60"/>
  <c r="F576" i="60"/>
  <c r="J576" i="60"/>
  <c r="F577" i="60"/>
  <c r="J577" i="60"/>
  <c r="E578" i="60"/>
  <c r="I578" i="60"/>
  <c r="E579" i="60"/>
  <c r="I579" i="60"/>
  <c r="E580" i="60"/>
  <c r="I580" i="60"/>
  <c r="E581" i="60"/>
  <c r="I581" i="60"/>
  <c r="D582" i="60"/>
  <c r="H582" i="60"/>
  <c r="D583" i="60"/>
  <c r="H583" i="60"/>
  <c r="D584" i="60"/>
  <c r="H584" i="60"/>
  <c r="D585" i="60"/>
  <c r="H585" i="60"/>
  <c r="G586" i="60"/>
  <c r="E582" i="60"/>
  <c r="K582" i="60" s="1"/>
  <c r="I583" i="60"/>
  <c r="E584" i="60"/>
  <c r="E585" i="60"/>
  <c r="D586" i="60"/>
  <c r="H586" i="60"/>
  <c r="J534" i="60"/>
  <c r="F551" i="60"/>
  <c r="E554" i="60"/>
  <c r="K554" i="60" s="1"/>
  <c r="E557" i="60"/>
  <c r="D559" i="60"/>
  <c r="K559" i="60" s="1"/>
  <c r="J566" i="60"/>
  <c r="J568" i="60"/>
  <c r="D570" i="60"/>
  <c r="D572" i="60"/>
  <c r="K572" i="60" s="1"/>
  <c r="H576" i="60"/>
  <c r="H577" i="60"/>
  <c r="G578" i="60"/>
  <c r="F583" i="60"/>
  <c r="F585" i="60"/>
  <c r="I586" i="60"/>
  <c r="H581" i="60"/>
  <c r="G583" i="60"/>
  <c r="J586" i="60"/>
  <c r="V2837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7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17" i="60"/>
  <c r="E333" i="60"/>
  <c r="E310" i="60"/>
  <c r="E322" i="60"/>
  <c r="E330" i="60"/>
  <c r="E307" i="60"/>
  <c r="E315" i="60"/>
  <c r="E323" i="60"/>
  <c r="E318" i="60"/>
  <c r="E311" i="60"/>
  <c r="E331" i="60"/>
  <c r="E327" i="60"/>
  <c r="E308" i="60"/>
  <c r="E312" i="60"/>
  <c r="E316" i="60"/>
  <c r="E320" i="60"/>
  <c r="E324" i="60"/>
  <c r="E328" i="60"/>
  <c r="E332" i="60"/>
  <c r="E336" i="60"/>
  <c r="E309" i="60"/>
  <c r="E313" i="60"/>
  <c r="E321" i="60"/>
  <c r="E325" i="60"/>
  <c r="E329" i="60"/>
  <c r="E337" i="60"/>
  <c r="E306" i="60"/>
  <c r="K306" i="60" s="1"/>
  <c r="E314" i="60"/>
  <c r="E326" i="60"/>
  <c r="E334" i="60"/>
  <c r="E319" i="60"/>
  <c r="E335" i="60"/>
  <c r="I150" i="55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7" i="60"/>
  <c r="F317" i="60"/>
  <c r="D317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H284" i="60"/>
  <c r="F284" i="60"/>
  <c r="D284" i="60"/>
  <c r="H283" i="60"/>
  <c r="F283" i="60"/>
  <c r="D283" i="60"/>
  <c r="H282" i="60"/>
  <c r="F282" i="60"/>
  <c r="D282" i="60"/>
  <c r="H281" i="60"/>
  <c r="F281" i="60"/>
  <c r="D281" i="60"/>
  <c r="H280" i="60"/>
  <c r="F280" i="60"/>
  <c r="D280" i="60"/>
  <c r="H279" i="60"/>
  <c r="F279" i="60"/>
  <c r="D279" i="60"/>
  <c r="H278" i="60"/>
  <c r="F278" i="60"/>
  <c r="D278" i="60"/>
  <c r="H277" i="60"/>
  <c r="F277" i="60"/>
  <c r="D277" i="60"/>
  <c r="H276" i="60"/>
  <c r="F276" i="60"/>
  <c r="D276" i="60"/>
  <c r="H275" i="60"/>
  <c r="F275" i="60"/>
  <c r="D275" i="60"/>
  <c r="H274" i="60"/>
  <c r="F274" i="60"/>
  <c r="D274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7" i="60"/>
  <c r="G317" i="60"/>
  <c r="I316" i="60"/>
  <c r="G316" i="60"/>
  <c r="I315" i="60"/>
  <c r="G315" i="60"/>
  <c r="I314" i="60"/>
  <c r="G314" i="60"/>
  <c r="I313" i="60"/>
  <c r="G313" i="60"/>
  <c r="I312" i="60"/>
  <c r="G312" i="60"/>
  <c r="I311" i="60"/>
  <c r="G311" i="60"/>
  <c r="I310" i="60"/>
  <c r="G310" i="60"/>
  <c r="I309" i="60"/>
  <c r="G309" i="60"/>
  <c r="I308" i="60"/>
  <c r="G308" i="60"/>
  <c r="I307" i="60"/>
  <c r="G307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F273" i="60"/>
  <c r="H272" i="60"/>
  <c r="D272" i="60"/>
  <c r="F271" i="60"/>
  <c r="H270" i="60"/>
  <c r="D270" i="60"/>
  <c r="F269" i="60"/>
  <c r="H268" i="60"/>
  <c r="D268" i="60"/>
  <c r="F267" i="60"/>
  <c r="H266" i="60"/>
  <c r="D266" i="60"/>
  <c r="F265" i="60"/>
  <c r="H264" i="60"/>
  <c r="D264" i="60"/>
  <c r="F263" i="60"/>
  <c r="H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H273" i="60"/>
  <c r="D273" i="60"/>
  <c r="F272" i="60"/>
  <c r="H271" i="60"/>
  <c r="D271" i="60"/>
  <c r="F270" i="60"/>
  <c r="H269" i="60"/>
  <c r="D269" i="60"/>
  <c r="F268" i="60"/>
  <c r="H267" i="60"/>
  <c r="D267" i="60"/>
  <c r="F266" i="60"/>
  <c r="H265" i="60"/>
  <c r="D265" i="60"/>
  <c r="F264" i="60"/>
  <c r="H263" i="60"/>
  <c r="D263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F216" i="60"/>
  <c r="D216" i="60"/>
  <c r="H215" i="60"/>
  <c r="F215" i="60"/>
  <c r="D215" i="60"/>
  <c r="H214" i="60"/>
  <c r="F214" i="60"/>
  <c r="D214" i="60"/>
  <c r="H213" i="60"/>
  <c r="F213" i="60"/>
  <c r="D213" i="60"/>
  <c r="H212" i="60"/>
  <c r="F212" i="60"/>
  <c r="D212" i="60"/>
  <c r="H211" i="60"/>
  <c r="F211" i="60"/>
  <c r="D211" i="60"/>
  <c r="H210" i="60"/>
  <c r="F210" i="60"/>
  <c r="D210" i="60"/>
  <c r="H209" i="60"/>
  <c r="F209" i="60"/>
  <c r="D209" i="60"/>
  <c r="H208" i="60"/>
  <c r="F208" i="60"/>
  <c r="D208" i="60"/>
  <c r="H207" i="60"/>
  <c r="F207" i="60"/>
  <c r="D207" i="60"/>
  <c r="H206" i="60"/>
  <c r="F206" i="60"/>
  <c r="D206" i="60"/>
  <c r="H205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I200" i="60"/>
  <c r="G200" i="60"/>
  <c r="E200" i="60"/>
  <c r="F205" i="60"/>
  <c r="H204" i="60"/>
  <c r="D204" i="60"/>
  <c r="F203" i="60"/>
  <c r="H202" i="60"/>
  <c r="D202" i="60"/>
  <c r="F201" i="60"/>
  <c r="H200" i="60"/>
  <c r="D200" i="60"/>
  <c r="H199" i="60"/>
  <c r="F199" i="60"/>
  <c r="D199" i="60"/>
  <c r="F198" i="60"/>
  <c r="H196" i="60"/>
  <c r="F196" i="60"/>
  <c r="D196" i="60"/>
  <c r="D195" i="60"/>
  <c r="H194" i="60"/>
  <c r="F194" i="60"/>
  <c r="D193" i="60"/>
  <c r="H192" i="60"/>
  <c r="F192" i="60"/>
  <c r="D191" i="60"/>
  <c r="H190" i="60"/>
  <c r="F190" i="60"/>
  <c r="D190" i="60"/>
  <c r="D205" i="60"/>
  <c r="F204" i="60"/>
  <c r="H203" i="60"/>
  <c r="D203" i="60"/>
  <c r="F202" i="60"/>
  <c r="H201" i="60"/>
  <c r="D201" i="60"/>
  <c r="F200" i="60"/>
  <c r="I199" i="60"/>
  <c r="G199" i="60"/>
  <c r="E199" i="60"/>
  <c r="I198" i="60"/>
  <c r="G198" i="60"/>
  <c r="E198" i="60"/>
  <c r="I197" i="60"/>
  <c r="G197" i="60"/>
  <c r="E197" i="60"/>
  <c r="I196" i="60"/>
  <c r="G196" i="60"/>
  <c r="E196" i="60"/>
  <c r="I195" i="60"/>
  <c r="G195" i="60"/>
  <c r="E195" i="60"/>
  <c r="I194" i="60"/>
  <c r="G194" i="60"/>
  <c r="E194" i="60"/>
  <c r="I193" i="60"/>
  <c r="G193" i="60"/>
  <c r="E193" i="60"/>
  <c r="I192" i="60"/>
  <c r="G192" i="60"/>
  <c r="E192" i="60"/>
  <c r="I191" i="60"/>
  <c r="G191" i="60"/>
  <c r="E191" i="60"/>
  <c r="I190" i="60"/>
  <c r="G190" i="60"/>
  <c r="E190" i="60"/>
  <c r="H198" i="60"/>
  <c r="D198" i="60"/>
  <c r="H197" i="60"/>
  <c r="F197" i="60"/>
  <c r="D197" i="60"/>
  <c r="H195" i="60"/>
  <c r="F195" i="60"/>
  <c r="D194" i="60"/>
  <c r="H193" i="60"/>
  <c r="F193" i="60"/>
  <c r="D192" i="60"/>
  <c r="H191" i="60"/>
  <c r="F191" i="60"/>
  <c r="D163" i="60"/>
  <c r="H163" i="60"/>
  <c r="F164" i="60"/>
  <c r="D165" i="60"/>
  <c r="H165" i="60"/>
  <c r="F166" i="60"/>
  <c r="D167" i="60"/>
  <c r="H167" i="60"/>
  <c r="F168" i="60"/>
  <c r="D161" i="60"/>
  <c r="H161" i="60"/>
  <c r="F162" i="60"/>
  <c r="D143" i="60"/>
  <c r="H143" i="60"/>
  <c r="F144" i="60"/>
  <c r="D145" i="60"/>
  <c r="H145" i="60"/>
  <c r="F146" i="60"/>
  <c r="D147" i="60"/>
  <c r="H147" i="60"/>
  <c r="F148" i="60"/>
  <c r="D149" i="60"/>
  <c r="H149" i="60"/>
  <c r="F150" i="60"/>
  <c r="D151" i="60"/>
  <c r="H151" i="60"/>
  <c r="F152" i="60"/>
  <c r="D153" i="60"/>
  <c r="H153" i="60"/>
  <c r="F154" i="60"/>
  <c r="D155" i="60"/>
  <c r="H155" i="60"/>
  <c r="F156" i="60"/>
  <c r="D157" i="60"/>
  <c r="H157" i="60"/>
  <c r="F158" i="60"/>
  <c r="D159" i="60"/>
  <c r="H159" i="60"/>
  <c r="F160" i="60"/>
  <c r="D139" i="60"/>
  <c r="H139" i="60"/>
  <c r="F140" i="60"/>
  <c r="D141" i="60"/>
  <c r="H141" i="60"/>
  <c r="F142" i="60"/>
  <c r="D135" i="60"/>
  <c r="H135" i="60"/>
  <c r="F136" i="60"/>
  <c r="D137" i="60"/>
  <c r="H137" i="60"/>
  <c r="F138" i="60"/>
  <c r="D104" i="60"/>
  <c r="H104" i="60"/>
  <c r="F105" i="60"/>
  <c r="D106" i="60"/>
  <c r="H106" i="60"/>
  <c r="F107" i="60"/>
  <c r="D108" i="60"/>
  <c r="H108" i="60"/>
  <c r="F109" i="60"/>
  <c r="D110" i="60"/>
  <c r="H110" i="60"/>
  <c r="F111" i="60"/>
  <c r="D112" i="60"/>
  <c r="H112" i="60"/>
  <c r="F113" i="60"/>
  <c r="D114" i="60"/>
  <c r="H114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E163" i="60"/>
  <c r="I163" i="60"/>
  <c r="G164" i="60"/>
  <c r="E165" i="60"/>
  <c r="I165" i="60"/>
  <c r="G166" i="60"/>
  <c r="E167" i="60"/>
  <c r="I167" i="60"/>
  <c r="G168" i="60"/>
  <c r="E161" i="60"/>
  <c r="I161" i="60"/>
  <c r="G162" i="60"/>
  <c r="E143" i="60"/>
  <c r="I143" i="60"/>
  <c r="G144" i="60"/>
  <c r="E145" i="60"/>
  <c r="I145" i="60"/>
  <c r="G146" i="60"/>
  <c r="E147" i="60"/>
  <c r="I147" i="60"/>
  <c r="G148" i="60"/>
  <c r="E149" i="60"/>
  <c r="I149" i="60"/>
  <c r="G150" i="60"/>
  <c r="E151" i="60"/>
  <c r="I151" i="60"/>
  <c r="G152" i="60"/>
  <c r="E153" i="60"/>
  <c r="I153" i="60"/>
  <c r="G154" i="60"/>
  <c r="E155" i="60"/>
  <c r="I155" i="60"/>
  <c r="G156" i="60"/>
  <c r="E157" i="60"/>
  <c r="I157" i="60"/>
  <c r="G158" i="60"/>
  <c r="E159" i="60"/>
  <c r="I159" i="60"/>
  <c r="G160" i="60"/>
  <c r="E139" i="60"/>
  <c r="I139" i="60"/>
  <c r="G140" i="60"/>
  <c r="E141" i="60"/>
  <c r="I141" i="60"/>
  <c r="G142" i="60"/>
  <c r="E135" i="60"/>
  <c r="I135" i="60"/>
  <c r="G136" i="60"/>
  <c r="E137" i="60"/>
  <c r="I137" i="60"/>
  <c r="G138" i="60"/>
  <c r="E104" i="60"/>
  <c r="I104" i="60"/>
  <c r="G105" i="60"/>
  <c r="E106" i="60"/>
  <c r="I106" i="60"/>
  <c r="G107" i="60"/>
  <c r="E108" i="60"/>
  <c r="I108" i="60"/>
  <c r="G109" i="60"/>
  <c r="E110" i="60"/>
  <c r="I110" i="60"/>
  <c r="G111" i="60"/>
  <c r="E112" i="60"/>
  <c r="I112" i="60"/>
  <c r="G113" i="60"/>
  <c r="E114" i="60"/>
  <c r="I114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F163" i="60"/>
  <c r="D164" i="60"/>
  <c r="H164" i="60"/>
  <c r="F165" i="60"/>
  <c r="D166" i="60"/>
  <c r="H166" i="60"/>
  <c r="F167" i="60"/>
  <c r="D168" i="60"/>
  <c r="H168" i="60"/>
  <c r="F161" i="60"/>
  <c r="D162" i="60"/>
  <c r="H162" i="60"/>
  <c r="F143" i="60"/>
  <c r="D144" i="60"/>
  <c r="H144" i="60"/>
  <c r="F145" i="60"/>
  <c r="D146" i="60"/>
  <c r="H146" i="60"/>
  <c r="F147" i="60"/>
  <c r="D148" i="60"/>
  <c r="H148" i="60"/>
  <c r="F149" i="60"/>
  <c r="D150" i="60"/>
  <c r="H150" i="60"/>
  <c r="F151" i="60"/>
  <c r="D152" i="60"/>
  <c r="H152" i="60"/>
  <c r="F153" i="60"/>
  <c r="D154" i="60"/>
  <c r="H154" i="60"/>
  <c r="F155" i="60"/>
  <c r="D156" i="60"/>
  <c r="H156" i="60"/>
  <c r="F157" i="60"/>
  <c r="D158" i="60"/>
  <c r="H158" i="60"/>
  <c r="F159" i="60"/>
  <c r="D160" i="60"/>
  <c r="H160" i="60"/>
  <c r="F139" i="60"/>
  <c r="D140" i="60"/>
  <c r="H140" i="60"/>
  <c r="F141" i="60"/>
  <c r="D142" i="60"/>
  <c r="H142" i="60"/>
  <c r="F135" i="60"/>
  <c r="D136" i="60"/>
  <c r="H136" i="60"/>
  <c r="F137" i="60"/>
  <c r="D138" i="60"/>
  <c r="H138" i="60"/>
  <c r="F104" i="60"/>
  <c r="D105" i="60"/>
  <c r="H105" i="60"/>
  <c r="F106" i="60"/>
  <c r="D107" i="60"/>
  <c r="H107" i="60"/>
  <c r="F108" i="60"/>
  <c r="D109" i="60"/>
  <c r="H109" i="60"/>
  <c r="F110" i="60"/>
  <c r="D111" i="60"/>
  <c r="H111" i="60"/>
  <c r="F112" i="60"/>
  <c r="D113" i="60"/>
  <c r="H113" i="60"/>
  <c r="F114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G163" i="60"/>
  <c r="E164" i="60"/>
  <c r="I164" i="60"/>
  <c r="G165" i="60"/>
  <c r="E166" i="60"/>
  <c r="I166" i="60"/>
  <c r="G167" i="60"/>
  <c r="E168" i="60"/>
  <c r="I168" i="60"/>
  <c r="G161" i="60"/>
  <c r="E162" i="60"/>
  <c r="I162" i="60"/>
  <c r="G143" i="60"/>
  <c r="E144" i="60"/>
  <c r="I144" i="60"/>
  <c r="G145" i="60"/>
  <c r="E146" i="60"/>
  <c r="I146" i="60"/>
  <c r="G147" i="60"/>
  <c r="E148" i="60"/>
  <c r="I148" i="60"/>
  <c r="G149" i="60"/>
  <c r="E150" i="60"/>
  <c r="I150" i="60"/>
  <c r="G151" i="60"/>
  <c r="E152" i="60"/>
  <c r="I152" i="60"/>
  <c r="G153" i="60"/>
  <c r="E154" i="60"/>
  <c r="I154" i="60"/>
  <c r="G155" i="60"/>
  <c r="E156" i="60"/>
  <c r="I156" i="60"/>
  <c r="G157" i="60"/>
  <c r="E158" i="60"/>
  <c r="I158" i="60"/>
  <c r="G159" i="60"/>
  <c r="E160" i="60"/>
  <c r="I160" i="60"/>
  <c r="G139" i="60"/>
  <c r="E140" i="60"/>
  <c r="I140" i="60"/>
  <c r="G141" i="60"/>
  <c r="E142" i="60"/>
  <c r="I142" i="60"/>
  <c r="G135" i="60"/>
  <c r="E136" i="60"/>
  <c r="I136" i="60"/>
  <c r="G137" i="60"/>
  <c r="E138" i="60"/>
  <c r="I138" i="60"/>
  <c r="G104" i="60"/>
  <c r="E105" i="60"/>
  <c r="I105" i="60"/>
  <c r="G106" i="60"/>
  <c r="E107" i="60"/>
  <c r="I107" i="60"/>
  <c r="G108" i="60"/>
  <c r="E109" i="60"/>
  <c r="I109" i="60"/>
  <c r="G110" i="60"/>
  <c r="E111" i="60"/>
  <c r="I111" i="60"/>
  <c r="G112" i="60"/>
  <c r="E113" i="60"/>
  <c r="I113" i="60"/>
  <c r="G114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F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97" i="60"/>
  <c r="I97" i="60"/>
  <c r="G98" i="60"/>
  <c r="E99" i="60"/>
  <c r="I99" i="60"/>
  <c r="G100" i="60"/>
  <c r="E101" i="60"/>
  <c r="I101" i="60"/>
  <c r="G102" i="60"/>
  <c r="E103" i="60"/>
  <c r="I103" i="60"/>
  <c r="G44" i="60"/>
  <c r="E45" i="60"/>
  <c r="I45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97" i="60"/>
  <c r="D98" i="60"/>
  <c r="H98" i="60"/>
  <c r="F99" i="60"/>
  <c r="D100" i="60"/>
  <c r="H100" i="60"/>
  <c r="F101" i="60"/>
  <c r="D102" i="60"/>
  <c r="H102" i="60"/>
  <c r="F103" i="60"/>
  <c r="D44" i="60"/>
  <c r="H44" i="60"/>
  <c r="F45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97" i="60"/>
  <c r="E98" i="60"/>
  <c r="I98" i="60"/>
  <c r="G99" i="60"/>
  <c r="E100" i="60"/>
  <c r="I100" i="60"/>
  <c r="G101" i="60"/>
  <c r="E102" i="60"/>
  <c r="I102" i="60"/>
  <c r="G103" i="60"/>
  <c r="E44" i="60"/>
  <c r="I44" i="60"/>
  <c r="G45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97" i="60"/>
  <c r="H97" i="60"/>
  <c r="F98" i="60"/>
  <c r="D99" i="60"/>
  <c r="H99" i="60"/>
  <c r="F100" i="60"/>
  <c r="D101" i="60"/>
  <c r="H101" i="60"/>
  <c r="F102" i="60"/>
  <c r="D103" i="60"/>
  <c r="H103" i="60"/>
  <c r="F44" i="60"/>
  <c r="D45" i="60"/>
  <c r="H45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F96" i="60"/>
  <c r="D43" i="60"/>
  <c r="H43" i="60"/>
  <c r="F42" i="60"/>
  <c r="D39" i="60"/>
  <c r="H39" i="60"/>
  <c r="F40" i="60"/>
  <c r="D41" i="60"/>
  <c r="H41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34" i="60"/>
  <c r="H34" i="60"/>
  <c r="F35" i="60"/>
  <c r="D36" i="60"/>
  <c r="H36" i="60"/>
  <c r="F37" i="60"/>
  <c r="D38" i="60"/>
  <c r="H38" i="60"/>
  <c r="F9" i="60"/>
  <c r="D10" i="60"/>
  <c r="H10" i="60"/>
  <c r="F11" i="60"/>
  <c r="D12" i="60"/>
  <c r="H12" i="60"/>
  <c r="F13" i="60"/>
  <c r="D14" i="60"/>
  <c r="H14" i="60"/>
  <c r="F15" i="60"/>
  <c r="D16" i="60"/>
  <c r="H16" i="60"/>
  <c r="F17" i="60"/>
  <c r="D18" i="60"/>
  <c r="H18" i="60"/>
  <c r="F19" i="60"/>
  <c r="D20" i="60"/>
  <c r="H20" i="60"/>
  <c r="F21" i="60"/>
  <c r="D22" i="60"/>
  <c r="H22" i="60"/>
  <c r="F7" i="60"/>
  <c r="D8" i="60"/>
  <c r="H8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G96" i="60"/>
  <c r="E43" i="60"/>
  <c r="I43" i="60"/>
  <c r="G42" i="60"/>
  <c r="E39" i="60"/>
  <c r="I39" i="60"/>
  <c r="G40" i="60"/>
  <c r="E41" i="60"/>
  <c r="I41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34" i="60"/>
  <c r="I34" i="60"/>
  <c r="G35" i="60"/>
  <c r="E36" i="60"/>
  <c r="I36" i="60"/>
  <c r="G37" i="60"/>
  <c r="E38" i="60"/>
  <c r="I38" i="60"/>
  <c r="G9" i="60"/>
  <c r="E10" i="60"/>
  <c r="I10" i="60"/>
  <c r="G11" i="60"/>
  <c r="E12" i="60"/>
  <c r="I12" i="60"/>
  <c r="G13" i="60"/>
  <c r="E14" i="60"/>
  <c r="I14" i="60"/>
  <c r="G15" i="60"/>
  <c r="E16" i="60"/>
  <c r="I16" i="60"/>
  <c r="G17" i="60"/>
  <c r="E18" i="60"/>
  <c r="I18" i="60"/>
  <c r="G19" i="60"/>
  <c r="E20" i="60"/>
  <c r="I20" i="60"/>
  <c r="G21" i="60"/>
  <c r="E22" i="60"/>
  <c r="I22" i="60"/>
  <c r="G7" i="60"/>
  <c r="E8" i="60"/>
  <c r="I8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43" i="60"/>
  <c r="D42" i="60"/>
  <c r="H42" i="60"/>
  <c r="F39" i="60"/>
  <c r="D40" i="60"/>
  <c r="H40" i="60"/>
  <c r="F41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34" i="60"/>
  <c r="D35" i="60"/>
  <c r="H35" i="60"/>
  <c r="F36" i="60"/>
  <c r="D37" i="60"/>
  <c r="H37" i="60"/>
  <c r="F38" i="60"/>
  <c r="D9" i="60"/>
  <c r="H9" i="60"/>
  <c r="F10" i="60"/>
  <c r="D11" i="60"/>
  <c r="H11" i="60"/>
  <c r="F12" i="60"/>
  <c r="D13" i="60"/>
  <c r="H13" i="60"/>
  <c r="F14" i="60"/>
  <c r="D15" i="60"/>
  <c r="H15" i="60"/>
  <c r="F16" i="60"/>
  <c r="D17" i="60"/>
  <c r="H17" i="60"/>
  <c r="F18" i="60"/>
  <c r="D19" i="60"/>
  <c r="H19" i="60"/>
  <c r="F20" i="60"/>
  <c r="D21" i="60"/>
  <c r="H21" i="60"/>
  <c r="F22" i="60"/>
  <c r="D7" i="60"/>
  <c r="H7" i="60"/>
  <c r="F8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E96" i="60"/>
  <c r="I96" i="60"/>
  <c r="G43" i="60"/>
  <c r="E42" i="60"/>
  <c r="I42" i="60"/>
  <c r="G39" i="60"/>
  <c r="E40" i="60"/>
  <c r="I40" i="60"/>
  <c r="G41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34" i="60"/>
  <c r="E35" i="60"/>
  <c r="I35" i="60"/>
  <c r="G36" i="60"/>
  <c r="E37" i="60"/>
  <c r="I37" i="60"/>
  <c r="G38" i="60"/>
  <c r="E9" i="60"/>
  <c r="I9" i="60"/>
  <c r="G10" i="60"/>
  <c r="E11" i="60"/>
  <c r="I11" i="60"/>
  <c r="G12" i="60"/>
  <c r="E13" i="60"/>
  <c r="I13" i="60"/>
  <c r="G14" i="60"/>
  <c r="E15" i="60"/>
  <c r="I15" i="60"/>
  <c r="G16" i="60"/>
  <c r="E17" i="60"/>
  <c r="I17" i="60"/>
  <c r="G18" i="60"/>
  <c r="E19" i="60"/>
  <c r="I19" i="60"/>
  <c r="G20" i="60"/>
  <c r="E21" i="60"/>
  <c r="I21" i="60"/>
  <c r="G22" i="60"/>
  <c r="E7" i="60"/>
  <c r="G8" i="60"/>
  <c r="L14" i="54"/>
  <c r="L15" i="54" s="1"/>
  <c r="L16" i="54" s="1"/>
  <c r="L18" i="54"/>
  <c r="L19" i="54" s="1"/>
  <c r="I169" i="60"/>
  <c r="G169" i="60"/>
  <c r="E169" i="60"/>
  <c r="H169" i="60"/>
  <c r="F169" i="60"/>
  <c r="D169" i="60"/>
  <c r="F186" i="60"/>
  <c r="D187" i="60"/>
  <c r="H187" i="60"/>
  <c r="F188" i="60"/>
  <c r="D189" i="60"/>
  <c r="H189" i="60"/>
  <c r="G185" i="60"/>
  <c r="E186" i="60"/>
  <c r="I186" i="60"/>
  <c r="G187" i="60"/>
  <c r="E188" i="60"/>
  <c r="I188" i="60"/>
  <c r="G189" i="60"/>
  <c r="F185" i="60"/>
  <c r="D185" i="60"/>
  <c r="E187" i="60"/>
  <c r="G188" i="60"/>
  <c r="I189" i="60"/>
  <c r="D186" i="60"/>
  <c r="F187" i="60"/>
  <c r="H188" i="60"/>
  <c r="E185" i="60"/>
  <c r="G186" i="60"/>
  <c r="I187" i="60"/>
  <c r="E189" i="60"/>
  <c r="H185" i="60"/>
  <c r="H186" i="60"/>
  <c r="D188" i="60"/>
  <c r="F189" i="60"/>
  <c r="I185" i="60"/>
  <c r="G346" i="60"/>
  <c r="D346" i="60"/>
  <c r="F346" i="60"/>
  <c r="J346" i="60"/>
  <c r="E346" i="60"/>
  <c r="H346" i="60"/>
  <c r="I346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85" i="55"/>
  <c r="V10" i="34"/>
  <c r="A30" i="47" s="1"/>
  <c r="K424" i="55"/>
  <c r="K19" i="55"/>
  <c r="K20" i="55"/>
  <c r="K426" i="55"/>
  <c r="K434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436" i="55"/>
  <c r="G485" i="55"/>
  <c r="G16" i="55"/>
  <c r="K12" i="55"/>
  <c r="K18" i="55"/>
  <c r="I13" i="61"/>
  <c r="I14" i="61" s="1"/>
  <c r="C13" i="61"/>
  <c r="C14" i="61" s="1"/>
  <c r="K432" i="60" l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76" i="60"/>
  <c r="K543" i="60"/>
  <c r="K477" i="60"/>
  <c r="K430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99" i="14"/>
  <c r="K346" i="60"/>
  <c r="K16" i="60"/>
  <c r="K580" i="60"/>
  <c r="K566" i="60"/>
  <c r="M566" i="60" s="1"/>
  <c r="K527" i="60"/>
  <c r="M527" i="60" s="1"/>
  <c r="K550" i="60"/>
  <c r="K513" i="60"/>
  <c r="M513" i="60" s="1"/>
  <c r="K511" i="60"/>
  <c r="M511" i="60" s="1"/>
  <c r="K482" i="60"/>
  <c r="M482" i="60" s="1"/>
  <c r="K454" i="60"/>
  <c r="K541" i="60"/>
  <c r="K539" i="60"/>
  <c r="K525" i="60"/>
  <c r="K523" i="60"/>
  <c r="K509" i="60"/>
  <c r="M509" i="60" s="1"/>
  <c r="K507" i="60"/>
  <c r="K493" i="60"/>
  <c r="K478" i="60"/>
  <c r="K444" i="60"/>
  <c r="K567" i="60"/>
  <c r="M567" i="60" s="1"/>
  <c r="K553" i="60"/>
  <c r="M553" i="60" s="1"/>
  <c r="K551" i="60"/>
  <c r="K537" i="60"/>
  <c r="K535" i="60"/>
  <c r="K521" i="60"/>
  <c r="M521" i="60" s="1"/>
  <c r="K519" i="60"/>
  <c r="K505" i="60"/>
  <c r="K503" i="60"/>
  <c r="M503" i="60" s="1"/>
  <c r="K494" i="60"/>
  <c r="M494" i="60" s="1"/>
  <c r="K469" i="60"/>
  <c r="K497" i="60"/>
  <c r="K495" i="60"/>
  <c r="M495" i="60" s="1"/>
  <c r="K481" i="60"/>
  <c r="M481" i="60" s="1"/>
  <c r="K479" i="60"/>
  <c r="K465" i="60"/>
  <c r="M465" i="60" s="1"/>
  <c r="K463" i="60"/>
  <c r="M463" i="60" s="1"/>
  <c r="K449" i="60"/>
  <c r="M449" i="60" s="1"/>
  <c r="K447" i="60"/>
  <c r="K443" i="60"/>
  <c r="M443" i="60" s="1"/>
  <c r="K429" i="60"/>
  <c r="M429" i="60" s="1"/>
  <c r="K405" i="60"/>
  <c r="K398" i="60"/>
  <c r="K421" i="60"/>
  <c r="K389" i="60"/>
  <c r="K425" i="60"/>
  <c r="M425" i="60" s="1"/>
  <c r="K423" i="60"/>
  <c r="K409" i="60"/>
  <c r="K407" i="60"/>
  <c r="M407" i="60" s="1"/>
  <c r="K393" i="60"/>
  <c r="M393" i="60" s="1"/>
  <c r="K391" i="60"/>
  <c r="K377" i="60"/>
  <c r="M377" i="60" s="1"/>
  <c r="K375" i="60"/>
  <c r="M375" i="60" s="1"/>
  <c r="K370" i="60"/>
  <c r="M370" i="60" s="1"/>
  <c r="K355" i="60"/>
  <c r="K361" i="60"/>
  <c r="K427" i="60"/>
  <c r="M427" i="60" s="1"/>
  <c r="K413" i="60"/>
  <c r="M413" i="60" s="1"/>
  <c r="K411" i="60"/>
  <c r="K397" i="60"/>
  <c r="M397" i="60" s="1"/>
  <c r="K395" i="60"/>
  <c r="M395" i="60" s="1"/>
  <c r="K381" i="60"/>
  <c r="K379" i="60"/>
  <c r="K360" i="60"/>
  <c r="K358" i="60"/>
  <c r="M358" i="60" s="1"/>
  <c r="K585" i="60"/>
  <c r="K583" i="60"/>
  <c r="K569" i="60"/>
  <c r="K586" i="60"/>
  <c r="K560" i="60"/>
  <c r="M560" i="60" s="1"/>
  <c r="K557" i="60"/>
  <c r="K538" i="60"/>
  <c r="K574" i="60"/>
  <c r="K564" i="60"/>
  <c r="M564" i="60" s="1"/>
  <c r="K558" i="60"/>
  <c r="K548" i="60"/>
  <c r="M548" i="60" s="1"/>
  <c r="K542" i="60"/>
  <c r="K532" i="60"/>
  <c r="M532" i="60" s="1"/>
  <c r="K526" i="60"/>
  <c r="K516" i="60"/>
  <c r="M516" i="60" s="1"/>
  <c r="K510" i="60"/>
  <c r="K500" i="60"/>
  <c r="M500" i="60" s="1"/>
  <c r="K472" i="60"/>
  <c r="K475" i="60"/>
  <c r="M475" i="60" s="1"/>
  <c r="K468" i="60"/>
  <c r="K471" i="60"/>
  <c r="K487" i="60"/>
  <c r="K459" i="60"/>
  <c r="K404" i="60"/>
  <c r="M404" i="60" s="1"/>
  <c r="K457" i="60"/>
  <c r="M457" i="60" s="1"/>
  <c r="K455" i="60"/>
  <c r="K441" i="60"/>
  <c r="K439" i="60"/>
  <c r="M439" i="60" s="1"/>
  <c r="K401" i="60"/>
  <c r="M401" i="60" s="1"/>
  <c r="K462" i="60"/>
  <c r="K452" i="60"/>
  <c r="M452" i="60" s="1"/>
  <c r="K446" i="60"/>
  <c r="M446" i="60" s="1"/>
  <c r="K436" i="60"/>
  <c r="M436" i="60" s="1"/>
  <c r="K420" i="60"/>
  <c r="K388" i="60"/>
  <c r="K376" i="60"/>
  <c r="M376" i="60" s="1"/>
  <c r="K365" i="60"/>
  <c r="M365" i="60" s="1"/>
  <c r="K347" i="60"/>
  <c r="K363" i="60"/>
  <c r="M363" i="60" s="1"/>
  <c r="K353" i="60"/>
  <c r="M353" i="60" s="1"/>
  <c r="K351" i="60"/>
  <c r="K368" i="60"/>
  <c r="K366" i="60"/>
  <c r="M366" i="60" s="1"/>
  <c r="K579" i="60"/>
  <c r="M579" i="60" s="1"/>
  <c r="K561" i="60"/>
  <c r="M561" i="60" s="1"/>
  <c r="K577" i="60"/>
  <c r="K556" i="60"/>
  <c r="K544" i="60"/>
  <c r="M544" i="60" s="1"/>
  <c r="K522" i="60"/>
  <c r="M522" i="60" s="1"/>
  <c r="K512" i="60"/>
  <c r="K506" i="60"/>
  <c r="K540" i="60"/>
  <c r="M540" i="60" s="1"/>
  <c r="K534" i="60"/>
  <c r="M534" i="60" s="1"/>
  <c r="K524" i="60"/>
  <c r="K518" i="60"/>
  <c r="K508" i="60"/>
  <c r="M508" i="60" s="1"/>
  <c r="K502" i="60"/>
  <c r="M502" i="60" s="1"/>
  <c r="K498" i="60"/>
  <c r="K473" i="60"/>
  <c r="K568" i="60"/>
  <c r="M568" i="60" s="1"/>
  <c r="K562" i="60"/>
  <c r="M562" i="60" s="1"/>
  <c r="K552" i="60"/>
  <c r="K546" i="60"/>
  <c r="K536" i="60"/>
  <c r="M536" i="60" s="1"/>
  <c r="K530" i="60"/>
  <c r="M530" i="60" s="1"/>
  <c r="K520" i="60"/>
  <c r="K514" i="60"/>
  <c r="M514" i="60" s="1"/>
  <c r="K504" i="60"/>
  <c r="M504" i="60" s="1"/>
  <c r="K489" i="60"/>
  <c r="M489" i="60" s="1"/>
  <c r="K470" i="60"/>
  <c r="K496" i="60"/>
  <c r="M496" i="60" s="1"/>
  <c r="K490" i="60"/>
  <c r="K480" i="60"/>
  <c r="M480" i="60" s="1"/>
  <c r="K474" i="60"/>
  <c r="K464" i="60"/>
  <c r="K458" i="60"/>
  <c r="K448" i="60"/>
  <c r="M448" i="60" s="1"/>
  <c r="K438" i="60"/>
  <c r="K403" i="60"/>
  <c r="K400" i="60"/>
  <c r="K419" i="60"/>
  <c r="M419" i="60" s="1"/>
  <c r="K387" i="60"/>
  <c r="K424" i="60"/>
  <c r="M424" i="60" s="1"/>
  <c r="K422" i="60"/>
  <c r="M422" i="60" s="1"/>
  <c r="K408" i="60"/>
  <c r="M408" i="60" s="1"/>
  <c r="K406" i="60"/>
  <c r="K392" i="60"/>
  <c r="K390" i="60"/>
  <c r="K374" i="60"/>
  <c r="M374" i="60" s="1"/>
  <c r="K371" i="60"/>
  <c r="K356" i="60"/>
  <c r="M356" i="60" s="1"/>
  <c r="K354" i="60"/>
  <c r="M354" i="60" s="1"/>
  <c r="K352" i="60"/>
  <c r="M352" i="60" s="1"/>
  <c r="K428" i="60"/>
  <c r="K426" i="60"/>
  <c r="M426" i="60" s="1"/>
  <c r="K412" i="60"/>
  <c r="K410" i="60"/>
  <c r="K396" i="60"/>
  <c r="K394" i="60"/>
  <c r="M394" i="60" s="1"/>
  <c r="K380" i="60"/>
  <c r="M380" i="60" s="1"/>
  <c r="K378" i="60"/>
  <c r="M378" i="60" s="1"/>
  <c r="K359" i="60"/>
  <c r="K349" i="60"/>
  <c r="K584" i="60"/>
  <c r="K578" i="60"/>
  <c r="K573" i="60"/>
  <c r="K581" i="60"/>
  <c r="K570" i="60"/>
  <c r="K545" i="60"/>
  <c r="M545" i="60" s="1"/>
  <c r="K529" i="60"/>
  <c r="K575" i="60"/>
  <c r="K555" i="60"/>
  <c r="K565" i="60"/>
  <c r="M565" i="60" s="1"/>
  <c r="K563" i="60"/>
  <c r="K549" i="60"/>
  <c r="K547" i="60"/>
  <c r="M547" i="60" s="1"/>
  <c r="K533" i="60"/>
  <c r="K531" i="60"/>
  <c r="K517" i="60"/>
  <c r="M517" i="60" s="1"/>
  <c r="K515" i="60"/>
  <c r="M515" i="60" s="1"/>
  <c r="K501" i="60"/>
  <c r="K499" i="60"/>
  <c r="K492" i="60"/>
  <c r="M492" i="60" s="1"/>
  <c r="K483" i="60"/>
  <c r="M483" i="60" s="1"/>
  <c r="K488" i="60"/>
  <c r="K491" i="60"/>
  <c r="K484" i="60"/>
  <c r="M484" i="60" s="1"/>
  <c r="K476" i="60"/>
  <c r="K467" i="60"/>
  <c r="M467" i="60" s="1"/>
  <c r="K402" i="60"/>
  <c r="K456" i="60"/>
  <c r="K450" i="60"/>
  <c r="M450" i="60" s="1"/>
  <c r="K440" i="60"/>
  <c r="M440" i="60" s="1"/>
  <c r="K434" i="60"/>
  <c r="K399" i="60"/>
  <c r="K453" i="60"/>
  <c r="M453" i="60" s="1"/>
  <c r="K451" i="60"/>
  <c r="M451" i="60" s="1"/>
  <c r="K437" i="60"/>
  <c r="K435" i="60"/>
  <c r="M435" i="60" s="1"/>
  <c r="K418" i="60"/>
  <c r="K386" i="60"/>
  <c r="M386" i="60" s="1"/>
  <c r="K348" i="60"/>
  <c r="K364" i="60"/>
  <c r="M364" i="60" s="1"/>
  <c r="K362" i="60"/>
  <c r="K369" i="60"/>
  <c r="K350" i="60"/>
  <c r="K367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50" i="60"/>
  <c r="M506" i="60"/>
  <c r="M466" i="60"/>
  <c r="M458" i="60"/>
  <c r="M442" i="60"/>
  <c r="M361" i="60"/>
  <c r="M537" i="60"/>
  <c r="M437" i="60"/>
  <c r="M403" i="60"/>
  <c r="M371" i="60"/>
  <c r="M538" i="60"/>
  <c r="M501" i="60"/>
  <c r="M493" i="60"/>
  <c r="M485" i="60"/>
  <c r="M477" i="60"/>
  <c r="M469" i="60"/>
  <c r="M461" i="60"/>
  <c r="M445" i="60"/>
  <c r="M421" i="60"/>
  <c r="M555" i="60"/>
  <c r="M519" i="60"/>
  <c r="M402" i="60"/>
  <c r="M434" i="60"/>
  <c r="M423" i="60"/>
  <c r="M391" i="60"/>
  <c r="J58" i="57"/>
  <c r="J59" i="57"/>
  <c r="J43" i="57"/>
  <c r="K150" i="55"/>
  <c r="J51" i="57"/>
  <c r="J33" i="57"/>
  <c r="J46" i="57"/>
  <c r="J47" i="57"/>
  <c r="J29" i="57"/>
  <c r="M510" i="60"/>
  <c r="M512" i="60"/>
  <c r="M518" i="60"/>
  <c r="M520" i="60"/>
  <c r="M524" i="60"/>
  <c r="M526" i="60"/>
  <c r="M528" i="60"/>
  <c r="M505" i="60"/>
  <c r="M507" i="60"/>
  <c r="M523" i="60"/>
  <c r="M525" i="60"/>
  <c r="M529" i="60"/>
  <c r="M531" i="60"/>
  <c r="K205" i="60"/>
  <c r="M205" i="60" s="1"/>
  <c r="J28" i="57"/>
  <c r="J32" i="57"/>
  <c r="J25" i="57"/>
  <c r="K217" i="60"/>
  <c r="M217" i="60" s="1"/>
  <c r="K221" i="60"/>
  <c r="K225" i="60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K261" i="60"/>
  <c r="M261" i="60" s="1"/>
  <c r="K265" i="60"/>
  <c r="M265" i="60" s="1"/>
  <c r="K273" i="60"/>
  <c r="M273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05" i="60"/>
  <c r="M409" i="60"/>
  <c r="M411" i="60"/>
  <c r="M415" i="60"/>
  <c r="M417" i="60"/>
  <c r="M431" i="60"/>
  <c r="M433" i="60"/>
  <c r="M406" i="60"/>
  <c r="M410" i="60"/>
  <c r="M412" i="60"/>
  <c r="M414" i="60"/>
  <c r="M416" i="60"/>
  <c r="M418" i="60"/>
  <c r="M420" i="60"/>
  <c r="M428" i="60"/>
  <c r="M430" i="60"/>
  <c r="M432" i="60"/>
  <c r="M441" i="60"/>
  <c r="M447" i="60"/>
  <c r="M455" i="60"/>
  <c r="M459" i="60"/>
  <c r="M438" i="60"/>
  <c r="M444" i="60"/>
  <c r="M454" i="60"/>
  <c r="M456" i="60"/>
  <c r="M460" i="60"/>
  <c r="M462" i="60"/>
  <c r="M464" i="60"/>
  <c r="M468" i="60"/>
  <c r="M486" i="60"/>
  <c r="M488" i="60"/>
  <c r="M490" i="60"/>
  <c r="M498" i="60"/>
  <c r="M533" i="60"/>
  <c r="M535" i="60"/>
  <c r="M487" i="60"/>
  <c r="M491" i="60"/>
  <c r="M497" i="60"/>
  <c r="M499" i="60"/>
  <c r="M539" i="60"/>
  <c r="M541" i="60"/>
  <c r="M543" i="60"/>
  <c r="M549" i="60"/>
  <c r="M551" i="60"/>
  <c r="M557" i="60"/>
  <c r="M559" i="60"/>
  <c r="M542" i="60"/>
  <c r="M546" i="60"/>
  <c r="M552" i="60"/>
  <c r="M554" i="60"/>
  <c r="M556" i="60"/>
  <c r="M558" i="60"/>
  <c r="M355" i="60"/>
  <c r="M357" i="60"/>
  <c r="M359" i="60"/>
  <c r="M367" i="60"/>
  <c r="M369" i="60"/>
  <c r="M373" i="60"/>
  <c r="M379" i="60"/>
  <c r="K83" i="60"/>
  <c r="K75" i="60"/>
  <c r="M75" i="60" s="1"/>
  <c r="M360" i="60"/>
  <c r="M362" i="60"/>
  <c r="M368" i="60"/>
  <c r="M372" i="60"/>
  <c r="M382" i="60"/>
  <c r="M384" i="60"/>
  <c r="M388" i="60"/>
  <c r="M390" i="60"/>
  <c r="M392" i="60"/>
  <c r="M396" i="60"/>
  <c r="M398" i="60"/>
  <c r="M400" i="60"/>
  <c r="M470" i="60"/>
  <c r="M472" i="60"/>
  <c r="M474" i="60"/>
  <c r="M476" i="60"/>
  <c r="M381" i="60"/>
  <c r="M383" i="60"/>
  <c r="M385" i="60"/>
  <c r="M387" i="60"/>
  <c r="M389" i="60"/>
  <c r="M399" i="60"/>
  <c r="M471" i="60"/>
  <c r="M473" i="60"/>
  <c r="K220" i="60"/>
  <c r="K224" i="60"/>
  <c r="M224" i="60" s="1"/>
  <c r="K228" i="60"/>
  <c r="M228" i="60" s="1"/>
  <c r="K232" i="60"/>
  <c r="M232" i="60" s="1"/>
  <c r="K236" i="60"/>
  <c r="K240" i="60"/>
  <c r="M240" i="60" s="1"/>
  <c r="K244" i="60"/>
  <c r="M244" i="60" s="1"/>
  <c r="K248" i="60"/>
  <c r="M248" i="60" s="1"/>
  <c r="K252" i="60"/>
  <c r="K256" i="60"/>
  <c r="M256" i="60" s="1"/>
  <c r="K260" i="60"/>
  <c r="M260" i="60" s="1"/>
  <c r="K263" i="60"/>
  <c r="K271" i="60"/>
  <c r="M271" i="60" s="1"/>
  <c r="M479" i="60"/>
  <c r="M570" i="60"/>
  <c r="M572" i="60"/>
  <c r="K198" i="60"/>
  <c r="M198" i="60" s="1"/>
  <c r="K17" i="60"/>
  <c r="M17" i="60" s="1"/>
  <c r="K9" i="60"/>
  <c r="M9" i="60" s="1"/>
  <c r="K31" i="60"/>
  <c r="M31" i="60" s="1"/>
  <c r="K23" i="60"/>
  <c r="K94" i="60"/>
  <c r="M94" i="60" s="1"/>
  <c r="K86" i="60"/>
  <c r="K67" i="60"/>
  <c r="M67" i="60" s="1"/>
  <c r="K59" i="60"/>
  <c r="K51" i="60"/>
  <c r="M51" i="60" s="1"/>
  <c r="K103" i="60"/>
  <c r="K133" i="60"/>
  <c r="M133" i="60" s="1"/>
  <c r="M478" i="60"/>
  <c r="M563" i="60"/>
  <c r="M569" i="60"/>
  <c r="M571" i="60"/>
  <c r="M573" i="60"/>
  <c r="K187" i="60"/>
  <c r="K186" i="60"/>
  <c r="K190" i="60"/>
  <c r="M190" i="60" s="1"/>
  <c r="K194" i="60"/>
  <c r="M194" i="60" s="1"/>
  <c r="K188" i="60"/>
  <c r="K193" i="60"/>
  <c r="M193" i="60" s="1"/>
  <c r="K185" i="60"/>
  <c r="K192" i="60"/>
  <c r="M192" i="60" s="1"/>
  <c r="K189" i="60"/>
  <c r="K191" i="60"/>
  <c r="M191" i="60" s="1"/>
  <c r="K203" i="60"/>
  <c r="M203" i="60" s="1"/>
  <c r="B24" i="56"/>
  <c r="F24" i="56"/>
  <c r="K196" i="60"/>
  <c r="M196" i="60" s="1"/>
  <c r="K199" i="60"/>
  <c r="M199" i="60" s="1"/>
  <c r="K206" i="60"/>
  <c r="M206" i="60" s="1"/>
  <c r="K210" i="60"/>
  <c r="M210" i="60" s="1"/>
  <c r="K214" i="60"/>
  <c r="M214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7" i="60"/>
  <c r="M267" i="60" s="1"/>
  <c r="K266" i="60"/>
  <c r="M266" i="60" s="1"/>
  <c r="K275" i="60"/>
  <c r="M275" i="60" s="1"/>
  <c r="K279" i="60"/>
  <c r="M279" i="60" s="1"/>
  <c r="K283" i="60"/>
  <c r="M283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8" i="60"/>
  <c r="M308" i="60" s="1"/>
  <c r="K312" i="60"/>
  <c r="M312" i="60" s="1"/>
  <c r="K316" i="60"/>
  <c r="M316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204" i="60"/>
  <c r="M204" i="60" s="1"/>
  <c r="K209" i="60"/>
  <c r="M209" i="60" s="1"/>
  <c r="K213" i="60"/>
  <c r="M213" i="60" s="1"/>
  <c r="K264" i="60"/>
  <c r="M264" i="60" s="1"/>
  <c r="K272" i="60"/>
  <c r="M272" i="60" s="1"/>
  <c r="K274" i="60"/>
  <c r="M274" i="60" s="1"/>
  <c r="K278" i="60"/>
  <c r="M278" i="60" s="1"/>
  <c r="K282" i="60"/>
  <c r="M282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7" i="60"/>
  <c r="M307" i="60" s="1"/>
  <c r="K311" i="60"/>
  <c r="M311" i="60" s="1"/>
  <c r="K315" i="60"/>
  <c r="M315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202" i="60"/>
  <c r="M202" i="60" s="1"/>
  <c r="K208" i="60"/>
  <c r="M208" i="60" s="1"/>
  <c r="K212" i="60"/>
  <c r="M212" i="60" s="1"/>
  <c r="K216" i="60"/>
  <c r="M216" i="60" s="1"/>
  <c r="K270" i="60"/>
  <c r="M270" i="60" s="1"/>
  <c r="K277" i="60"/>
  <c r="M277" i="60" s="1"/>
  <c r="K281" i="60"/>
  <c r="M281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10" i="60"/>
  <c r="M310" i="60" s="1"/>
  <c r="K314" i="60"/>
  <c r="M314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197" i="60"/>
  <c r="M197" i="60" s="1"/>
  <c r="K201" i="60"/>
  <c r="M201" i="60" s="1"/>
  <c r="K195" i="60"/>
  <c r="M195" i="60" s="1"/>
  <c r="K200" i="60"/>
  <c r="M200" i="60" s="1"/>
  <c r="K207" i="60"/>
  <c r="M207" i="60" s="1"/>
  <c r="K211" i="60"/>
  <c r="M211" i="60" s="1"/>
  <c r="K215" i="60"/>
  <c r="M215" i="60" s="1"/>
  <c r="K219" i="60"/>
  <c r="M219" i="60" s="1"/>
  <c r="K223" i="60"/>
  <c r="M223" i="60" s="1"/>
  <c r="K227" i="60"/>
  <c r="M227" i="60" s="1"/>
  <c r="K231" i="60"/>
  <c r="M231" i="60" s="1"/>
  <c r="K235" i="60"/>
  <c r="M235" i="60" s="1"/>
  <c r="K239" i="60"/>
  <c r="M239" i="60" s="1"/>
  <c r="K243" i="60"/>
  <c r="M243" i="60" s="1"/>
  <c r="K247" i="60"/>
  <c r="M247" i="60" s="1"/>
  <c r="K251" i="60"/>
  <c r="M251" i="60" s="1"/>
  <c r="K255" i="60"/>
  <c r="M255" i="60" s="1"/>
  <c r="K259" i="60"/>
  <c r="M259" i="60" s="1"/>
  <c r="K269" i="60"/>
  <c r="M269" i="60" s="1"/>
  <c r="K268" i="60"/>
  <c r="M268" i="60" s="1"/>
  <c r="K276" i="60"/>
  <c r="M276" i="60" s="1"/>
  <c r="K280" i="60"/>
  <c r="M280" i="60" s="1"/>
  <c r="K284" i="60"/>
  <c r="M284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9" i="60"/>
  <c r="M309" i="60" s="1"/>
  <c r="K313" i="60"/>
  <c r="M313" i="60" s="1"/>
  <c r="K317" i="60"/>
  <c r="M317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22" i="60"/>
  <c r="M22" i="60" s="1"/>
  <c r="K14" i="60"/>
  <c r="M14" i="60" s="1"/>
  <c r="K36" i="60"/>
  <c r="M36" i="60" s="1"/>
  <c r="K28" i="60"/>
  <c r="M28" i="60" s="1"/>
  <c r="K39" i="60"/>
  <c r="M39" i="60" s="1"/>
  <c r="K91" i="60"/>
  <c r="M91" i="60" s="1"/>
  <c r="K84" i="60"/>
  <c r="M84" i="60" s="1"/>
  <c r="K76" i="60"/>
  <c r="M76" i="60" s="1"/>
  <c r="K68" i="60"/>
  <c r="M68" i="60" s="1"/>
  <c r="K60" i="60"/>
  <c r="M60" i="60" s="1"/>
  <c r="K52" i="60"/>
  <c r="M52" i="60" s="1"/>
  <c r="K44" i="60"/>
  <c r="M44" i="60" s="1"/>
  <c r="K134" i="60"/>
  <c r="M134" i="60" s="1"/>
  <c r="K119" i="60"/>
  <c r="M119" i="60" s="1"/>
  <c r="K111" i="60"/>
  <c r="M111" i="60" s="1"/>
  <c r="K138" i="60"/>
  <c r="M138" i="60" s="1"/>
  <c r="K160" i="60"/>
  <c r="M160" i="60" s="1"/>
  <c r="K152" i="60"/>
  <c r="M152" i="60" s="1"/>
  <c r="K144" i="60"/>
  <c r="M144" i="60" s="1"/>
  <c r="K164" i="60"/>
  <c r="M164" i="60" s="1"/>
  <c r="K120" i="60"/>
  <c r="M120" i="60" s="1"/>
  <c r="K112" i="60"/>
  <c r="M112" i="60" s="1"/>
  <c r="K104" i="60"/>
  <c r="M104" i="60" s="1"/>
  <c r="K139" i="60"/>
  <c r="M139" i="60" s="1"/>
  <c r="K153" i="60"/>
  <c r="M153" i="60" s="1"/>
  <c r="K145" i="60"/>
  <c r="M145" i="60" s="1"/>
  <c r="K165" i="60"/>
  <c r="M165" i="60" s="1"/>
  <c r="K169" i="60"/>
  <c r="M169" i="60" s="1"/>
  <c r="K19" i="60"/>
  <c r="M19" i="60" s="1"/>
  <c r="K11" i="60"/>
  <c r="M11" i="60" s="1"/>
  <c r="K33" i="60"/>
  <c r="M33" i="60" s="1"/>
  <c r="K25" i="60"/>
  <c r="M25" i="60" s="1"/>
  <c r="K96" i="60"/>
  <c r="M96" i="60" s="1"/>
  <c r="K88" i="60"/>
  <c r="M88" i="60" s="1"/>
  <c r="K8" i="60"/>
  <c r="M8" i="60" s="1"/>
  <c r="M16" i="60"/>
  <c r="K38" i="60"/>
  <c r="M38" i="60" s="1"/>
  <c r="K30" i="60"/>
  <c r="M30" i="60" s="1"/>
  <c r="K41" i="60"/>
  <c r="M41" i="60" s="1"/>
  <c r="K93" i="60"/>
  <c r="K85" i="60"/>
  <c r="M85" i="60" s="1"/>
  <c r="K77" i="60"/>
  <c r="M77" i="60" s="1"/>
  <c r="K69" i="60"/>
  <c r="M69" i="60" s="1"/>
  <c r="K61" i="60"/>
  <c r="M61" i="60" s="1"/>
  <c r="K53" i="60"/>
  <c r="M53" i="60" s="1"/>
  <c r="K45" i="60"/>
  <c r="M45" i="60" s="1"/>
  <c r="K97" i="60"/>
  <c r="M97" i="60" s="1"/>
  <c r="K127" i="60"/>
  <c r="M127" i="60" s="1"/>
  <c r="K78" i="60"/>
  <c r="M78" i="60" s="1"/>
  <c r="K70" i="60"/>
  <c r="M70" i="60" s="1"/>
  <c r="K62" i="60"/>
  <c r="M62" i="60" s="1"/>
  <c r="K54" i="60"/>
  <c r="M54" i="60" s="1"/>
  <c r="K46" i="60"/>
  <c r="M46" i="60" s="1"/>
  <c r="K98" i="60"/>
  <c r="M98" i="60" s="1"/>
  <c r="K128" i="60"/>
  <c r="M128" i="60" s="1"/>
  <c r="K121" i="60"/>
  <c r="M121" i="60" s="1"/>
  <c r="K113" i="60"/>
  <c r="M113" i="60" s="1"/>
  <c r="K105" i="60"/>
  <c r="M105" i="60" s="1"/>
  <c r="K140" i="60"/>
  <c r="M140" i="60" s="1"/>
  <c r="K154" i="60"/>
  <c r="M154" i="60" s="1"/>
  <c r="K146" i="60"/>
  <c r="M146" i="60" s="1"/>
  <c r="K166" i="60"/>
  <c r="M166" i="60" s="1"/>
  <c r="K122" i="60"/>
  <c r="M122" i="60" s="1"/>
  <c r="K114" i="60"/>
  <c r="M114" i="60" s="1"/>
  <c r="K106" i="60"/>
  <c r="M106" i="60" s="1"/>
  <c r="K141" i="60"/>
  <c r="M141" i="60" s="1"/>
  <c r="K155" i="60"/>
  <c r="M155" i="60" s="1"/>
  <c r="K147" i="60"/>
  <c r="M147" i="60" s="1"/>
  <c r="K167" i="60"/>
  <c r="M167" i="60" s="1"/>
  <c r="K21" i="60"/>
  <c r="M21" i="60" s="1"/>
  <c r="K13" i="60"/>
  <c r="M13" i="60" s="1"/>
  <c r="K35" i="60"/>
  <c r="M35" i="60" s="1"/>
  <c r="K27" i="60"/>
  <c r="M27" i="60" s="1"/>
  <c r="K42" i="60"/>
  <c r="M42" i="60" s="1"/>
  <c r="K90" i="60"/>
  <c r="M90" i="60" s="1"/>
  <c r="K18" i="60"/>
  <c r="K10" i="60"/>
  <c r="M10" i="60" s="1"/>
  <c r="K32" i="60"/>
  <c r="M32" i="60" s="1"/>
  <c r="K24" i="60"/>
  <c r="M24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M55" i="60" s="1"/>
  <c r="K47" i="60"/>
  <c r="M47" i="60" s="1"/>
  <c r="K99" i="60"/>
  <c r="M99" i="60" s="1"/>
  <c r="K129" i="60"/>
  <c r="M129" i="60" s="1"/>
  <c r="K80" i="60"/>
  <c r="M80" i="60" s="1"/>
  <c r="K72" i="60"/>
  <c r="M72" i="60" s="1"/>
  <c r="K64" i="60"/>
  <c r="M64" i="60" s="1"/>
  <c r="K56" i="60"/>
  <c r="M56" i="60" s="1"/>
  <c r="K48" i="60"/>
  <c r="M48" i="60" s="1"/>
  <c r="K100" i="60"/>
  <c r="M100" i="60" s="1"/>
  <c r="K130" i="60"/>
  <c r="M130" i="60" s="1"/>
  <c r="K123" i="60"/>
  <c r="M123" i="60" s="1"/>
  <c r="K115" i="60"/>
  <c r="M115" i="60" s="1"/>
  <c r="K107" i="60"/>
  <c r="M107" i="60" s="1"/>
  <c r="K142" i="60"/>
  <c r="M142" i="60" s="1"/>
  <c r="K156" i="60"/>
  <c r="M156" i="60" s="1"/>
  <c r="K148" i="60"/>
  <c r="M148" i="60" s="1"/>
  <c r="K168" i="60"/>
  <c r="M168" i="60" s="1"/>
  <c r="K124" i="60"/>
  <c r="M124" i="60" s="1"/>
  <c r="K116" i="60"/>
  <c r="M116" i="60" s="1"/>
  <c r="K108" i="60"/>
  <c r="M108" i="60" s="1"/>
  <c r="K135" i="60"/>
  <c r="M135" i="60" s="1"/>
  <c r="K157" i="60"/>
  <c r="M157" i="60" s="1"/>
  <c r="K149" i="60"/>
  <c r="M149" i="60" s="1"/>
  <c r="K161" i="60"/>
  <c r="M161" i="60" s="1"/>
  <c r="K7" i="60"/>
  <c r="M7" i="60" s="1"/>
  <c r="K15" i="60"/>
  <c r="M15" i="60" s="1"/>
  <c r="K37" i="60"/>
  <c r="K29" i="60"/>
  <c r="M29" i="60" s="1"/>
  <c r="K40" i="60"/>
  <c r="M40" i="60" s="1"/>
  <c r="K92" i="60"/>
  <c r="M92" i="60" s="1"/>
  <c r="K20" i="60"/>
  <c r="M20" i="60" s="1"/>
  <c r="K12" i="60"/>
  <c r="M12" i="60" s="1"/>
  <c r="K34" i="60"/>
  <c r="M34" i="60" s="1"/>
  <c r="K26" i="60"/>
  <c r="M26" i="60" s="1"/>
  <c r="K43" i="60"/>
  <c r="M43" i="60" s="1"/>
  <c r="K89" i="60"/>
  <c r="M89" i="60" s="1"/>
  <c r="K81" i="60"/>
  <c r="M81" i="60" s="1"/>
  <c r="K73" i="60"/>
  <c r="M73" i="60" s="1"/>
  <c r="K65" i="60"/>
  <c r="M65" i="60" s="1"/>
  <c r="K57" i="60"/>
  <c r="M57" i="60" s="1"/>
  <c r="K49" i="60"/>
  <c r="M49" i="60" s="1"/>
  <c r="K101" i="60"/>
  <c r="M101" i="60" s="1"/>
  <c r="K131" i="60"/>
  <c r="K82" i="60"/>
  <c r="M82" i="60" s="1"/>
  <c r="K74" i="60"/>
  <c r="M74" i="60" s="1"/>
  <c r="K66" i="60"/>
  <c r="M66" i="60" s="1"/>
  <c r="K58" i="60"/>
  <c r="M58" i="60" s="1"/>
  <c r="K50" i="60"/>
  <c r="M50" i="60" s="1"/>
  <c r="K102" i="60"/>
  <c r="M102" i="60" s="1"/>
  <c r="K132" i="60"/>
  <c r="M132" i="60" s="1"/>
  <c r="K125" i="60"/>
  <c r="M125" i="60" s="1"/>
  <c r="K117" i="60"/>
  <c r="M117" i="60" s="1"/>
  <c r="K109" i="60"/>
  <c r="M109" i="60" s="1"/>
  <c r="K136" i="60"/>
  <c r="M136" i="60" s="1"/>
  <c r="K158" i="60"/>
  <c r="M158" i="60" s="1"/>
  <c r="K150" i="60"/>
  <c r="M150" i="60" s="1"/>
  <c r="K162" i="60"/>
  <c r="M162" i="60" s="1"/>
  <c r="K126" i="60"/>
  <c r="M126" i="60" s="1"/>
  <c r="K118" i="60"/>
  <c r="M118" i="60" s="1"/>
  <c r="K110" i="60"/>
  <c r="M110" i="60" s="1"/>
  <c r="K137" i="60"/>
  <c r="M137" i="60" s="1"/>
  <c r="K159" i="60"/>
  <c r="M159" i="60" s="1"/>
  <c r="K151" i="60"/>
  <c r="M151" i="60" s="1"/>
  <c r="K143" i="60"/>
  <c r="M143" i="60" s="1"/>
  <c r="K163" i="60"/>
  <c r="M163" i="60" s="1"/>
  <c r="M59" i="60"/>
  <c r="M103" i="60"/>
  <c r="M23" i="60"/>
  <c r="M93" i="60"/>
  <c r="M221" i="60"/>
  <c r="M225" i="60"/>
  <c r="M257" i="60"/>
  <c r="M220" i="60"/>
  <c r="M236" i="60"/>
  <c r="M252" i="60"/>
  <c r="M263" i="60"/>
  <c r="M131" i="60"/>
  <c r="M18" i="60"/>
  <c r="M9" i="39"/>
  <c r="M37" i="60"/>
  <c r="M83" i="60"/>
  <c r="M86" i="60"/>
  <c r="M348" i="60"/>
  <c r="H95" i="14"/>
  <c r="G95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85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88" i="60"/>
  <c r="D24" i="56"/>
  <c r="K171" i="60"/>
  <c r="K174" i="60" s="1"/>
  <c r="M583" i="60"/>
  <c r="M575" i="60"/>
  <c r="M582" i="60"/>
  <c r="M574" i="60"/>
  <c r="M584" i="60"/>
  <c r="M576" i="60"/>
  <c r="M581" i="60"/>
  <c r="M351" i="60"/>
  <c r="M586" i="60"/>
  <c r="M578" i="60"/>
  <c r="M349" i="60"/>
  <c r="M580" i="60"/>
  <c r="M350" i="60"/>
  <c r="M585" i="60"/>
  <c r="M577" i="60"/>
  <c r="M347" i="60"/>
  <c r="M188" i="60"/>
  <c r="M187" i="60"/>
  <c r="M189" i="60"/>
  <c r="M186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96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96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46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5" i="14"/>
  <c r="J25" i="14"/>
  <c r="H63" i="47"/>
  <c r="I16" i="47"/>
  <c r="H16" i="47"/>
  <c r="I26" i="71" l="1"/>
  <c r="J26" i="71"/>
  <c r="J27" i="71" s="1"/>
  <c r="J26" i="14"/>
  <c r="I26" i="14"/>
  <c r="H17" i="47"/>
  <c r="I17" i="47"/>
  <c r="I27" i="71" l="1"/>
  <c r="I27" i="14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H26" i="47" s="1"/>
  <c r="I34" i="14"/>
  <c r="I35" i="14" s="1"/>
  <c r="I26" i="47" l="1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J50" i="14" s="1"/>
  <c r="I50" i="14" l="1"/>
  <c r="I51" i="14" s="1"/>
  <c r="H41" i="47"/>
  <c r="H42" i="47" s="1"/>
  <c r="B152" i="55"/>
  <c r="J51" i="14" l="1"/>
  <c r="J52" i="14" s="1"/>
  <c r="I42" i="47"/>
  <c r="I43" i="47" s="1"/>
  <c r="B153" i="55"/>
  <c r="A152" i="55"/>
  <c r="I52" i="14" l="1"/>
  <c r="I53" i="14" s="1"/>
  <c r="H43" i="47"/>
  <c r="H44" i="47" s="1"/>
  <c r="A153" i="55"/>
  <c r="B154" i="55"/>
  <c r="J53" i="14" l="1"/>
  <c r="J54" i="14" s="1"/>
  <c r="I44" i="47"/>
  <c r="I45" i="47" s="1"/>
  <c r="B155" i="55"/>
  <c r="B156" i="55" s="1"/>
  <c r="B157" i="55" s="1"/>
  <c r="A154" i="55"/>
  <c r="I54" i="14" l="1"/>
  <c r="I55" i="14" s="1"/>
  <c r="H45" i="47"/>
  <c r="H46" i="47" s="1"/>
  <c r="A157" i="55"/>
  <c r="A156" i="55"/>
  <c r="B158" i="55"/>
  <c r="A155" i="55"/>
  <c r="J55" i="14" l="1"/>
  <c r="J56" i="14" s="1"/>
  <c r="I46" i="47"/>
  <c r="I47" i="47" s="1"/>
  <c r="B159" i="55"/>
  <c r="A158" i="55"/>
  <c r="I56" i="14" l="1"/>
  <c r="I57" i="14" s="1"/>
  <c r="H47" i="47"/>
  <c r="H48" i="47" s="1"/>
  <c r="A159" i="55"/>
  <c r="B160" i="55"/>
  <c r="J57" i="14" l="1"/>
  <c r="J58" i="14" s="1"/>
  <c r="I48" i="47"/>
  <c r="I49" i="47" s="1"/>
  <c r="B161" i="55"/>
  <c r="B162" i="55" s="1"/>
  <c r="A162" i="55" s="1"/>
  <c r="A160" i="55"/>
  <c r="I58" i="14" l="1"/>
  <c r="I59" i="14" s="1"/>
  <c r="H49" i="47"/>
  <c r="H50" i="47" s="1"/>
  <c r="A161" i="55"/>
  <c r="B163" i="55"/>
  <c r="J59" i="14" l="1"/>
  <c r="J60" i="14" s="1"/>
  <c r="I50" i="47"/>
  <c r="I51" i="47" s="1"/>
  <c r="B164" i="55"/>
  <c r="A163" i="55"/>
  <c r="K339" i="60"/>
  <c r="A12" i="60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I60" i="14" l="1"/>
  <c r="I61" i="14" s="1"/>
  <c r="H51" i="47"/>
  <c r="H52" i="47" s="1"/>
  <c r="A164" i="55"/>
  <c r="B165" i="55"/>
  <c r="M185" i="60"/>
  <c r="B19" i="55"/>
  <c r="B20" i="55" s="1"/>
  <c r="B21" i="55" s="1"/>
  <c r="J61" i="14" l="1"/>
  <c r="J62" i="14" s="1"/>
  <c r="I52" i="47"/>
  <c r="I53" i="47" s="1"/>
  <c r="A21" i="55"/>
  <c r="B22" i="55"/>
  <c r="B166" i="55"/>
  <c r="A166" i="55" s="1"/>
  <c r="A165" i="55"/>
  <c r="A20" i="55"/>
  <c r="A19" i="55"/>
  <c r="I62" i="14" l="1"/>
  <c r="I63" i="14" s="1"/>
  <c r="H53" i="47"/>
  <c r="H54" i="47" s="1"/>
  <c r="A22" i="55"/>
  <c r="B23" i="55"/>
  <c r="A23" i="55" s="1"/>
  <c r="J63" i="14" l="1"/>
  <c r="J64" i="14" s="1"/>
  <c r="I54" i="47"/>
  <c r="I55" i="47" s="1"/>
  <c r="B24" i="55"/>
  <c r="B25" i="55" s="1"/>
  <c r="B26" i="55"/>
  <c r="A26" i="55" s="1"/>
  <c r="A25" i="55"/>
  <c r="A24" i="55"/>
  <c r="I64" i="14" l="1"/>
  <c r="I65" i="14" s="1"/>
  <c r="H55" i="47"/>
  <c r="H56" i="47" s="1"/>
  <c r="B27" i="55"/>
  <c r="J65" i="14" l="1"/>
  <c r="J66" i="14" s="1"/>
  <c r="I56" i="47"/>
  <c r="I57" i="47" s="1"/>
  <c r="A27" i="55"/>
  <c r="B28" i="55"/>
  <c r="I66" i="14" l="1"/>
  <c r="I67" i="14" s="1"/>
  <c r="H57" i="47"/>
  <c r="H58" i="47" s="1"/>
  <c r="A28" i="55"/>
  <c r="B29" i="55"/>
  <c r="J67" i="14" l="1"/>
  <c r="J68" i="14" s="1"/>
  <c r="I58" i="47"/>
  <c r="I59" i="47" s="1"/>
  <c r="A29" i="55"/>
  <c r="B30" i="55"/>
  <c r="I68" i="14" l="1"/>
  <c r="I69" i="14" s="1"/>
  <c r="H59" i="47"/>
  <c r="H60" i="47" s="1"/>
  <c r="A30" i="55"/>
  <c r="B31" i="55"/>
  <c r="J69" i="14" l="1"/>
  <c r="J70" i="14" s="1"/>
  <c r="I60" i="47"/>
  <c r="A31" i="55"/>
  <c r="B32" i="55"/>
  <c r="I70" i="14" l="1"/>
  <c r="I71" i="14" s="1"/>
  <c r="B33" i="55"/>
  <c r="A32" i="55"/>
  <c r="J71" i="14" l="1"/>
  <c r="J72" i="14" s="1"/>
  <c r="B34" i="55"/>
  <c r="A33" i="55"/>
  <c r="I72" i="14" l="1"/>
  <c r="I73" i="14" s="1"/>
  <c r="A34" i="55"/>
  <c r="B35" i="55"/>
  <c r="J73" i="14" l="1"/>
  <c r="J74" i="14" s="1"/>
  <c r="B36" i="55"/>
  <c r="A35" i="55"/>
  <c r="I74" i="14" l="1"/>
  <c r="I75" i="14" s="1"/>
  <c r="B37" i="55"/>
  <c r="A36" i="55"/>
  <c r="J75" i="14" l="1"/>
  <c r="J76" i="14" s="1"/>
  <c r="B38" i="55"/>
  <c r="A37" i="55"/>
  <c r="I76" i="14" l="1"/>
  <c r="I77" i="14" s="1"/>
  <c r="A38" i="55"/>
  <c r="B39" i="55"/>
  <c r="J77" i="14" l="1"/>
  <c r="J78" i="14" s="1"/>
  <c r="A39" i="55"/>
  <c r="B40" i="55"/>
  <c r="A40" i="55" s="1"/>
  <c r="I78" i="14" l="1"/>
  <c r="I79" i="14" s="1"/>
  <c r="B41" i="55"/>
  <c r="J79" i="14" l="1"/>
  <c r="J80" i="14" s="1"/>
  <c r="B42" i="55"/>
  <c r="A41" i="55"/>
  <c r="I80" i="14" l="1"/>
  <c r="I81" i="14" s="1"/>
  <c r="A42" i="55"/>
  <c r="B43" i="55"/>
  <c r="J81" i="14" l="1"/>
  <c r="J82" i="14" s="1"/>
  <c r="A43" i="55"/>
  <c r="B44" i="55"/>
  <c r="I82" i="14" l="1"/>
  <c r="I83" i="14" s="1"/>
  <c r="B45" i="55"/>
  <c r="A44" i="55"/>
  <c r="J83" i="14" l="1"/>
  <c r="J84" i="14" s="1"/>
  <c r="A45" i="55"/>
  <c r="B46" i="55"/>
  <c r="I84" i="14" l="1"/>
  <c r="I85" i="14" s="1"/>
  <c r="B47" i="55"/>
  <c r="A46" i="55"/>
  <c r="J85" i="14" l="1"/>
  <c r="J86" i="14" s="1"/>
  <c r="A47" i="55"/>
  <c r="B48" i="55"/>
  <c r="I86" i="14" l="1"/>
  <c r="I87" i="14" s="1"/>
  <c r="B49" i="55"/>
  <c r="A48" i="55"/>
  <c r="J87" i="14" l="1"/>
  <c r="J88" i="14" s="1"/>
  <c r="B50" i="55"/>
  <c r="A49" i="55"/>
  <c r="I88" i="14" l="1"/>
  <c r="I89" i="14" s="1"/>
  <c r="B51" i="55"/>
  <c r="A50" i="55"/>
  <c r="J89" i="14" l="1"/>
  <c r="J90" i="14" s="1"/>
  <c r="B52" i="55"/>
  <c r="A51" i="55"/>
  <c r="I90" i="14" l="1"/>
  <c r="I91" i="14" s="1"/>
  <c r="A52" i="55"/>
  <c r="B53" i="55"/>
  <c r="J91" i="14" l="1"/>
  <c r="J92" i="14" s="1"/>
  <c r="A53" i="55"/>
  <c r="B54" i="55"/>
  <c r="I92" i="14" l="1"/>
  <c r="I93" i="14" s="1"/>
  <c r="B55" i="55"/>
  <c r="A54" i="55"/>
  <c r="J93" i="14" l="1"/>
  <c r="A55" i="55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B101" i="55" l="1"/>
  <c r="A100" i="55"/>
  <c r="B102" i="55" l="1"/>
  <c r="A101" i="55"/>
  <c r="B103" i="55" l="1"/>
  <c r="A102" i="55"/>
  <c r="A103" i="55" l="1"/>
  <c r="B104" i="55"/>
  <c r="B105" i="55" l="1"/>
  <c r="A104" i="55"/>
  <c r="B106" i="55" l="1"/>
  <c r="A105" i="55"/>
  <c r="B107" i="55" l="1"/>
  <c r="A106" i="55"/>
  <c r="A107" i="55" l="1"/>
  <c r="B108" i="55"/>
  <c r="B109" i="55" l="1"/>
  <c r="A108" i="55"/>
  <c r="B167" i="55" l="1"/>
  <c r="B110" i="55"/>
  <c r="A109" i="55"/>
  <c r="A167" i="55" l="1"/>
  <c r="B168" i="55"/>
  <c r="A110" i="55"/>
  <c r="B111" i="55"/>
  <c r="A168" i="55" l="1"/>
  <c r="B169" i="55"/>
  <c r="A111" i="55"/>
  <c r="B112" i="55"/>
  <c r="A169" i="55" l="1"/>
  <c r="B113" i="55"/>
  <c r="A112" i="55"/>
  <c r="B114" i="55" l="1"/>
  <c r="A113" i="55"/>
  <c r="A114" i="55" l="1"/>
  <c r="B115" i="55"/>
  <c r="A115" i="55" l="1"/>
  <c r="B116" i="55"/>
  <c r="A116" i="55" l="1"/>
  <c r="B117" i="55"/>
  <c r="B118" i="55" l="1"/>
  <c r="A117" i="55"/>
  <c r="B119" i="55" l="1"/>
  <c r="A118" i="55"/>
  <c r="A119" i="55" l="1"/>
  <c r="B120" i="55"/>
  <c r="B121" i="55" l="1"/>
  <c r="A120" i="55"/>
  <c r="A121" i="55" l="1"/>
  <c r="B122" i="55"/>
  <c r="B123" i="55" l="1"/>
  <c r="A122" i="55"/>
  <c r="A123" i="55" l="1"/>
  <c r="B124" i="55"/>
  <c r="B125" i="55" l="1"/>
  <c r="A124" i="55"/>
  <c r="A125" i="55" l="1"/>
  <c r="B126" i="55"/>
  <c r="A126" i="55" l="1"/>
  <c r="B127" i="55"/>
  <c r="B128" i="55" l="1"/>
  <c r="A127" i="55"/>
  <c r="A128" i="55" l="1"/>
  <c r="B129" i="55"/>
  <c r="A129" i="55" l="1"/>
  <c r="B130" i="55"/>
  <c r="B131" i="55" l="1"/>
  <c r="A130" i="55"/>
  <c r="B132" i="55" l="1"/>
  <c r="A131" i="55"/>
  <c r="B133" i="55" l="1"/>
  <c r="A132" i="55"/>
  <c r="A133" i="55" l="1"/>
  <c r="B134" i="55"/>
  <c r="A134" i="55" l="1"/>
  <c r="B135" i="55"/>
  <c r="B136" i="55" l="1"/>
  <c r="A135" i="55"/>
  <c r="A136" i="55" l="1"/>
  <c r="B137" i="55"/>
  <c r="A137" i="55" l="1"/>
  <c r="B138" i="55"/>
  <c r="B139" i="55" l="1"/>
  <c r="A138" i="55"/>
  <c r="B140" i="55" l="1"/>
  <c r="A139" i="55"/>
  <c r="A140" i="55" l="1"/>
  <c r="B141" i="55"/>
  <c r="A141" i="55" l="1"/>
  <c r="B142" i="55"/>
  <c r="A142" i="55" l="1"/>
  <c r="B143" i="55"/>
  <c r="B144" i="55" l="1"/>
  <c r="A143" i="55"/>
  <c r="A144" i="55" l="1"/>
  <c r="B145" i="55"/>
  <c r="A145" i="55" l="1"/>
  <c r="B146" i="55"/>
  <c r="A146" i="55" l="1"/>
  <c r="B147" i="55"/>
  <c r="A147" i="55" l="1"/>
  <c r="B148" i="55"/>
  <c r="A148" i="55" s="1"/>
  <c r="B170" i="55" l="1"/>
  <c r="B171" i="55" l="1"/>
  <c r="A170" i="55"/>
  <c r="B172" i="55" l="1"/>
  <c r="A172" i="55" s="1"/>
  <c r="A171" i="55"/>
  <c r="B173" i="55" l="1"/>
  <c r="B174" i="55" s="1"/>
  <c r="A174" i="55" l="1"/>
  <c r="B175" i="55"/>
  <c r="A173" i="55"/>
  <c r="B176" i="55" l="1"/>
  <c r="A175" i="55"/>
  <c r="A176" i="55" l="1"/>
  <c r="B177" i="55"/>
  <c r="A177" i="55" l="1"/>
  <c r="B178" i="55"/>
  <c r="B179" i="55" l="1"/>
  <c r="A178" i="55"/>
  <c r="A179" i="55" l="1"/>
  <c r="B180" i="55"/>
  <c r="B181" i="55" l="1"/>
  <c r="A180" i="55"/>
  <c r="B182" i="55" l="1"/>
  <c r="B183" i="55" s="1"/>
  <c r="A181" i="55"/>
  <c r="A183" i="55" l="1"/>
  <c r="B184" i="55"/>
  <c r="A182" i="55"/>
  <c r="A184" i="55" l="1"/>
  <c r="B185" i="55"/>
  <c r="B186" i="55" l="1"/>
  <c r="A185" i="55"/>
  <c r="B187" i="55" l="1"/>
  <c r="A186" i="55"/>
  <c r="B188" i="55" l="1"/>
  <c r="A187" i="55"/>
  <c r="A188" i="55" l="1"/>
  <c r="B189" i="55"/>
  <c r="B190" i="55" l="1"/>
  <c r="A189" i="55"/>
  <c r="B191" i="55" l="1"/>
  <c r="A190" i="55"/>
  <c r="B192" i="55" l="1"/>
  <c r="A191" i="55"/>
  <c r="A192" i="55" l="1"/>
  <c r="B193" i="55"/>
  <c r="B194" i="55" l="1"/>
  <c r="A193" i="55"/>
  <c r="B195" i="55" l="1"/>
  <c r="A194" i="55"/>
  <c r="A195" i="55" l="1"/>
  <c r="B196" i="55"/>
  <c r="A196" i="55" l="1"/>
  <c r="B197" i="55"/>
  <c r="B198" i="55" s="1"/>
  <c r="A198" i="55" l="1"/>
  <c r="B199" i="55"/>
  <c r="A197" i="55"/>
  <c r="A199" i="55" l="1"/>
  <c r="B200" i="55"/>
  <c r="B201" i="55" l="1"/>
  <c r="A200" i="55"/>
  <c r="B202" i="55" l="1"/>
  <c r="B203" i="55" s="1"/>
  <c r="A201" i="55"/>
  <c r="F42" i="57"/>
  <c r="A203" i="55" l="1"/>
  <c r="B204" i="55"/>
  <c r="A202" i="55"/>
  <c r="J42" i="57"/>
  <c r="J74" i="57" s="1"/>
  <c r="H42" i="57"/>
  <c r="K1015" i="34"/>
  <c r="I24" i="73" l="1"/>
  <c r="H24" i="73"/>
  <c r="H10" i="73"/>
  <c r="I10" i="73"/>
  <c r="A204" i="55"/>
  <c r="B205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05" i="55"/>
  <c r="B206" i="55"/>
  <c r="B207" i="55" l="1"/>
  <c r="A206" i="55"/>
  <c r="A207" i="55" l="1"/>
  <c r="B208" i="55"/>
  <c r="A208" i="55" l="1"/>
  <c r="B209" i="55"/>
  <c r="A209" i="55" l="1"/>
  <c r="B210" i="55"/>
  <c r="B211" i="55" l="1"/>
  <c r="A210" i="55"/>
  <c r="A211" i="55" l="1"/>
  <c r="B212" i="55"/>
  <c r="B213" i="55" s="1"/>
  <c r="B214" i="55" l="1"/>
  <c r="A213" i="55"/>
  <c r="A212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B224" i="55" l="1"/>
  <c r="A223" i="55"/>
  <c r="B225" i="55" l="1"/>
  <c r="A224" i="55"/>
  <c r="A225" i="55" l="1"/>
  <c r="B226" i="55"/>
  <c r="A226" i="55" l="1"/>
  <c r="B227" i="55"/>
  <c r="B228" i="55" s="1"/>
  <c r="A228" i="55" l="1"/>
  <c r="B229" i="55"/>
  <c r="A227" i="55"/>
  <c r="A229" i="55" l="1"/>
  <c r="B230" i="55"/>
  <c r="B231" i="55" l="1"/>
  <c r="A230" i="55"/>
  <c r="B232" i="55" l="1"/>
  <c r="A231" i="55"/>
  <c r="B233" i="55" l="1"/>
  <c r="A232" i="55"/>
  <c r="A233" i="55" l="1"/>
  <c r="B234" i="55"/>
  <c r="B235" i="55" l="1"/>
  <c r="A234" i="55"/>
  <c r="B236" i="55" l="1"/>
  <c r="A235" i="55"/>
  <c r="A236" i="55" l="1"/>
  <c r="B237" i="55"/>
  <c r="A237" i="55" l="1"/>
  <c r="B238" i="55"/>
  <c r="B239" i="55" l="1"/>
  <c r="A238" i="55"/>
  <c r="A239" i="55" l="1"/>
  <c r="B240" i="55"/>
  <c r="B241" i="55" l="1"/>
  <c r="A240" i="55"/>
  <c r="B242" i="55" l="1"/>
  <c r="A241" i="55"/>
  <c r="B243" i="55" l="1"/>
  <c r="A242" i="55"/>
  <c r="A243" i="55" l="1"/>
  <c r="B244" i="55"/>
  <c r="B245" i="55" l="1"/>
  <c r="A244" i="55"/>
  <c r="A245" i="55" l="1"/>
  <c r="B246" i="55"/>
  <c r="B247" i="55" l="1"/>
  <c r="A246" i="55"/>
  <c r="A247" i="55" l="1"/>
  <c r="B248" i="55"/>
  <c r="A248" i="55" l="1"/>
  <c r="B249" i="55"/>
  <c r="B250" i="55" l="1"/>
  <c r="A249" i="55"/>
  <c r="A250" i="55" l="1"/>
  <c r="B251" i="55"/>
  <c r="A251" i="55" l="1"/>
  <c r="B252" i="55"/>
  <c r="A252" i="55" l="1"/>
  <c r="B253" i="55"/>
  <c r="A253" i="55" l="1"/>
  <c r="B254" i="55"/>
  <c r="A254" i="55" l="1"/>
  <c r="B255" i="55"/>
  <c r="A255" i="55" l="1"/>
  <c r="B256" i="55"/>
  <c r="B257" i="55" s="1"/>
  <c r="A257" i="55" l="1"/>
  <c r="B258" i="55"/>
  <c r="B259" i="55" s="1"/>
  <c r="A256" i="55"/>
  <c r="B260" i="55" l="1"/>
  <c r="A259" i="55"/>
  <c r="A258" i="55"/>
  <c r="A260" i="55" l="1"/>
  <c r="B261" i="55"/>
  <c r="A261" i="55" l="1"/>
  <c r="B262" i="55"/>
  <c r="A262" i="55" l="1"/>
  <c r="B263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s="1"/>
  <c r="A277" i="55" l="1"/>
  <c r="B278" i="55"/>
  <c r="A276" i="55"/>
  <c r="A278" i="55" l="1"/>
  <c r="B279" i="55"/>
  <c r="A279" i="55" l="1"/>
  <c r="B280" i="55"/>
  <c r="B281" i="55" l="1"/>
  <c r="A280" i="55"/>
  <c r="A281" i="55" l="1"/>
  <c r="B282" i="55"/>
  <c r="A282" i="55" l="1"/>
  <c r="B283" i="55"/>
  <c r="A283" i="55" l="1"/>
  <c r="B284" i="55"/>
  <c r="A284" i="55" l="1"/>
  <c r="B285" i="55"/>
  <c r="B286" i="55" l="1"/>
  <c r="A285" i="55"/>
  <c r="B287" i="55" l="1"/>
  <c r="A286" i="55"/>
  <c r="B288" i="55" l="1"/>
  <c r="A287" i="55"/>
  <c r="B289" i="55" l="1"/>
  <c r="B290" i="55" s="1"/>
  <c r="A288" i="55"/>
  <c r="A290" i="55" l="1"/>
  <c r="B291" i="55"/>
  <c r="A289" i="55"/>
  <c r="B292" i="55" l="1"/>
  <c r="A291" i="55"/>
  <c r="A292" i="55" l="1"/>
  <c r="B293" i="55"/>
  <c r="A293" i="55" l="1"/>
  <c r="B294" i="55"/>
  <c r="A294" i="55" l="1"/>
  <c r="B295" i="55"/>
  <c r="B296" i="55" l="1"/>
  <c r="A295" i="55"/>
  <c r="A296" i="55" l="1"/>
  <c r="B297" i="55"/>
  <c r="B298" i="55" s="1"/>
  <c r="A298" i="55" l="1"/>
  <c r="B299" i="55"/>
  <c r="A297" i="55"/>
  <c r="A299" i="55" l="1"/>
  <c r="B300" i="55"/>
  <c r="B301" i="55" s="1"/>
  <c r="A301" i="55" l="1"/>
  <c r="B302" i="55"/>
  <c r="A300" i="55"/>
  <c r="A302" i="55" l="1"/>
  <c r="B303" i="55"/>
  <c r="B304" i="55" l="1"/>
  <c r="A303" i="55"/>
  <c r="B305" i="55" l="1"/>
  <c r="A304" i="55"/>
  <c r="B306" i="55" l="1"/>
  <c r="A305" i="55"/>
  <c r="B307" i="55" l="1"/>
  <c r="A306" i="55"/>
  <c r="A307" i="55" l="1"/>
  <c r="B308" i="55"/>
  <c r="A308" i="55" l="1"/>
  <c r="B309" i="55"/>
  <c r="B310" i="55" l="1"/>
  <c r="A309" i="55"/>
  <c r="B311" i="55" l="1"/>
  <c r="A310" i="55"/>
  <c r="B312" i="55" l="1"/>
  <c r="A311" i="55"/>
  <c r="A312" i="55" l="1"/>
  <c r="B313" i="55"/>
  <c r="A313" i="55" l="1"/>
  <c r="B314" i="55"/>
  <c r="B315" i="55" l="1"/>
  <c r="A314" i="55"/>
  <c r="A315" i="55" l="1"/>
  <c r="B316" i="55"/>
  <c r="B317" i="55" s="1"/>
  <c r="A317" i="55" l="1"/>
  <c r="B318" i="55"/>
  <c r="A316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A325" i="55" l="1"/>
  <c r="B326" i="55"/>
  <c r="B327" i="55" l="1"/>
  <c r="A326" i="55"/>
  <c r="B328" i="55" l="1"/>
  <c r="A327" i="55"/>
  <c r="A328" i="55" l="1"/>
  <c r="B329" i="55"/>
  <c r="A329" i="55" l="1"/>
  <c r="B330" i="55"/>
  <c r="B331" i="55" l="1"/>
  <c r="A330" i="55"/>
  <c r="B332" i="55" l="1"/>
  <c r="A331" i="55"/>
  <c r="B333" i="55" l="1"/>
  <c r="A332" i="55"/>
  <c r="A333" i="55" l="1"/>
  <c r="B334" i="55"/>
  <c r="B335" i="55" l="1"/>
  <c r="A334" i="55"/>
  <c r="A335" i="55" l="1"/>
  <c r="B336" i="55"/>
  <c r="A336" i="55" l="1"/>
  <c r="B337" i="55"/>
  <c r="B338" i="55" l="1"/>
  <c r="A337" i="55"/>
  <c r="B339" i="55" l="1"/>
  <c r="A338" i="55"/>
  <c r="A339" i="55" l="1"/>
  <c r="B340" i="55"/>
  <c r="A340" i="55" l="1"/>
  <c r="B341" i="55"/>
  <c r="A341" i="55" l="1"/>
  <c r="B342" i="55"/>
  <c r="B343" i="55" l="1"/>
  <c r="A342" i="55"/>
  <c r="A343" i="55" l="1"/>
  <c r="B344" i="55"/>
  <c r="A344" i="55" l="1"/>
  <c r="B345" i="55"/>
  <c r="A345" i="55" l="1"/>
  <c r="B346" i="55"/>
  <c r="A346" i="55" l="1"/>
  <c r="B347" i="55"/>
  <c r="B348" i="55" l="1"/>
  <c r="A347" i="55"/>
  <c r="A348" i="55" l="1"/>
  <c r="B349" i="55"/>
  <c r="B350" i="55" l="1"/>
  <c r="A349" i="55"/>
  <c r="A350" i="55" l="1"/>
  <c r="B351" i="55"/>
  <c r="B352" i="55" l="1"/>
  <c r="A351" i="55"/>
  <c r="B353" i="55" l="1"/>
  <c r="A352" i="55"/>
  <c r="A353" i="55" l="1"/>
  <c r="B354" i="55"/>
  <c r="A354" i="55" l="1"/>
  <c r="B355" i="55"/>
  <c r="B356" i="55" l="1"/>
  <c r="A355" i="55"/>
  <c r="A356" i="55" l="1"/>
  <c r="B357" i="55"/>
  <c r="A357" i="55" l="1"/>
  <c r="B358" i="55"/>
  <c r="B359" i="55" l="1"/>
  <c r="A358" i="55"/>
  <c r="A359" i="55" l="1"/>
  <c r="B360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A366" i="55" l="1"/>
  <c r="B367" i="55"/>
  <c r="A367" i="55" l="1"/>
  <c r="B368" i="55"/>
  <c r="A368" i="55" l="1"/>
  <c r="B369" i="55"/>
  <c r="B370" i="55" l="1"/>
  <c r="A369" i="55"/>
  <c r="A370" i="55" l="1"/>
  <c r="B371" i="55"/>
  <c r="A371" i="55" l="1"/>
  <c r="B372" i="55"/>
  <c r="B373" i="55" l="1"/>
  <c r="A372" i="55"/>
  <c r="B374" i="55" l="1"/>
  <c r="A373" i="55"/>
  <c r="A374" i="55" l="1"/>
  <c r="B375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A381" i="55" l="1"/>
  <c r="B382" i="55"/>
  <c r="A382" i="55" l="1"/>
  <c r="B383" i="55"/>
  <c r="A383" i="55" l="1"/>
  <c r="B384" i="55"/>
  <c r="A384" i="55" l="1"/>
  <c r="B385" i="55"/>
  <c r="B386" i="55" l="1"/>
  <c r="A385" i="55"/>
  <c r="A386" i="55" l="1"/>
  <c r="B387" i="55"/>
  <c r="A387" i="55" l="1"/>
  <c r="B388" i="55"/>
  <c r="B389" i="55" l="1"/>
  <c r="A388" i="55"/>
  <c r="A389" i="55" l="1"/>
  <c r="B390" i="55"/>
  <c r="B391" i="55" l="1"/>
  <c r="A390" i="55"/>
  <c r="A391" i="55" l="1"/>
  <c r="B392" i="55"/>
  <c r="B393" i="55" l="1"/>
  <c r="A392" i="55"/>
  <c r="A393" i="55" l="1"/>
  <c r="B394" i="55"/>
  <c r="B395" i="55" l="1"/>
  <c r="A394" i="55"/>
  <c r="A395" i="55" l="1"/>
  <c r="B396" i="55"/>
  <c r="B397" i="55" l="1"/>
  <c r="A396" i="55"/>
  <c r="A397" i="55" l="1"/>
  <c r="B398" i="55"/>
  <c r="A398" i="55" l="1"/>
  <c r="B399" i="55"/>
  <c r="B400" i="55" l="1"/>
  <c r="A399" i="55"/>
  <c r="A400" i="55" l="1"/>
  <c r="B401" i="55"/>
  <c r="A401" i="55" l="1"/>
  <c r="B402" i="55"/>
  <c r="A402" i="55" l="1"/>
  <c r="B403" i="55"/>
  <c r="B404" i="55" l="1"/>
  <c r="A403" i="55"/>
  <c r="A404" i="55" l="1"/>
  <c r="B405" i="55"/>
  <c r="A405" i="55" l="1"/>
  <c r="B406" i="55"/>
  <c r="A406" i="55" l="1"/>
  <c r="B407" i="55"/>
  <c r="A407" i="55" l="1"/>
  <c r="B408" i="55"/>
  <c r="B409" i="55" l="1"/>
  <c r="A408" i="55"/>
  <c r="A409" i="55" l="1"/>
  <c r="B410" i="55"/>
  <c r="A410" i="55" l="1"/>
  <c r="B411" i="55"/>
  <c r="A411" i="55" l="1"/>
  <c r="B412" i="55"/>
  <c r="B413" i="55" l="1"/>
  <c r="A412" i="55"/>
  <c r="A413" i="55" l="1"/>
  <c r="B414" i="55"/>
  <c r="B415" i="55" l="1"/>
  <c r="A414" i="55"/>
  <c r="B416" i="55" l="1"/>
  <c r="A415" i="55"/>
  <c r="B417" i="55" l="1"/>
  <c r="A416" i="55"/>
  <c r="A417" i="55" l="1"/>
  <c r="B418" i="55"/>
  <c r="B419" i="55" l="1"/>
  <c r="A418" i="55"/>
  <c r="B420" i="55" l="1"/>
  <c r="A419" i="55"/>
  <c r="B421" i="55" l="1"/>
  <c r="A420" i="55"/>
  <c r="A421" i="55" l="1"/>
  <c r="B422" i="55"/>
  <c r="A422" i="55" l="1"/>
  <c r="B423" i="55"/>
  <c r="B424" i="55" l="1"/>
  <c r="A423" i="55"/>
  <c r="A424" i="55" l="1"/>
  <c r="B425" i="55"/>
  <c r="B426" i="55" l="1"/>
  <c r="A425" i="55"/>
  <c r="A426" i="55" l="1"/>
  <c r="B427" i="55"/>
  <c r="A427" i="55" l="1"/>
  <c r="B428" i="55"/>
  <c r="A428" i="55" l="1"/>
  <c r="B429" i="55"/>
  <c r="B430" i="55" l="1"/>
  <c r="A429" i="55"/>
  <c r="A430" i="55" l="1"/>
  <c r="B431" i="55"/>
  <c r="A431" i="55" l="1"/>
  <c r="B432" i="55"/>
  <c r="A432" i="55" l="1"/>
  <c r="B433" i="55"/>
  <c r="A433" i="55" l="1"/>
  <c r="B434" i="55"/>
  <c r="A434" i="55" l="1"/>
  <c r="B435" i="55"/>
  <c r="B436" i="55" l="1"/>
  <c r="A435" i="55"/>
  <c r="B437" i="55" l="1"/>
  <c r="A436" i="55"/>
  <c r="A437" i="55" l="1"/>
  <c r="B438" i="55"/>
  <c r="B439" i="55" l="1"/>
  <c r="A438" i="55"/>
  <c r="A439" i="55" l="1"/>
  <c r="B440" i="55"/>
  <c r="B441" i="55" l="1"/>
  <c r="A440" i="55"/>
  <c r="B442" i="55" l="1"/>
  <c r="A441" i="55"/>
  <c r="A442" i="55" l="1"/>
  <c r="B443" i="55"/>
  <c r="B444" i="55" l="1"/>
  <c r="A443" i="55"/>
  <c r="A444" i="55" l="1"/>
  <c r="B445" i="55"/>
  <c r="B446" i="55" l="1"/>
  <c r="A445" i="55"/>
  <c r="A446" i="55" l="1"/>
  <c r="B447" i="55"/>
  <c r="A447" i="55" l="1"/>
  <c r="B448" i="55"/>
  <c r="B449" i="55" l="1"/>
  <c r="A448" i="55"/>
  <c r="A449" i="55" l="1"/>
  <c r="B450" i="55"/>
  <c r="A450" i="55" l="1"/>
  <c r="B451" i="55"/>
  <c r="A451" i="55" l="1"/>
  <c r="B452" i="55"/>
  <c r="A452" i="55" l="1"/>
  <c r="B453" i="55"/>
  <c r="A453" i="55" l="1"/>
  <c r="B454" i="55"/>
  <c r="A454" i="55" l="1"/>
  <c r="B455" i="55"/>
  <c r="B456" i="55" l="1"/>
  <c r="A455" i="55"/>
  <c r="B457" i="55" l="1"/>
  <c r="A456" i="55"/>
  <c r="A457" i="55" l="1"/>
  <c r="B458" i="55"/>
  <c r="B459" i="55" l="1"/>
  <c r="A458" i="55"/>
  <c r="B460" i="55" l="1"/>
  <c r="A459" i="55"/>
  <c r="A460" i="55" l="1"/>
  <c r="B461" i="55"/>
  <c r="A461" i="55" l="1"/>
  <c r="B462" i="55"/>
  <c r="B463" i="55" l="1"/>
  <c r="A462" i="55"/>
  <c r="B464" i="55" l="1"/>
  <c r="A463" i="55"/>
  <c r="A464" i="55" l="1"/>
  <c r="B465" i="55"/>
  <c r="B466" i="55" l="1"/>
  <c r="A465" i="55"/>
  <c r="A466" i="55" l="1"/>
  <c r="B467" i="55"/>
  <c r="A467" i="55" l="1"/>
  <c r="B468" i="55"/>
  <c r="B469" i="55" s="1"/>
  <c r="A469" i="55" l="1"/>
  <c r="B470" i="55"/>
  <c r="A468" i="55"/>
  <c r="A470" i="55" l="1"/>
  <c r="B471" i="55"/>
  <c r="A471" i="55" l="1"/>
  <c r="B472" i="55"/>
  <c r="B473" i="55" l="1"/>
  <c r="A472" i="55"/>
  <c r="A473" i="55" l="1"/>
  <c r="B474" i="55"/>
  <c r="B475" i="55" l="1"/>
  <c r="A474" i="55"/>
  <c r="B476" i="55" l="1"/>
  <c r="A475" i="55"/>
  <c r="A476" i="55" l="1"/>
  <c r="B477" i="55"/>
  <c r="B478" i="55" s="1"/>
  <c r="B479" i="55" l="1"/>
  <c r="A478" i="55"/>
  <c r="A477" i="55"/>
  <c r="B480" i="55" l="1"/>
  <c r="A479" i="55"/>
  <c r="A480" i="55" l="1"/>
  <c r="B481" i="55"/>
  <c r="B482" i="55" l="1"/>
  <c r="A481" i="55"/>
  <c r="B483" i="55" l="1"/>
  <c r="A483" i="55" s="1"/>
  <c r="A482" i="55"/>
  <c r="A348" i="60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J55" i="55" l="1" a="1"/>
  <c r="J55" i="55" s="1"/>
  <c r="K2847" i="34"/>
  <c r="J102" i="55" s="1" a="1"/>
  <c r="J102" i="55" s="1"/>
  <c r="J371" i="55" a="1"/>
  <c r="J371" i="55" s="1"/>
  <c r="J176" i="55" a="1"/>
  <c r="J176" i="55" s="1"/>
  <c r="J107" i="55" a="1"/>
  <c r="J107" i="55" s="1"/>
  <c r="J349" i="55" a="1"/>
  <c r="J349" i="55" s="1"/>
  <c r="J419" i="55" a="1"/>
  <c r="J419" i="55" s="1"/>
  <c r="J311" i="55" a="1"/>
  <c r="J311" i="55" s="1"/>
  <c r="J68" i="55" a="1"/>
  <c r="J68" i="55" s="1"/>
  <c r="J112" i="55" a="1"/>
  <c r="J112" i="55" s="1"/>
  <c r="J338" i="55" a="1"/>
  <c r="J338" i="55" s="1"/>
  <c r="J411" i="55" a="1"/>
  <c r="J411" i="55" s="1"/>
  <c r="J305" i="55" a="1"/>
  <c r="J305" i="55" s="1"/>
  <c r="J236" i="55" a="1"/>
  <c r="J236" i="55" s="1"/>
  <c r="J400" i="55" a="1"/>
  <c r="J400" i="55" s="1"/>
  <c r="J378" i="55" a="1"/>
  <c r="J378" i="55" s="1"/>
  <c r="J144" i="55" a="1"/>
  <c r="J144" i="55" s="1"/>
  <c r="J387" i="55" a="1"/>
  <c r="J387" i="55" s="1"/>
  <c r="J41" i="55" a="1"/>
  <c r="J41" i="55" s="1"/>
  <c r="J145" i="55" a="1"/>
  <c r="J145" i="55" s="1"/>
  <c r="J56" i="55" a="1"/>
  <c r="J56" i="55" s="1"/>
  <c r="J49" i="55" a="1"/>
  <c r="J49" i="55" s="1"/>
  <c r="J410" i="55" a="1"/>
  <c r="J410" i="55" s="1"/>
  <c r="J50" i="55" a="1"/>
  <c r="J50" i="55" s="1"/>
  <c r="J64" i="55" a="1"/>
  <c r="J64" i="55" s="1"/>
  <c r="F47" i="15" a="1"/>
  <c r="F47" i="15" s="1"/>
  <c r="J382" i="55" a="1"/>
  <c r="J382" i="55" s="1"/>
  <c r="J71" i="55" a="1"/>
  <c r="J71" i="55" s="1"/>
  <c r="J185" i="55" a="1"/>
  <c r="J185" i="55" s="1"/>
  <c r="J163" i="55" a="1"/>
  <c r="J163" i="55" s="1"/>
  <c r="J114" i="55" a="1"/>
  <c r="J114" i="55" s="1"/>
  <c r="J391" i="55" a="1"/>
  <c r="J391" i="55" s="1"/>
  <c r="J126" i="55" a="1"/>
  <c r="J126" i="55" s="1"/>
  <c r="J259" i="55" a="1"/>
  <c r="J259" i="55" s="1"/>
  <c r="J293" i="55" a="1"/>
  <c r="J293" i="55" s="1"/>
  <c r="J234" i="55" a="1"/>
  <c r="J234" i="55" s="1"/>
  <c r="J448" i="55" a="1"/>
  <c r="J448" i="55" s="1"/>
  <c r="J140" i="55" a="1"/>
  <c r="J140" i="55" s="1"/>
  <c r="J32" i="55" a="1"/>
  <c r="J32" i="55" s="1"/>
  <c r="J53" i="55" a="1"/>
  <c r="J53" i="55" s="1"/>
  <c r="J179" i="55" a="1"/>
  <c r="J179" i="55" s="1"/>
  <c r="J34" i="55" a="1"/>
  <c r="J34" i="55" s="1"/>
  <c r="J347" i="55" a="1"/>
  <c r="J347" i="55" s="1"/>
  <c r="J181" i="55" a="1"/>
  <c r="J181" i="55" s="1"/>
  <c r="J81" i="55" a="1"/>
  <c r="J81" i="55" s="1"/>
  <c r="J453" i="55" a="1"/>
  <c r="J453" i="55" s="1"/>
  <c r="J89" i="55" a="1"/>
  <c r="J89" i="55" s="1"/>
  <c r="J346" i="55" a="1"/>
  <c r="J346" i="55" s="1"/>
  <c r="J310" i="55" a="1"/>
  <c r="J310" i="55" s="1"/>
  <c r="J425" i="55" a="1"/>
  <c r="J425" i="55" s="1"/>
  <c r="D13" i="39"/>
  <c r="J94" i="55" a="1"/>
  <c r="J94" i="55" s="1"/>
  <c r="J19" i="55" a="1"/>
  <c r="J19" i="55" s="1"/>
  <c r="J285" i="55" a="1"/>
  <c r="J285" i="55" s="1"/>
  <c r="J61" i="55" a="1"/>
  <c r="J61" i="55" s="1"/>
  <c r="J446" i="55" a="1"/>
  <c r="J446" i="55" s="1"/>
  <c r="J417" i="55" a="1"/>
  <c r="J417" i="55" s="1"/>
  <c r="J188" i="55" a="1"/>
  <c r="J188" i="55" s="1"/>
  <c r="J320" i="55" a="1"/>
  <c r="J320" i="55" s="1"/>
  <c r="J75" i="55" a="1"/>
  <c r="J75" i="55" s="1"/>
  <c r="J54" i="55" a="1"/>
  <c r="J54" i="55" s="1"/>
  <c r="J164" i="55" a="1"/>
  <c r="J164" i="55" s="1"/>
  <c r="J58" i="55" a="1"/>
  <c r="J58" i="55" s="1"/>
  <c r="J168" i="55" a="1"/>
  <c r="J168" i="55" s="1"/>
  <c r="J307" i="55" a="1"/>
  <c r="J307" i="55" s="1"/>
  <c r="J101" i="55" a="1"/>
  <c r="J101" i="55" s="1"/>
  <c r="J111" i="55" a="1"/>
  <c r="J111" i="55" s="1"/>
  <c r="J80" i="55" a="1"/>
  <c r="J80" i="55" s="1"/>
  <c r="J444" i="55" a="1"/>
  <c r="J444" i="55" s="1"/>
  <c r="J84" i="55" a="1"/>
  <c r="J84" i="55" s="1"/>
  <c r="J197" i="55" a="1"/>
  <c r="J197" i="55" s="1"/>
  <c r="J232" i="55" a="1"/>
  <c r="J232" i="55" s="1"/>
  <c r="J282" i="55" a="1"/>
  <c r="J282" i="55" s="1"/>
  <c r="J123" i="55" a="1"/>
  <c r="J123" i="55" s="1"/>
  <c r="J367" i="55" a="1"/>
  <c r="J367" i="55" s="1"/>
  <c r="J430" i="55" a="1"/>
  <c r="J430" i="55" s="1"/>
  <c r="J343" i="55" a="1"/>
  <c r="J343" i="55" s="1"/>
  <c r="J46" i="55" a="1"/>
  <c r="J46" i="55" s="1"/>
  <c r="J83" i="55" a="1"/>
  <c r="J83" i="55" s="1"/>
  <c r="J360" i="55" a="1"/>
  <c r="J360" i="55" s="1"/>
  <c r="F48" i="15" a="1"/>
  <c r="F48" i="15" s="1"/>
  <c r="J73" i="55" a="1"/>
  <c r="J73" i="55" s="1"/>
  <c r="J30" i="55" a="1"/>
  <c r="J30" i="55" s="1"/>
  <c r="F50" i="15" a="1"/>
  <c r="F50" i="15" s="1"/>
  <c r="J43" i="55" a="1"/>
  <c r="J43" i="55" s="1"/>
  <c r="J135" i="55" a="1"/>
  <c r="J135" i="55" s="1"/>
  <c r="J390" i="55" a="1"/>
  <c r="J390" i="55" s="1"/>
  <c r="J436" i="55" a="1"/>
  <c r="J436" i="55" s="1"/>
  <c r="J42" i="55" a="1"/>
  <c r="J42" i="55" s="1"/>
  <c r="J268" i="55" a="1"/>
  <c r="J268" i="55" s="1"/>
  <c r="J174" i="55" a="1"/>
  <c r="J174" i="55" s="1"/>
  <c r="J223" i="55" a="1"/>
  <c r="J223" i="55" s="1"/>
  <c r="J262" i="55" a="1"/>
  <c r="J262" i="55" s="1"/>
  <c r="J215" i="55" a="1"/>
  <c r="J215" i="55" s="1"/>
  <c r="J96" i="55" a="1"/>
  <c r="J96" i="55" s="1"/>
  <c r="J216" i="55" a="1"/>
  <c r="J216" i="55" s="1"/>
  <c r="J95" i="55" a="1"/>
  <c r="J95" i="55" s="1"/>
  <c r="J455" i="55" a="1"/>
  <c r="J455" i="55" s="1"/>
  <c r="J213" i="55" a="1"/>
  <c r="J213" i="55" s="1"/>
  <c r="J23" i="55" a="1"/>
  <c r="J23" i="55" s="1"/>
  <c r="J13" i="55" a="1"/>
  <c r="J13" i="55" s="1"/>
  <c r="J21" i="55" a="1"/>
  <c r="J21" i="55" s="1"/>
  <c r="J420" i="55" a="1"/>
  <c r="J420" i="55" s="1"/>
  <c r="J289" i="55" a="1"/>
  <c r="J289" i="55" s="1"/>
  <c r="J418" i="55" a="1"/>
  <c r="J418" i="55" s="1"/>
  <c r="J44" i="55" a="1"/>
  <c r="J44" i="55" s="1"/>
  <c r="F45" i="15" a="1"/>
  <c r="F45" i="15" s="1"/>
  <c r="J324" i="55" a="1"/>
  <c r="J324" i="55" s="1"/>
  <c r="J426" i="55" a="1"/>
  <c r="J426" i="55" s="1"/>
  <c r="J416" i="55" a="1"/>
  <c r="J416" i="55" s="1"/>
  <c r="J165" i="55" a="1"/>
  <c r="J165" i="55" s="1"/>
  <c r="J463" i="55" a="1"/>
  <c r="J463" i="55" s="1"/>
  <c r="J228" i="55" a="1"/>
  <c r="J228" i="55" s="1"/>
  <c r="J224" i="55" a="1"/>
  <c r="J224" i="55" s="1"/>
  <c r="J186" i="55" a="1"/>
  <c r="J186" i="55" s="1"/>
  <c r="J276" i="55" a="1"/>
  <c r="J276" i="55" s="1"/>
  <c r="J221" i="55" a="1"/>
  <c r="J221" i="55" s="1"/>
  <c r="J173" i="55" a="1"/>
  <c r="J173" i="55" s="1"/>
  <c r="J470" i="55" a="1"/>
  <c r="J470" i="55" s="1"/>
  <c r="J462" i="55" a="1"/>
  <c r="J462" i="55" s="1"/>
  <c r="J404" i="55" a="1"/>
  <c r="J404" i="55" s="1"/>
  <c r="J275" i="55" a="1"/>
  <c r="J275" i="55" s="1"/>
  <c r="J468" i="55" a="1"/>
  <c r="J468" i="55" s="1"/>
  <c r="J467" i="55" a="1"/>
  <c r="J467" i="55" s="1"/>
  <c r="J204" i="55" a="1"/>
  <c r="J204" i="55" s="1"/>
  <c r="J329" i="55" a="1"/>
  <c r="J329" i="55" s="1"/>
  <c r="J384" i="55" a="1"/>
  <c r="J384" i="55" s="1"/>
  <c r="J177" i="55" a="1"/>
  <c r="J177" i="55" s="1"/>
  <c r="J266" i="55" a="1"/>
  <c r="J266" i="55" s="1"/>
  <c r="J375" i="55" a="1"/>
  <c r="J375" i="55" s="1"/>
  <c r="J428" i="55" a="1"/>
  <c r="J428" i="55" s="1"/>
  <c r="J25" i="55" a="1"/>
  <c r="J25" i="55" s="1"/>
  <c r="J138" i="55" a="1"/>
  <c r="J138" i="55" s="1"/>
  <c r="J124" i="55" a="1"/>
  <c r="J124" i="55" s="1"/>
  <c r="J37" i="55" a="1"/>
  <c r="J37" i="55" s="1"/>
  <c r="J76" i="55" a="1"/>
  <c r="J76" i="55" s="1"/>
  <c r="J332" i="55" a="1"/>
  <c r="J332" i="55" s="1"/>
  <c r="J422" i="55" a="1"/>
  <c r="J422" i="55" s="1"/>
  <c r="J92" i="55" a="1"/>
  <c r="J92" i="55" s="1"/>
  <c r="J353" i="55" a="1"/>
  <c r="J353" i="55" s="1"/>
  <c r="J424" i="55" a="1"/>
  <c r="J424" i="55" s="1"/>
  <c r="J294" i="55" a="1"/>
  <c r="J294" i="55" s="1"/>
  <c r="J372" i="55" a="1"/>
  <c r="J372" i="55" s="1"/>
  <c r="J456" i="55" a="1"/>
  <c r="J456" i="55" s="1"/>
  <c r="J14" i="55" a="1"/>
  <c r="J14" i="55" s="1"/>
  <c r="J450" i="55" a="1"/>
  <c r="J450" i="55" s="1"/>
  <c r="J306" i="55" a="1"/>
  <c r="J306" i="55" s="1"/>
  <c r="J244" i="55" a="1"/>
  <c r="J244" i="55" s="1"/>
  <c r="J471" i="55" a="1"/>
  <c r="J471" i="55" s="1"/>
  <c r="J459" i="55" a="1"/>
  <c r="J459" i="55" s="1"/>
  <c r="J194" i="55" a="1"/>
  <c r="J194" i="55" s="1"/>
  <c r="J271" i="55" a="1"/>
  <c r="J271" i="55" s="1"/>
  <c r="J325" i="55" a="1"/>
  <c r="J325" i="55" s="1"/>
  <c r="J218" i="55" a="1"/>
  <c r="J218" i="55" s="1"/>
  <c r="J187" i="55" a="1"/>
  <c r="J187" i="55" s="1"/>
  <c r="J443" i="55" a="1"/>
  <c r="J443" i="55" s="1"/>
  <c r="J314" i="55" a="1"/>
  <c r="J314" i="55" s="1"/>
  <c r="J442" i="55" a="1"/>
  <c r="J442" i="55" s="1"/>
  <c r="J65" i="55" a="1"/>
  <c r="J65" i="55" s="1"/>
  <c r="J284" i="55" a="1"/>
  <c r="J284" i="55" s="1"/>
  <c r="J39" i="55" a="1"/>
  <c r="J39" i="55" s="1"/>
  <c r="J20" i="55" a="1"/>
  <c r="J20" i="55" s="1"/>
  <c r="J115" i="55" a="1"/>
  <c r="J115" i="55" s="1"/>
  <c r="J368" i="55" a="1"/>
  <c r="J368" i="55" s="1"/>
  <c r="J414" i="55" a="1"/>
  <c r="J414" i="55" s="1"/>
  <c r="J394" i="55" a="1"/>
  <c r="J394" i="55" s="1"/>
  <c r="J87" i="55" a="1"/>
  <c r="J87" i="55" s="1"/>
  <c r="J451" i="55" a="1"/>
  <c r="J451" i="55" s="1"/>
  <c r="J24" i="55" a="1"/>
  <c r="J24" i="55" s="1"/>
  <c r="J370" i="55" a="1"/>
  <c r="J370" i="55" s="1"/>
  <c r="J146" i="55" a="1"/>
  <c r="J146" i="55" s="1"/>
  <c r="J423" i="55" a="1"/>
  <c r="J423" i="55" s="1"/>
  <c r="J477" i="55" a="1"/>
  <c r="J477" i="55" s="1"/>
  <c r="J255" i="55" a="1"/>
  <c r="J255" i="55" s="1"/>
  <c r="J439" i="55" a="1"/>
  <c r="J439" i="55" s="1"/>
  <c r="J315" i="55" a="1"/>
  <c r="J315" i="55" s="1"/>
  <c r="J249" i="55" a="1"/>
  <c r="J249" i="55" s="1"/>
  <c r="J447" i="55" a="1"/>
  <c r="J447" i="55" s="1"/>
  <c r="J200" i="55" a="1"/>
  <c r="J200" i="55" s="1"/>
  <c r="J473" i="55" a="1"/>
  <c r="J473" i="55" s="1"/>
  <c r="J458" i="55" a="1"/>
  <c r="J458" i="55" s="1"/>
  <c r="J175" i="55" a="1"/>
  <c r="J175" i="55" s="1"/>
  <c r="J170" i="55" a="1"/>
  <c r="J170" i="55" s="1"/>
  <c r="J252" i="55" a="1"/>
  <c r="J252" i="55" s="1"/>
  <c r="J438" i="55" a="1"/>
  <c r="J438" i="55" s="1"/>
  <c r="J359" i="55" a="1"/>
  <c r="J359" i="55" s="1"/>
  <c r="J62" i="55" a="1"/>
  <c r="J62" i="55" s="1"/>
  <c r="J153" i="55" a="1"/>
  <c r="J153" i="55" s="1"/>
  <c r="J109" i="55" a="1"/>
  <c r="J109" i="55" s="1"/>
  <c r="J226" i="55" a="1"/>
  <c r="J226" i="55" s="1"/>
  <c r="J398" i="55" a="1"/>
  <c r="J398" i="55" s="1"/>
  <c r="J86" i="55" a="1"/>
  <c r="J86" i="55" s="1"/>
  <c r="J103" i="55" a="1"/>
  <c r="J103" i="55" s="1"/>
  <c r="J300" i="55" a="1"/>
  <c r="J300" i="55" s="1"/>
  <c r="J322" i="55" a="1"/>
  <c r="J322" i="55" s="1"/>
  <c r="J379" i="55" a="1"/>
  <c r="J379" i="55" s="1"/>
  <c r="J454" i="55" a="1"/>
  <c r="J454" i="55" s="1"/>
  <c r="J434" i="55" a="1"/>
  <c r="J434" i="55" s="1"/>
  <c r="J269" i="55" a="1"/>
  <c r="J269" i="55" s="1"/>
  <c r="J67" i="55" a="1"/>
  <c r="J67" i="55" s="1"/>
  <c r="J366" i="55" a="1"/>
  <c r="J366" i="55" s="1"/>
  <c r="J243" i="55" a="1"/>
  <c r="J243" i="55" s="1"/>
  <c r="J336" i="55" a="1"/>
  <c r="J336" i="55" s="1"/>
  <c r="J264" i="55" a="1"/>
  <c r="J264" i="55" s="1"/>
  <c r="J225" i="55" a="1"/>
  <c r="J225" i="55" s="1"/>
  <c r="J335" i="55" a="1"/>
  <c r="J335" i="55" s="1"/>
  <c r="J203" i="55" a="1"/>
  <c r="J203" i="55" s="1"/>
  <c r="J292" i="55" a="1"/>
  <c r="J292" i="55" s="1"/>
  <c r="J239" i="55" a="1"/>
  <c r="J239" i="55" s="1"/>
  <c r="J287" i="55" a="1"/>
  <c r="J287" i="55" s="1"/>
  <c r="J90" i="55" a="1"/>
  <c r="J90" i="55" s="1"/>
  <c r="J472" i="55" a="1"/>
  <c r="J472" i="55" s="1"/>
  <c r="J229" i="55" a="1"/>
  <c r="J229" i="55" s="1"/>
  <c r="J178" i="55" a="1"/>
  <c r="J178" i="55" s="1"/>
  <c r="J317" i="55" a="1"/>
  <c r="J317" i="55" s="1"/>
  <c r="J316" i="55" a="1"/>
  <c r="J316" i="55" s="1"/>
  <c r="J319" i="55" a="1"/>
  <c r="J319" i="55" s="1"/>
  <c r="J279" i="55" a="1"/>
  <c r="J279" i="55" s="1"/>
  <c r="J405" i="55" a="1"/>
  <c r="J405" i="55" s="1"/>
  <c r="J474" i="55" a="1"/>
  <c r="J474" i="55" s="1"/>
  <c r="J441" i="55" a="1"/>
  <c r="J441" i="55" s="1"/>
  <c r="J406" i="55" a="1"/>
  <c r="J406" i="55" s="1"/>
  <c r="J403" i="55" a="1"/>
  <c r="J403" i="55" s="1"/>
  <c r="J392" i="55" a="1"/>
  <c r="J392" i="55" s="1"/>
  <c r="J219" i="55" a="1"/>
  <c r="J219" i="55" s="1"/>
  <c r="J257" i="55" a="1"/>
  <c r="J257" i="55" s="1"/>
  <c r="J361" i="55" a="1"/>
  <c r="J361" i="55" s="1"/>
  <c r="J260" i="55" a="1"/>
  <c r="J260" i="55" s="1"/>
  <c r="J183" i="55" a="1"/>
  <c r="J183" i="55" s="1"/>
  <c r="J326" i="55" a="1"/>
  <c r="J326" i="55" s="1"/>
  <c r="J328" i="55" a="1"/>
  <c r="J328" i="55" s="1"/>
  <c r="J327" i="55" a="1"/>
  <c r="J327" i="55" s="1"/>
  <c r="J374" i="55" a="1"/>
  <c r="J374" i="55" s="1"/>
  <c r="J358" i="55" a="1"/>
  <c r="J358" i="55" s="1"/>
  <c r="J59" i="55" a="1"/>
  <c r="J59" i="55" s="1"/>
  <c r="J212" i="55" a="1"/>
  <c r="J212" i="55" s="1"/>
  <c r="J388" i="55" a="1"/>
  <c r="J388" i="55" s="1"/>
  <c r="J159" i="55" a="1"/>
  <c r="J159" i="55" s="1"/>
  <c r="J312" i="55" a="1"/>
  <c r="J312" i="55" s="1"/>
  <c r="J482" i="55" a="1"/>
  <c r="J482" i="55" s="1"/>
  <c r="J365" i="55" a="1"/>
  <c r="J365" i="55" s="1"/>
  <c r="J195" i="55" a="1"/>
  <c r="J195" i="55" s="1"/>
  <c r="J251" i="55" a="1"/>
  <c r="J251" i="55" s="1"/>
  <c r="J402" i="55" a="1"/>
  <c r="J402" i="55" s="1"/>
  <c r="J344" i="55" a="1"/>
  <c r="J344" i="55" s="1"/>
  <c r="J283" i="55" a="1"/>
  <c r="J283" i="55" s="1"/>
  <c r="J247" i="55" a="1"/>
  <c r="J247" i="55" s="1"/>
  <c r="J318" i="55" a="1"/>
  <c r="J318" i="55" s="1"/>
  <c r="J242" i="55" a="1"/>
  <c r="J242" i="55" s="1"/>
  <c r="J207" i="55" a="1"/>
  <c r="J207" i="55" s="1"/>
  <c r="J190" i="55" a="1"/>
  <c r="J190" i="55" s="1"/>
  <c r="J290" i="55" a="1"/>
  <c r="J290" i="55" s="1"/>
  <c r="J210" i="55" a="1"/>
  <c r="J210" i="55" s="1"/>
  <c r="J202" i="55" a="1"/>
  <c r="J202" i="55" s="1"/>
  <c r="J301" i="55" a="1"/>
  <c r="J301" i="55" s="1"/>
  <c r="J465" i="55" a="1"/>
  <c r="J465" i="55" s="1"/>
  <c r="J457" i="55" a="1"/>
  <c r="J457" i="55" s="1"/>
  <c r="J342" i="55" a="1"/>
  <c r="J342" i="55" s="1"/>
  <c r="J227" i="55" a="1"/>
  <c r="J227" i="55" s="1"/>
  <c r="J412" i="55" a="1"/>
  <c r="J412" i="55" s="1"/>
  <c r="J253" i="55" a="1"/>
  <c r="J253" i="55" s="1"/>
  <c r="J246" i="55" a="1"/>
  <c r="J246" i="55" s="1"/>
  <c r="J265" i="55" a="1"/>
  <c r="J265" i="55" s="1"/>
  <c r="J415" i="55" a="1"/>
  <c r="J415" i="55" s="1"/>
  <c r="J397" i="55" a="1"/>
  <c r="J397" i="55" s="1"/>
  <c r="J401" i="55" a="1"/>
  <c r="J401" i="55" s="1"/>
  <c r="J129" i="55" a="1"/>
  <c r="J129" i="55" s="1"/>
  <c r="J352" i="55" a="1"/>
  <c r="J352" i="55" s="1"/>
  <c r="J409" i="55" a="1"/>
  <c r="J409" i="55" s="1"/>
  <c r="J479" i="55" a="1"/>
  <c r="J479" i="55" s="1"/>
  <c r="J199" i="55" a="1"/>
  <c r="J199" i="55" s="1"/>
  <c r="J99" i="55" a="1"/>
  <c r="J99" i="55" s="1"/>
  <c r="J376" i="55" a="1"/>
  <c r="J376" i="55" s="1"/>
  <c r="J407" i="55" a="1"/>
  <c r="J407" i="55" s="1"/>
  <c r="J399" i="55" a="1"/>
  <c r="J399" i="55" s="1"/>
  <c r="J281" i="55" a="1"/>
  <c r="J281" i="55" s="1"/>
  <c r="J475" i="55" a="1"/>
  <c r="J475" i="55" s="1"/>
  <c r="J304" i="55" a="1"/>
  <c r="J304" i="55" s="1"/>
  <c r="J464" i="55" a="1"/>
  <c r="J464" i="55" s="1"/>
  <c r="J278" i="55" a="1"/>
  <c r="J278" i="55" s="1"/>
  <c r="J330" i="55" a="1"/>
  <c r="J330" i="55" s="1"/>
  <c r="J298" i="55" a="1"/>
  <c r="J298" i="55" s="1"/>
  <c r="J408" i="55" a="1"/>
  <c r="J408" i="55" s="1"/>
  <c r="J110" i="55" a="1"/>
  <c r="J110" i="55" s="1"/>
  <c r="J308" i="55" a="1"/>
  <c r="J308" i="55" s="1"/>
  <c r="J240" i="55" a="1"/>
  <c r="J240" i="55" s="1"/>
  <c r="J331" i="55" a="1"/>
  <c r="J331" i="55" s="1"/>
  <c r="J120" i="55" a="1"/>
  <c r="J120" i="55" s="1"/>
  <c r="J245" i="55" a="1"/>
  <c r="J245" i="55" s="1"/>
  <c r="J302" i="55" a="1"/>
  <c r="J302" i="55" s="1"/>
  <c r="J478" i="55" a="1"/>
  <c r="J478" i="55" s="1"/>
  <c r="J180" i="55" a="1"/>
  <c r="J180" i="55" s="1"/>
  <c r="J476" i="55" a="1"/>
  <c r="J476" i="55" s="1"/>
  <c r="J339" i="55" a="1"/>
  <c r="J339" i="55" s="1"/>
  <c r="J233" i="55" a="1"/>
  <c r="J233" i="55" s="1"/>
  <c r="J191" i="55" a="1"/>
  <c r="J191" i="55" s="1"/>
  <c r="J77" i="55" a="1"/>
  <c r="J77" i="55" s="1"/>
  <c r="J155" i="55" a="1"/>
  <c r="J155" i="55" s="1"/>
  <c r="J333" i="55" a="1"/>
  <c r="J333" i="55" s="1"/>
  <c r="J296" i="55" a="1"/>
  <c r="J296" i="55" s="1"/>
  <c r="J267" i="55" a="1"/>
  <c r="J267" i="55" s="1"/>
  <c r="J231" i="55" a="1"/>
  <c r="J231" i="55" s="1"/>
  <c r="J286" i="55" a="1"/>
  <c r="J286" i="55" s="1"/>
  <c r="J362" i="55" a="1"/>
  <c r="J362" i="55" s="1"/>
  <c r="J214" i="55" a="1"/>
  <c r="J214" i="55" s="1"/>
  <c r="J291" i="55" a="1"/>
  <c r="J291" i="55" s="1"/>
  <c r="J297" i="55" a="1"/>
  <c r="J297" i="55" s="1"/>
  <c r="J256" i="55" a="1"/>
  <c r="J256" i="55" s="1"/>
  <c r="J460" i="55" a="1"/>
  <c r="J460" i="55" s="1"/>
  <c r="J189" i="55" a="1"/>
  <c r="J189" i="55" s="1"/>
  <c r="J303" i="55" a="1"/>
  <c r="J303" i="55" s="1"/>
  <c r="J385" i="55" a="1"/>
  <c r="J385" i="55" s="1"/>
  <c r="J222" i="55" a="1"/>
  <c r="J222" i="55" s="1"/>
  <c r="J480" i="55" a="1"/>
  <c r="J480" i="55" s="1"/>
  <c r="J427" i="55" a="1"/>
  <c r="J427" i="55" s="1"/>
  <c r="J273" i="55" a="1"/>
  <c r="J273" i="55" s="1"/>
  <c r="J481" i="55" a="1"/>
  <c r="J481" i="55" s="1"/>
  <c r="J205" i="55" a="1"/>
  <c r="J205" i="55" s="1"/>
  <c r="J466" i="55" a="1"/>
  <c r="J466" i="55" s="1"/>
  <c r="J193" i="55" a="1"/>
  <c r="J193" i="55" s="1"/>
  <c r="J167" i="55" a="1"/>
  <c r="J167" i="55" s="1"/>
  <c r="J85" i="55" a="1"/>
  <c r="J85" i="55" s="1"/>
  <c r="J272" i="55" a="1"/>
  <c r="J272" i="55" s="1"/>
  <c r="J235" i="55" a="1"/>
  <c r="J235" i="55" s="1"/>
  <c r="J309" i="55" a="1"/>
  <c r="J309" i="55" s="1"/>
  <c r="J288" i="55" a="1"/>
  <c r="J288" i="55" s="1"/>
  <c r="J241" i="55" a="1"/>
  <c r="J241" i="55" s="1"/>
  <c r="J440" i="55" a="1"/>
  <c r="J440" i="55" s="1"/>
  <c r="J52" i="55" a="1"/>
  <c r="J52" i="55" s="1"/>
  <c r="J182" i="55" a="1"/>
  <c r="J182" i="55" s="1"/>
  <c r="J160" i="55" a="1"/>
  <c r="J160" i="55" s="1"/>
  <c r="J201" i="55" a="1"/>
  <c r="J201" i="55" s="1"/>
  <c r="J220" i="55" a="1"/>
  <c r="J220" i="55" s="1"/>
  <c r="H55" i="55" a="1"/>
  <c r="H55" i="55" s="1"/>
  <c r="L55" i="55" s="1"/>
  <c r="F14" i="12" a="1"/>
  <c r="F14" i="12" s="1"/>
  <c r="H425" i="55" a="1"/>
  <c r="H425" i="55" s="1"/>
  <c r="L425" i="55" s="1"/>
  <c r="H166" i="55" a="1"/>
  <c r="H166" i="55" s="1"/>
  <c r="H310" i="55" a="1"/>
  <c r="H310" i="55" s="1"/>
  <c r="L310" i="55" s="1"/>
  <c r="H41" i="55" a="1"/>
  <c r="H41" i="55" s="1"/>
  <c r="L41" i="55" s="1"/>
  <c r="H364" i="55" a="1"/>
  <c r="H364" i="55" s="1"/>
  <c r="E47" i="15" a="1"/>
  <c r="E47" i="15" s="1"/>
  <c r="I47" i="15" s="1"/>
  <c r="H446" i="55" a="1"/>
  <c r="H446" i="55" s="1"/>
  <c r="L446" i="55" s="1"/>
  <c r="J133" i="55" a="1"/>
  <c r="J133" i="55" s="1"/>
  <c r="J142" i="55" a="1"/>
  <c r="J142" i="55" s="1"/>
  <c r="F7" i="70" a="1"/>
  <c r="F7" i="70" s="1"/>
  <c r="H136" i="55" a="1"/>
  <c r="H136" i="55" s="1"/>
  <c r="H60" i="55" a="1"/>
  <c r="H60" i="55" s="1"/>
  <c r="H48" i="55" a="1"/>
  <c r="H48" i="55" s="1"/>
  <c r="H171" i="55" a="1"/>
  <c r="H171" i="55" s="1"/>
  <c r="H118" i="55" a="1"/>
  <c r="H118" i="55" s="1"/>
  <c r="H295" i="55" a="1"/>
  <c r="H295" i="55" s="1"/>
  <c r="J238" i="55" a="1"/>
  <c r="J238" i="55" s="1"/>
  <c r="J449" i="55" a="1"/>
  <c r="J449" i="55" s="1"/>
  <c r="H437" i="55" a="1"/>
  <c r="H437" i="55" s="1"/>
  <c r="H50" i="55" a="1"/>
  <c r="H50" i="55" s="1"/>
  <c r="L50" i="55" s="1"/>
  <c r="E48" i="15" a="1"/>
  <c r="E48" i="15" s="1"/>
  <c r="I48" i="15" s="1"/>
  <c r="H56" i="55" a="1"/>
  <c r="H56" i="55" s="1"/>
  <c r="L56" i="55" s="1"/>
  <c r="H162" i="55" a="1"/>
  <c r="H162" i="55" s="1"/>
  <c r="H130" i="55" a="1"/>
  <c r="H130" i="55" s="1"/>
  <c r="H111" i="55" a="1"/>
  <c r="H111" i="55" s="1"/>
  <c r="L111" i="55" s="1"/>
  <c r="J380" i="55" a="1"/>
  <c r="J380" i="55" s="1"/>
  <c r="J469" i="55" a="1"/>
  <c r="J469" i="55" s="1"/>
  <c r="H413" i="55" a="1"/>
  <c r="H413" i="55" s="1"/>
  <c r="F40" i="15" a="1"/>
  <c r="F40" i="15" s="1"/>
  <c r="F41" i="15" s="1"/>
  <c r="E44" i="15" a="1"/>
  <c r="E44" i="15" s="1"/>
  <c r="H35" i="55" a="1"/>
  <c r="H35" i="55" s="1"/>
  <c r="H340" i="55" a="1"/>
  <c r="H340" i="55" s="1"/>
  <c r="H354" i="55" a="1"/>
  <c r="H354" i="55" s="1"/>
  <c r="H208" i="55" a="1"/>
  <c r="H208" i="55" s="1"/>
  <c r="H321" i="55" a="1"/>
  <c r="H321" i="55" s="1"/>
  <c r="H313" i="55" a="1"/>
  <c r="H313" i="55" s="1"/>
  <c r="H263" i="55" a="1"/>
  <c r="H263" i="55" s="1"/>
  <c r="H417" i="55" a="1"/>
  <c r="H417" i="55" s="1"/>
  <c r="L417" i="55" s="1"/>
  <c r="H395" i="55" a="1"/>
  <c r="H395" i="55" s="1"/>
  <c r="H70" i="55" a="1"/>
  <c r="H70" i="55" s="1"/>
  <c r="H29" i="55" a="1"/>
  <c r="H29" i="55" s="1"/>
  <c r="H117" i="55" a="1"/>
  <c r="H117" i="55" s="1"/>
  <c r="H27" i="55" a="1"/>
  <c r="H27" i="55" s="1"/>
  <c r="H285" i="55" a="1"/>
  <c r="H285" i="55" s="1"/>
  <c r="L285" i="55" s="1"/>
  <c r="H338" i="55" a="1"/>
  <c r="H338" i="55" s="1"/>
  <c r="L338" i="55" s="1"/>
  <c r="H444" i="55" a="1"/>
  <c r="H444" i="55" s="1"/>
  <c r="L444" i="55" s="1"/>
  <c r="H100" i="55" a="1"/>
  <c r="H100" i="55" s="1"/>
  <c r="E46" i="15" a="1"/>
  <c r="E46" i="15" s="1"/>
  <c r="H28" i="55" a="1"/>
  <c r="H28" i="55" s="1"/>
  <c r="H396" i="55" a="1"/>
  <c r="H396" i="55" s="1"/>
  <c r="H351" i="55" a="1"/>
  <c r="H351" i="55" s="1"/>
  <c r="H143" i="55" a="1"/>
  <c r="H143" i="55" s="1"/>
  <c r="H121" i="55" a="1"/>
  <c r="H121" i="55" s="1"/>
  <c r="H323" i="55" a="1"/>
  <c r="H323" i="55" s="1"/>
  <c r="H270" i="55" a="1"/>
  <c r="H270" i="55" s="1"/>
  <c r="H237" i="55" a="1"/>
  <c r="H237" i="55" s="1"/>
  <c r="H131" i="55" a="1"/>
  <c r="H131" i="55" s="1"/>
  <c r="H169" i="55" a="1"/>
  <c r="H169" i="55" s="1"/>
  <c r="H277" i="55" a="1"/>
  <c r="H277" i="55" s="1"/>
  <c r="H184" i="55" a="1"/>
  <c r="H184" i="55" s="1"/>
  <c r="H88" i="55" a="1"/>
  <c r="H88" i="55" s="1"/>
  <c r="H192" i="55" a="1"/>
  <c r="H192" i="55" s="1"/>
  <c r="H280" i="55" a="1"/>
  <c r="H280" i="55" s="1"/>
  <c r="H435" i="55" a="1"/>
  <c r="H435" i="55" s="1"/>
  <c r="H334" i="55" a="1"/>
  <c r="H334" i="55" s="1"/>
  <c r="H461" i="55" a="1"/>
  <c r="H461" i="55" s="1"/>
  <c r="H209" i="55" a="1"/>
  <c r="H209" i="55" s="1"/>
  <c r="H452" i="55" a="1"/>
  <c r="H452" i="55" s="1"/>
  <c r="H103" i="55" a="1"/>
  <c r="H103" i="55" s="1"/>
  <c r="L103" i="55" s="1"/>
  <c r="H37" i="55" a="1"/>
  <c r="H37" i="55" s="1"/>
  <c r="L37" i="55" s="1"/>
  <c r="H300" i="55" a="1"/>
  <c r="H300" i="55" s="1"/>
  <c r="L300" i="55" s="1"/>
  <c r="H76" i="55" a="1"/>
  <c r="H76" i="55" s="1"/>
  <c r="L76" i="55" s="1"/>
  <c r="H322" i="55" a="1"/>
  <c r="H322" i="55" s="1"/>
  <c r="L322" i="55" s="1"/>
  <c r="H332" i="55" a="1"/>
  <c r="H332" i="55" s="1"/>
  <c r="L332" i="55" s="1"/>
  <c r="H379" i="55" a="1"/>
  <c r="H379" i="55" s="1"/>
  <c r="L379" i="55" s="1"/>
  <c r="H422" i="55" a="1"/>
  <c r="H422" i="55" s="1"/>
  <c r="L422" i="55" s="1"/>
  <c r="H454" i="55" a="1"/>
  <c r="H454" i="55" s="1"/>
  <c r="L454" i="55" s="1"/>
  <c r="H92" i="55" a="1"/>
  <c r="H92" i="55" s="1"/>
  <c r="L92" i="55" s="1"/>
  <c r="H112" i="55" a="1"/>
  <c r="H112" i="55" s="1"/>
  <c r="L112" i="55" s="1"/>
  <c r="H147" i="55" a="1"/>
  <c r="H147" i="55" s="1"/>
  <c r="H102" i="55" a="1"/>
  <c r="H102" i="55" s="1"/>
  <c r="H348" i="55" a="1"/>
  <c r="H348" i="55" s="1"/>
  <c r="H483" i="55" a="1"/>
  <c r="H483" i="55" s="1"/>
  <c r="H371" i="55" a="1"/>
  <c r="H371" i="55" s="1"/>
  <c r="L371" i="55" s="1"/>
  <c r="H176" i="55" a="1"/>
  <c r="H176" i="55" s="1"/>
  <c r="L176" i="55" s="1"/>
  <c r="H107" i="55" a="1"/>
  <c r="H107" i="55" s="1"/>
  <c r="L107" i="55" s="1"/>
  <c r="H349" i="55" a="1"/>
  <c r="H349" i="55" s="1"/>
  <c r="L349" i="55" s="1"/>
  <c r="H419" i="55" a="1"/>
  <c r="H419" i="55" s="1"/>
  <c r="L419" i="55" s="1"/>
  <c r="H311" i="55" a="1"/>
  <c r="H311" i="55" s="1"/>
  <c r="L311" i="55" s="1"/>
  <c r="H153" i="55" a="1"/>
  <c r="H153" i="55" s="1"/>
  <c r="L153" i="55" s="1"/>
  <c r="H284" i="55" a="1"/>
  <c r="H284" i="55" s="1"/>
  <c r="L284" i="55" s="1"/>
  <c r="H213" i="55" a="1"/>
  <c r="H213" i="55" s="1"/>
  <c r="L213" i="55" s="1"/>
  <c r="H115" i="55" a="1"/>
  <c r="H115" i="55" s="1"/>
  <c r="L115" i="55" s="1"/>
  <c r="H427" i="55" a="1"/>
  <c r="H427" i="55" s="1"/>
  <c r="L427" i="55" s="1"/>
  <c r="H342" i="55" a="1"/>
  <c r="H342" i="55" s="1"/>
  <c r="L342" i="55" s="1"/>
  <c r="H267" i="55" a="1"/>
  <c r="H267" i="55" s="1"/>
  <c r="L267" i="55" s="1"/>
  <c r="H90" i="55" a="1"/>
  <c r="H90" i="55" s="1"/>
  <c r="L90" i="55" s="1"/>
  <c r="H389" i="55" a="1"/>
  <c r="H389" i="55" s="1"/>
  <c r="H188" i="55" a="1"/>
  <c r="H188" i="55" s="1"/>
  <c r="L188" i="55" s="1"/>
  <c r="H164" i="55" a="1"/>
  <c r="H164" i="55" s="1"/>
  <c r="L164" i="55" s="1"/>
  <c r="H250" i="55" a="1"/>
  <c r="H250" i="55" s="1"/>
  <c r="H69" i="55" a="1"/>
  <c r="H69" i="55" s="1"/>
  <c r="H96" i="55" a="1"/>
  <c r="H96" i="55" s="1"/>
  <c r="L96" i="55" s="1"/>
  <c r="H299" i="55" a="1"/>
  <c r="H299" i="55" s="1"/>
  <c r="H343" i="55" a="1"/>
  <c r="H343" i="55" s="1"/>
  <c r="L343" i="55" s="1"/>
  <c r="H387" i="55" a="1"/>
  <c r="H387" i="55" s="1"/>
  <c r="L387" i="55" s="1"/>
  <c r="H430" i="55" a="1"/>
  <c r="H430" i="55" s="1"/>
  <c r="L430" i="55" s="1"/>
  <c r="H453" i="55" a="1"/>
  <c r="H453" i="55" s="1"/>
  <c r="L453" i="55" s="1"/>
  <c r="H383" i="55" a="1"/>
  <c r="H383" i="55" s="1"/>
  <c r="H81" i="55" a="1"/>
  <c r="H81" i="55" s="1"/>
  <c r="L81" i="55" s="1"/>
  <c r="H198" i="55" a="1"/>
  <c r="H198" i="55" s="1"/>
  <c r="H181" i="55" a="1"/>
  <c r="H181" i="55" s="1"/>
  <c r="L181" i="55" s="1"/>
  <c r="H93" i="55" a="1"/>
  <c r="H93" i="55" s="1"/>
  <c r="H347" i="55" a="1"/>
  <c r="H347" i="55" s="1"/>
  <c r="L347" i="55" s="1"/>
  <c r="H32" i="55" a="1"/>
  <c r="H32" i="55" s="1"/>
  <c r="L32" i="55" s="1"/>
  <c r="H382" i="55" a="1"/>
  <c r="H382" i="55" s="1"/>
  <c r="L382" i="55" s="1"/>
  <c r="H71" i="55" a="1"/>
  <c r="H71" i="55" s="1"/>
  <c r="L71" i="55" s="1"/>
  <c r="H185" i="55" a="1"/>
  <c r="H185" i="55" s="1"/>
  <c r="L185" i="55" s="1"/>
  <c r="H163" i="55" a="1"/>
  <c r="H163" i="55" s="1"/>
  <c r="L163" i="55" s="1"/>
  <c r="H42" i="55" a="1"/>
  <c r="H42" i="55" s="1"/>
  <c r="L42" i="55" s="1"/>
  <c r="H268" i="55" a="1"/>
  <c r="H268" i="55" s="1"/>
  <c r="L268" i="55" s="1"/>
  <c r="H324" i="55" a="1"/>
  <c r="H324" i="55" s="1"/>
  <c r="L324" i="55" s="1"/>
  <c r="H416" i="55" a="1"/>
  <c r="H416" i="55" s="1"/>
  <c r="L416" i="55" s="1"/>
  <c r="H67" i="55" a="1"/>
  <c r="H67" i="55" s="1"/>
  <c r="L67" i="55" s="1"/>
  <c r="H110" i="55" a="1"/>
  <c r="H110" i="55" s="1"/>
  <c r="L110" i="55" s="1"/>
  <c r="H373" i="55" a="1"/>
  <c r="H373" i="55" s="1"/>
  <c r="H211" i="55" a="1"/>
  <c r="H211" i="55" s="1"/>
  <c r="H421" i="55" a="1"/>
  <c r="H421" i="55" s="1"/>
  <c r="H217" i="55" a="1"/>
  <c r="H217" i="55" s="1"/>
  <c r="H433" i="55" a="1"/>
  <c r="H433" i="55" s="1"/>
  <c r="H113" i="55" a="1"/>
  <c r="H113" i="55" s="1"/>
  <c r="H463" i="55" a="1"/>
  <c r="H463" i="55" s="1"/>
  <c r="L463" i="55" s="1"/>
  <c r="H20" i="55" a="1"/>
  <c r="H20" i="55" s="1"/>
  <c r="L20" i="55" s="1"/>
  <c r="H225" i="55" a="1"/>
  <c r="H225" i="55" s="1"/>
  <c r="L225" i="55" s="1"/>
  <c r="H335" i="55" a="1"/>
  <c r="H335" i="55" s="1"/>
  <c r="L335" i="55" s="1"/>
  <c r="H384" i="55" a="1"/>
  <c r="H384" i="55" s="1"/>
  <c r="L384" i="55" s="1"/>
  <c r="H177" i="55" a="1"/>
  <c r="H177" i="55" s="1"/>
  <c r="L177" i="55" s="1"/>
  <c r="H385" i="55" a="1"/>
  <c r="H385" i="55" s="1"/>
  <c r="L385" i="55" s="1"/>
  <c r="H301" i="55" a="1"/>
  <c r="H301" i="55" s="1"/>
  <c r="L301" i="55" s="1"/>
  <c r="H59" i="55" a="1"/>
  <c r="H59" i="55" s="1"/>
  <c r="L59" i="55" s="1"/>
  <c r="H191" i="55" a="1"/>
  <c r="H191" i="55" s="1"/>
  <c r="L191" i="55" s="1"/>
  <c r="H212" i="55" a="1"/>
  <c r="H212" i="55" s="1"/>
  <c r="L212" i="55" s="1"/>
  <c r="H77" i="55" a="1"/>
  <c r="H77" i="55" s="1"/>
  <c r="L77" i="55" s="1"/>
  <c r="H388" i="55" a="1"/>
  <c r="H388" i="55" s="1"/>
  <c r="L388" i="55" s="1"/>
  <c r="H155" i="55" a="1"/>
  <c r="H155" i="55" s="1"/>
  <c r="L155" i="55" s="1"/>
  <c r="H159" i="55" a="1"/>
  <c r="H159" i="55" s="1"/>
  <c r="L159" i="55" s="1"/>
  <c r="H333" i="55" a="1"/>
  <c r="H333" i="55" s="1"/>
  <c r="L333" i="55" s="1"/>
  <c r="H365" i="55" a="1"/>
  <c r="H365" i="55" s="1"/>
  <c r="L365" i="55" s="1"/>
  <c r="H231" i="55" a="1"/>
  <c r="H231" i="55" s="1"/>
  <c r="L231" i="55" s="1"/>
  <c r="H380" i="55" a="1"/>
  <c r="H380" i="55" s="1"/>
  <c r="L380" i="55" s="1"/>
  <c r="H142" i="55" a="1"/>
  <c r="H142" i="55" s="1"/>
  <c r="L142" i="55" s="1"/>
  <c r="H160" i="55" a="1"/>
  <c r="H160" i="55" s="1"/>
  <c r="L160" i="55" s="1"/>
  <c r="H84" i="55" a="1"/>
  <c r="H84" i="55" s="1"/>
  <c r="L84" i="55" s="1"/>
  <c r="H320" i="55" a="1"/>
  <c r="H320" i="55" s="1"/>
  <c r="L320" i="55" s="1"/>
  <c r="H61" i="55" a="1"/>
  <c r="H61" i="55" s="1"/>
  <c r="L61" i="55" s="1"/>
  <c r="F17" i="70" a="1"/>
  <c r="F17" i="70" s="1"/>
  <c r="H82" i="55" a="1"/>
  <c r="H82" i="55" s="1"/>
  <c r="H410" i="55" a="1"/>
  <c r="H410" i="55" s="1"/>
  <c r="L410" i="55" s="1"/>
  <c r="H137" i="55" a="1"/>
  <c r="H137" i="55" s="1"/>
  <c r="H38" i="55" a="1"/>
  <c r="H38" i="55" s="1"/>
  <c r="H179" i="55" a="1"/>
  <c r="H179" i="55" s="1"/>
  <c r="L179" i="55" s="1"/>
  <c r="H357" i="55" a="1"/>
  <c r="H357" i="55" s="1"/>
  <c r="H53" i="55" a="1"/>
  <c r="H53" i="55" s="1"/>
  <c r="L53" i="55" s="1"/>
  <c r="H26" i="55" a="1"/>
  <c r="H26" i="55" s="1"/>
  <c r="H350" i="55" a="1"/>
  <c r="H350" i="55" s="1"/>
  <c r="H337" i="55" a="1"/>
  <c r="H337" i="55" s="1"/>
  <c r="H381" i="55" a="1"/>
  <c r="H381" i="55" s="1"/>
  <c r="H33" i="55" a="1"/>
  <c r="H33" i="55" s="1"/>
  <c r="H74" i="55" a="1"/>
  <c r="H74" i="55" s="1"/>
  <c r="H78" i="55" a="1"/>
  <c r="H78" i="55" s="1"/>
  <c r="H363" i="55" a="1"/>
  <c r="H363" i="55" s="1"/>
  <c r="H36" i="55" a="1"/>
  <c r="H36" i="55" s="1"/>
  <c r="H134" i="55" a="1"/>
  <c r="H134" i="55" s="1"/>
  <c r="H445" i="55" a="1"/>
  <c r="H445" i="55" s="1"/>
  <c r="H154" i="55" a="1"/>
  <c r="H154" i="55" s="1"/>
  <c r="H377" i="55" a="1"/>
  <c r="H377" i="55" s="1"/>
  <c r="H431" i="55" a="1"/>
  <c r="H431" i="55" s="1"/>
  <c r="H63" i="55" a="1"/>
  <c r="H63" i="55" s="1"/>
  <c r="H25" i="55" a="1"/>
  <c r="H25" i="55" s="1"/>
  <c r="L25" i="55" s="1"/>
  <c r="H356" i="55" a="1"/>
  <c r="H356" i="55" s="1"/>
  <c r="H139" i="55" a="1"/>
  <c r="H139" i="55" s="1"/>
  <c r="H254" i="55" a="1"/>
  <c r="H254" i="55" s="1"/>
  <c r="H261" i="55" a="1"/>
  <c r="H261" i="55" s="1"/>
  <c r="H79" i="55" a="1"/>
  <c r="H79" i="55" s="1"/>
  <c r="H98" i="55" a="1"/>
  <c r="H98" i="55" s="1"/>
  <c r="H51" i="55" a="1"/>
  <c r="H51" i="55" s="1"/>
  <c r="H161" i="55" a="1"/>
  <c r="H161" i="55" s="1"/>
  <c r="H156" i="55" a="1"/>
  <c r="H156" i="55" s="1"/>
  <c r="H368" i="55" a="1"/>
  <c r="H368" i="55" s="1"/>
  <c r="L368" i="55" s="1"/>
  <c r="H420" i="55" a="1"/>
  <c r="H420" i="55" s="1"/>
  <c r="L420" i="55" s="1"/>
  <c r="H414" i="55" a="1"/>
  <c r="H414" i="55" s="1"/>
  <c r="L414" i="55" s="1"/>
  <c r="H289" i="55" a="1"/>
  <c r="H289" i="55" s="1"/>
  <c r="L289" i="55" s="1"/>
  <c r="H394" i="55" a="1"/>
  <c r="H394" i="55" s="1"/>
  <c r="L394" i="55" s="1"/>
  <c r="H418" i="55" a="1"/>
  <c r="H418" i="55" s="1"/>
  <c r="L418" i="55" s="1"/>
  <c r="H87" i="55" a="1"/>
  <c r="H87" i="55" s="1"/>
  <c r="L87" i="55" s="1"/>
  <c r="H44" i="55" a="1"/>
  <c r="H44" i="55" s="1"/>
  <c r="L44" i="55" s="1"/>
  <c r="H451" i="55" a="1"/>
  <c r="H451" i="55" s="1"/>
  <c r="L451" i="55" s="1"/>
  <c r="E45" i="15" a="1"/>
  <c r="E45" i="15" s="1"/>
  <c r="I45" i="15" s="1"/>
  <c r="H24" i="55" a="1"/>
  <c r="H24" i="55" s="1"/>
  <c r="L24" i="55" s="1"/>
  <c r="H424" i="55" a="1"/>
  <c r="H424" i="55" s="1"/>
  <c r="L424" i="55" s="1"/>
  <c r="H80" i="55" a="1"/>
  <c r="H80" i="55" s="1"/>
  <c r="L80" i="55" s="1"/>
  <c r="H66" i="55" a="1"/>
  <c r="H66" i="55" s="1"/>
  <c r="H132" i="55" a="1"/>
  <c r="H132" i="55" s="1"/>
  <c r="H393" i="55" a="1"/>
  <c r="H393" i="55" s="1"/>
  <c r="H21" i="55" a="1"/>
  <c r="H21" i="55" s="1"/>
  <c r="L21" i="55" s="1"/>
  <c r="H168" i="55" a="1"/>
  <c r="H168" i="55" s="1"/>
  <c r="L168" i="55" s="1"/>
  <c r="H307" i="55" a="1"/>
  <c r="H307" i="55" s="1"/>
  <c r="L307" i="55" s="1"/>
  <c r="H345" i="55" a="1"/>
  <c r="H345" i="55" s="1"/>
  <c r="H75" i="55" a="1"/>
  <c r="H75" i="55" s="1"/>
  <c r="L75" i="55" s="1"/>
  <c r="H172" i="55" a="1"/>
  <c r="H172" i="55" s="1"/>
  <c r="H206" i="55" a="1"/>
  <c r="H206" i="55" s="1"/>
  <c r="H47" i="55" a="1"/>
  <c r="H47" i="55" s="1"/>
  <c r="H341" i="55" a="1"/>
  <c r="H341" i="55" s="1"/>
  <c r="H346" i="55" a="1"/>
  <c r="H346" i="55" s="1"/>
  <c r="L346" i="55" s="1"/>
  <c r="H158" i="55" a="1"/>
  <c r="H158" i="55" s="1"/>
  <c r="H378" i="55" a="1"/>
  <c r="H378" i="55" s="1"/>
  <c r="L378" i="55" s="1"/>
  <c r="H123" i="55" a="1"/>
  <c r="H123" i="55" s="1"/>
  <c r="L123" i="55" s="1"/>
  <c r="H400" i="55" a="1"/>
  <c r="H400" i="55" s="1"/>
  <c r="L400" i="55" s="1"/>
  <c r="H282" i="55" a="1"/>
  <c r="H282" i="55" s="1"/>
  <c r="L282" i="55" s="1"/>
  <c r="H236" i="55" a="1"/>
  <c r="H236" i="55" s="1"/>
  <c r="L236" i="55" s="1"/>
  <c r="H232" i="55" a="1"/>
  <c r="H232" i="55" s="1"/>
  <c r="L232" i="55" s="1"/>
  <c r="H369" i="55" a="1"/>
  <c r="H369" i="55" s="1"/>
  <c r="H125" i="55" a="1"/>
  <c r="H125" i="55" s="1"/>
  <c r="H43" i="55" a="1"/>
  <c r="H43" i="55" s="1"/>
  <c r="L43" i="55" s="1"/>
  <c r="H135" i="55" a="1"/>
  <c r="H135" i="55" s="1"/>
  <c r="L135" i="55" s="1"/>
  <c r="H390" i="55" a="1"/>
  <c r="H390" i="55" s="1"/>
  <c r="L390" i="55" s="1"/>
  <c r="H436" i="55" a="1"/>
  <c r="H436" i="55" s="1"/>
  <c r="L436" i="55" s="1"/>
  <c r="H391" i="55" a="1"/>
  <c r="H391" i="55" s="1"/>
  <c r="L391" i="55" s="1"/>
  <c r="H126" i="55" a="1"/>
  <c r="H126" i="55" s="1"/>
  <c r="L126" i="55" s="1"/>
  <c r="H353" i="55" a="1"/>
  <c r="H353" i="55" s="1"/>
  <c r="L353" i="55" s="1"/>
  <c r="H146" i="55" a="1"/>
  <c r="H146" i="55" s="1"/>
  <c r="L146" i="55" s="1"/>
  <c r="H275" i="55" a="1"/>
  <c r="H275" i="55" s="1"/>
  <c r="L275" i="55" s="1"/>
  <c r="H167" i="55" a="1"/>
  <c r="H167" i="55" s="1"/>
  <c r="L167" i="55" s="1"/>
  <c r="H274" i="55" a="1"/>
  <c r="H274" i="55" s="1"/>
  <c r="H248" i="55" a="1"/>
  <c r="H248" i="55" s="1"/>
  <c r="H230" i="55" a="1"/>
  <c r="H230" i="55" s="1"/>
  <c r="H258" i="55" a="1"/>
  <c r="H258" i="55" s="1"/>
  <c r="H91" i="55" a="1"/>
  <c r="H91" i="55" s="1"/>
  <c r="H97" i="55" a="1"/>
  <c r="H97" i="55" s="1"/>
  <c r="H105" i="55" a="1"/>
  <c r="H105" i="55" s="1"/>
  <c r="H223" i="55" a="1"/>
  <c r="H223" i="55" s="1"/>
  <c r="L223" i="55" s="1"/>
  <c r="H138" i="55" a="1"/>
  <c r="H138" i="55" s="1"/>
  <c r="L138" i="55" s="1"/>
  <c r="H398" i="55" a="1"/>
  <c r="H398" i="55" s="1"/>
  <c r="L398" i="55" s="1"/>
  <c r="H450" i="55" a="1"/>
  <c r="H450" i="55" s="1"/>
  <c r="L450" i="55" s="1"/>
  <c r="H306" i="55" a="1"/>
  <c r="H306" i="55" s="1"/>
  <c r="L306" i="55" s="1"/>
  <c r="H359" i="55" a="1"/>
  <c r="H359" i="55" s="1"/>
  <c r="L359" i="55" s="1"/>
  <c r="H362" i="55" a="1"/>
  <c r="H362" i="55" s="1"/>
  <c r="L362" i="55" s="1"/>
  <c r="H392" i="55" a="1"/>
  <c r="H392" i="55" s="1"/>
  <c r="L392" i="55" s="1"/>
  <c r="H308" i="55" a="1"/>
  <c r="H308" i="55" s="1"/>
  <c r="L308" i="55" s="1"/>
  <c r="H328" i="55" a="1"/>
  <c r="H328" i="55" s="1"/>
  <c r="L328" i="55" s="1"/>
  <c r="H401" i="55" a="1"/>
  <c r="H401" i="55" s="1"/>
  <c r="L401" i="55" s="1"/>
  <c r="H272" i="55" a="1"/>
  <c r="H272" i="55" s="1"/>
  <c r="L272" i="55" s="1"/>
  <c r="H129" i="55" a="1"/>
  <c r="H129" i="55" s="1"/>
  <c r="L129" i="55" s="1"/>
  <c r="H235" i="55" a="1"/>
  <c r="H235" i="55" s="1"/>
  <c r="L235" i="55" s="1"/>
  <c r="H352" i="55" a="1"/>
  <c r="H352" i="55" s="1"/>
  <c r="L352" i="55" s="1"/>
  <c r="H309" i="55" a="1"/>
  <c r="H309" i="55" s="1"/>
  <c r="L309" i="55" s="1"/>
  <c r="H409" i="55" a="1"/>
  <c r="H409" i="55" s="1"/>
  <c r="L409" i="55" s="1"/>
  <c r="H288" i="55" a="1"/>
  <c r="H288" i="55" s="1"/>
  <c r="L288" i="55" s="1"/>
  <c r="H99" i="55" a="1"/>
  <c r="H99" i="55" s="1"/>
  <c r="L99" i="55" s="1"/>
  <c r="H52" i="55" a="1"/>
  <c r="H52" i="55" s="1"/>
  <c r="L52" i="55" s="1"/>
  <c r="H201" i="55" a="1"/>
  <c r="H201" i="55" s="1"/>
  <c r="L201" i="55" s="1"/>
  <c r="H195" i="55" a="1"/>
  <c r="H195" i="55" s="1"/>
  <c r="L195" i="55" s="1"/>
  <c r="H133" i="55" a="1"/>
  <c r="H133" i="55" s="1"/>
  <c r="L133" i="55" s="1"/>
  <c r="H376" i="55" a="1"/>
  <c r="H376" i="55" s="1"/>
  <c r="L376" i="55" s="1"/>
  <c r="H62" i="55" a="1"/>
  <c r="H62" i="55" s="1"/>
  <c r="L62" i="55" s="1"/>
  <c r="H428" i="55" a="1"/>
  <c r="H428" i="55" s="1"/>
  <c r="L428" i="55" s="1"/>
  <c r="H124" i="55" a="1"/>
  <c r="H124" i="55" s="1"/>
  <c r="L124" i="55" s="1"/>
  <c r="H449" i="55" a="1"/>
  <c r="H449" i="55" s="1"/>
  <c r="L449" i="55" s="1"/>
  <c r="H286" i="55" a="1"/>
  <c r="H286" i="55" s="1"/>
  <c r="L286" i="55" s="1"/>
  <c r="H31" i="55" a="1"/>
  <c r="H31" i="55" s="1"/>
  <c r="H145" i="55" a="1"/>
  <c r="H145" i="55" s="1"/>
  <c r="L145" i="55" s="1"/>
  <c r="H58" i="55" a="1"/>
  <c r="H58" i="55" s="1"/>
  <c r="L58" i="55" s="1"/>
  <c r="H85" i="55" a="1"/>
  <c r="H85" i="55" s="1"/>
  <c r="L85" i="55" s="1"/>
  <c r="H423" i="55" a="1"/>
  <c r="H423" i="55" s="1"/>
  <c r="L423" i="55" s="1"/>
  <c r="H372" i="55" a="1"/>
  <c r="H372" i="55" s="1"/>
  <c r="L372" i="55" s="1"/>
  <c r="H218" i="55" a="1"/>
  <c r="H218" i="55" s="1"/>
  <c r="L218" i="55" s="1"/>
  <c r="E30" i="15" a="1"/>
  <c r="E30" i="15" s="1"/>
  <c r="E11" i="12" a="1"/>
  <c r="E11" i="12" s="1"/>
  <c r="E7" i="12" a="1"/>
  <c r="E7" i="12" s="1"/>
  <c r="E27" i="15" a="1"/>
  <c r="E27" i="15" s="1"/>
  <c r="F10" i="12" a="1"/>
  <c r="F10" i="12" s="1"/>
  <c r="H19" i="55" a="1"/>
  <c r="H19" i="55" s="1"/>
  <c r="L19" i="55" s="1"/>
  <c r="H89" i="55" a="1"/>
  <c r="H89" i="55" s="1"/>
  <c r="L89" i="55" s="1"/>
  <c r="E42" i="15" a="1"/>
  <c r="E42" i="15" s="1"/>
  <c r="H434" i="55" a="1"/>
  <c r="H434" i="55" s="1"/>
  <c r="L434" i="55" s="1"/>
  <c r="H116" i="55" a="1"/>
  <c r="H116" i="55" s="1"/>
  <c r="E17" i="15" a="1"/>
  <c r="E17" i="15" s="1"/>
  <c r="F8" i="12" a="1"/>
  <c r="F8" i="12" s="1"/>
  <c r="F21" i="15" a="1"/>
  <c r="F21" i="15" s="1"/>
  <c r="E20" i="70" a="1"/>
  <c r="E20" i="70" s="1"/>
  <c r="H472" i="55" a="1"/>
  <c r="H472" i="55" s="1"/>
  <c r="L472" i="55" s="1"/>
  <c r="H222" i="55" a="1"/>
  <c r="H222" i="55" s="1"/>
  <c r="L222" i="55" s="1"/>
  <c r="H458" i="55" a="1"/>
  <c r="H458" i="55" s="1"/>
  <c r="L458" i="55" s="1"/>
  <c r="H475" i="55" a="1"/>
  <c r="H475" i="55" s="1"/>
  <c r="L475" i="55" s="1"/>
  <c r="H245" i="55" a="1"/>
  <c r="H245" i="55" s="1"/>
  <c r="L245" i="55" s="1"/>
  <c r="H279" i="55" a="1"/>
  <c r="H279" i="55" s="1"/>
  <c r="L279" i="55" s="1"/>
  <c r="H442" i="55" a="1"/>
  <c r="H442" i="55" s="1"/>
  <c r="L442" i="55" s="1"/>
  <c r="H246" i="55" a="1"/>
  <c r="H246" i="55" s="1"/>
  <c r="L246" i="55" s="1"/>
  <c r="H241" i="55" a="1"/>
  <c r="H241" i="55" s="1"/>
  <c r="L241" i="55" s="1"/>
  <c r="H173" i="55" a="1"/>
  <c r="H173" i="55" s="1"/>
  <c r="L173" i="55" s="1"/>
  <c r="H403" i="55" a="1"/>
  <c r="H403" i="55" s="1"/>
  <c r="L403" i="55" s="1"/>
  <c r="H242" i="55" a="1"/>
  <c r="H242" i="55" s="1"/>
  <c r="L242" i="55" s="1"/>
  <c r="H456" i="55" a="1"/>
  <c r="H456" i="55" s="1"/>
  <c r="L456" i="55" s="1"/>
  <c r="H255" i="55" a="1"/>
  <c r="H255" i="55" s="1"/>
  <c r="L255" i="55" s="1"/>
  <c r="E9" i="12" a="1"/>
  <c r="E9" i="12" s="1"/>
  <c r="F20" i="70" a="1"/>
  <c r="F20" i="70" s="1"/>
  <c r="H439" i="55" a="1"/>
  <c r="H439" i="55" s="1"/>
  <c r="L439" i="55" s="1"/>
  <c r="H221" i="55" a="1"/>
  <c r="H221" i="55" s="1"/>
  <c r="L221" i="55" s="1"/>
  <c r="H441" i="55" a="1"/>
  <c r="H441" i="55" s="1"/>
  <c r="L441" i="55" s="1"/>
  <c r="H200" i="55" a="1"/>
  <c r="H200" i="55" s="1"/>
  <c r="L200" i="55" s="1"/>
  <c r="H468" i="55" a="1"/>
  <c r="H468" i="55" s="1"/>
  <c r="L468" i="55" s="1"/>
  <c r="H482" i="55" a="1"/>
  <c r="H482" i="55" s="1"/>
  <c r="L482" i="55" s="1"/>
  <c r="H302" i="55" a="1"/>
  <c r="H302" i="55" s="1"/>
  <c r="L302" i="55" s="1"/>
  <c r="H253" i="55" a="1"/>
  <c r="H253" i="55" s="1"/>
  <c r="L253" i="55" s="1"/>
  <c r="H240" i="55" a="1"/>
  <c r="H240" i="55" s="1"/>
  <c r="L240" i="55" s="1"/>
  <c r="E16" i="70" a="1"/>
  <c r="E16" i="70" s="1"/>
  <c r="E14" i="70" a="1"/>
  <c r="E14" i="70" s="1"/>
  <c r="H407" i="55" a="1"/>
  <c r="H407" i="55" s="1"/>
  <c r="L407" i="55" s="1"/>
  <c r="H95" i="55" a="1"/>
  <c r="H95" i="55" s="1"/>
  <c r="L95" i="55" s="1"/>
  <c r="H109" i="55" a="1"/>
  <c r="H109" i="55" s="1"/>
  <c r="L109" i="55" s="1"/>
  <c r="H281" i="55" a="1"/>
  <c r="H281" i="55" s="1"/>
  <c r="L281" i="55" s="1"/>
  <c r="H57" i="55" a="1"/>
  <c r="H57" i="55" s="1"/>
  <c r="H360" i="55" a="1"/>
  <c r="H360" i="55" s="1"/>
  <c r="L360" i="55" s="1"/>
  <c r="H415" i="55" a="1"/>
  <c r="H415" i="55" s="1"/>
  <c r="L415" i="55" s="1"/>
  <c r="H325" i="55" a="1"/>
  <c r="H325" i="55" s="1"/>
  <c r="L325" i="55" s="1"/>
  <c r="H13" i="55" a="1"/>
  <c r="H13" i="55" s="1"/>
  <c r="L13" i="55" s="1"/>
  <c r="H14" i="55" a="1"/>
  <c r="H14" i="55" s="1"/>
  <c r="L14" i="55" s="1"/>
  <c r="H224" i="55" a="1"/>
  <c r="H224" i="55" s="1"/>
  <c r="L224" i="55" s="1"/>
  <c r="H104" i="55" a="1"/>
  <c r="H104" i="55" s="1"/>
  <c r="E43" i="15" a="1"/>
  <c r="E43" i="15" s="1"/>
  <c r="E49" i="15" a="1"/>
  <c r="E49" i="15" s="1"/>
  <c r="H197" i="55" a="1"/>
  <c r="H197" i="55" s="1"/>
  <c r="L197" i="55" s="1"/>
  <c r="H264" i="55" a="1"/>
  <c r="H264" i="55" s="1"/>
  <c r="L264" i="55" s="1"/>
  <c r="H174" i="55" a="1"/>
  <c r="H174" i="55" s="1"/>
  <c r="L174" i="55" s="1"/>
  <c r="H40" i="55" a="1"/>
  <c r="H40" i="55" s="1"/>
  <c r="F27" i="15" a="1"/>
  <c r="F27" i="15" s="1"/>
  <c r="E10" i="12" a="1"/>
  <c r="E10" i="12" s="1"/>
  <c r="H119" i="55" a="1"/>
  <c r="H119" i="55" s="1"/>
  <c r="F11" i="12" a="1"/>
  <c r="F11" i="12" s="1"/>
  <c r="H11" i="12" s="1"/>
  <c r="H269" i="55" a="1"/>
  <c r="H269" i="55" s="1"/>
  <c r="L269" i="55" s="1"/>
  <c r="H45" i="55" a="1"/>
  <c r="H45" i="55" s="1"/>
  <c r="H54" i="55" a="1"/>
  <c r="H54" i="55" s="1"/>
  <c r="L54" i="55" s="1"/>
  <c r="E21" i="15" a="1"/>
  <c r="E21" i="15" s="1"/>
  <c r="F12" i="70" a="1"/>
  <c r="F12" i="70" s="1"/>
  <c r="H367" i="55" a="1"/>
  <c r="H367" i="55" s="1"/>
  <c r="L367" i="55" s="1"/>
  <c r="H290" i="55" a="1"/>
  <c r="H290" i="55" s="1"/>
  <c r="L290" i="55" s="1"/>
  <c r="H312" i="55" a="1"/>
  <c r="H312" i="55" s="1"/>
  <c r="L312" i="55" s="1"/>
  <c r="H447" i="55" a="1"/>
  <c r="H447" i="55" s="1"/>
  <c r="L447" i="55" s="1"/>
  <c r="H276" i="55" a="1"/>
  <c r="H276" i="55" s="1"/>
  <c r="L276" i="55" s="1"/>
  <c r="H408" i="55" a="1"/>
  <c r="H408" i="55" s="1"/>
  <c r="L408" i="55" s="1"/>
  <c r="H262" i="55" a="1"/>
  <c r="H262" i="55" s="1"/>
  <c r="L262" i="55" s="1"/>
  <c r="H467" i="55" a="1"/>
  <c r="H467" i="55" s="1"/>
  <c r="L467" i="55" s="1"/>
  <c r="F18" i="15" a="1"/>
  <c r="F18" i="15" s="1"/>
  <c r="H404" i="55" a="1"/>
  <c r="H404" i="55" s="1"/>
  <c r="L404" i="55" s="1"/>
  <c r="H314" i="55" a="1"/>
  <c r="H314" i="55" s="1"/>
  <c r="L314" i="55" s="1"/>
  <c r="H210" i="55" a="1"/>
  <c r="H210" i="55" s="1"/>
  <c r="L210" i="55" s="1"/>
  <c r="H178" i="55" a="1"/>
  <c r="H178" i="55" s="1"/>
  <c r="L178" i="55" s="1"/>
  <c r="H329" i="55" a="1"/>
  <c r="H329" i="55" s="1"/>
  <c r="L329" i="55" s="1"/>
  <c r="H457" i="55" a="1"/>
  <c r="H457" i="55" s="1"/>
  <c r="L457" i="55" s="1"/>
  <c r="H460" i="55" a="1"/>
  <c r="H460" i="55" s="1"/>
  <c r="L460" i="55" s="1"/>
  <c r="H298" i="55" a="1"/>
  <c r="H298" i="55" s="1"/>
  <c r="L298" i="55" s="1"/>
  <c r="H319" i="55" a="1"/>
  <c r="H319" i="55" s="1"/>
  <c r="L319" i="55" s="1"/>
  <c r="H227" i="55" a="1"/>
  <c r="H227" i="55" s="1"/>
  <c r="L227" i="55" s="1"/>
  <c r="H304" i="55" a="1"/>
  <c r="H304" i="55" s="1"/>
  <c r="L304" i="55" s="1"/>
  <c r="H194" i="55" a="1"/>
  <c r="H194" i="55" s="1"/>
  <c r="L194" i="55" s="1"/>
  <c r="H291" i="55" a="1"/>
  <c r="H291" i="55" s="1"/>
  <c r="L291" i="55" s="1"/>
  <c r="H72" i="55" a="1"/>
  <c r="H72" i="55" s="1"/>
  <c r="E12" i="12" a="1"/>
  <c r="E12" i="12" s="1"/>
  <c r="E33" i="15" a="1"/>
  <c r="E33" i="15" s="1"/>
  <c r="F11" i="70" a="1"/>
  <c r="F11" i="70" s="1"/>
  <c r="H375" i="55" a="1"/>
  <c r="H375" i="55" s="1"/>
  <c r="L375" i="55" s="1"/>
  <c r="H374" i="55" a="1"/>
  <c r="H374" i="55" s="1"/>
  <c r="L374" i="55" s="1"/>
  <c r="H361" i="55" a="1"/>
  <c r="H361" i="55" s="1"/>
  <c r="L361" i="55" s="1"/>
  <c r="H344" i="55" a="1"/>
  <c r="H344" i="55" s="1"/>
  <c r="L344" i="55" s="1"/>
  <c r="H429" i="55" a="1"/>
  <c r="H429" i="55" s="1"/>
  <c r="H426" i="55" a="1"/>
  <c r="H426" i="55" s="1"/>
  <c r="L426" i="55" s="1"/>
  <c r="H128" i="55" a="1"/>
  <c r="H128" i="55" s="1"/>
  <c r="H358" i="55" a="1"/>
  <c r="H358" i="55" s="1"/>
  <c r="L358" i="55" s="1"/>
  <c r="H271" i="55" a="1"/>
  <c r="H271" i="55" s="1"/>
  <c r="L271" i="55" s="1"/>
  <c r="H294" i="55" a="1"/>
  <c r="H294" i="55" s="1"/>
  <c r="L294" i="55" s="1"/>
  <c r="H165" i="55" a="1"/>
  <c r="H165" i="55" s="1"/>
  <c r="L165" i="55" s="1"/>
  <c r="H366" i="55" a="1"/>
  <c r="H366" i="55" s="1"/>
  <c r="L366" i="55" s="1"/>
  <c r="H399" i="55" a="1"/>
  <c r="H399" i="55" s="1"/>
  <c r="L399" i="55" s="1"/>
  <c r="E14" i="12" a="1"/>
  <c r="E14" i="12" s="1"/>
  <c r="E12" i="15" a="1"/>
  <c r="E12" i="15" s="1"/>
  <c r="F14" i="15" a="1"/>
  <c r="F14" i="15" s="1"/>
  <c r="E8" i="70" a="1"/>
  <c r="E8" i="70" s="1"/>
  <c r="E9" i="70" a="1"/>
  <c r="E9" i="70" s="1"/>
  <c r="F28" i="15" a="1"/>
  <c r="F28" i="15" s="1"/>
  <c r="F10" i="70" a="1"/>
  <c r="F10" i="70" s="1"/>
  <c r="H196" i="55" a="1"/>
  <c r="H196" i="55" s="1"/>
  <c r="F12" i="12" a="1"/>
  <c r="F12" i="12" s="1"/>
  <c r="H49" i="55" a="1"/>
  <c r="H49" i="55" s="1"/>
  <c r="L49" i="55" s="1"/>
  <c r="H94" i="55" a="1"/>
  <c r="H94" i="55" s="1"/>
  <c r="L94" i="55" s="1"/>
  <c r="H226" i="55" a="1"/>
  <c r="H226" i="55" s="1"/>
  <c r="L226" i="55" s="1"/>
  <c r="H83" i="55" a="1"/>
  <c r="H83" i="55" s="1"/>
  <c r="L83" i="55" s="1"/>
  <c r="E19" i="15" a="1"/>
  <c r="E19" i="15" s="1"/>
  <c r="H244" i="55" a="1"/>
  <c r="H244" i="55" s="1"/>
  <c r="L244" i="55" s="1"/>
  <c r="F15" i="70" a="1"/>
  <c r="F15" i="70" s="1"/>
  <c r="H190" i="55" a="1"/>
  <c r="H190" i="55" s="1"/>
  <c r="L190" i="55" s="1"/>
  <c r="H412" i="55" a="1"/>
  <c r="H412" i="55" s="1"/>
  <c r="L412" i="55" s="1"/>
  <c r="H315" i="55" a="1"/>
  <c r="H315" i="55" s="1"/>
  <c r="L315" i="55" s="1"/>
  <c r="H318" i="55" a="1"/>
  <c r="H318" i="55" s="1"/>
  <c r="L318" i="55" s="1"/>
  <c r="H470" i="55" a="1"/>
  <c r="H470" i="55" s="1"/>
  <c r="L470" i="55" s="1"/>
  <c r="H292" i="55" a="1"/>
  <c r="H292" i="55" s="1"/>
  <c r="L292" i="55" s="1"/>
  <c r="E25" i="15" a="1"/>
  <c r="E25" i="15" s="1"/>
  <c r="E26" i="15" s="1"/>
  <c r="J18" i="55" a="1"/>
  <c r="J18" i="55" s="1"/>
  <c r="H327" i="55" a="1"/>
  <c r="H327" i="55" s="1"/>
  <c r="L327" i="55" s="1"/>
  <c r="H440" i="55" a="1"/>
  <c r="H440" i="55" s="1"/>
  <c r="L440" i="55" s="1"/>
  <c r="H283" i="55" a="1"/>
  <c r="H283" i="55" s="1"/>
  <c r="L283" i="55" s="1"/>
  <c r="H326" i="55" a="1"/>
  <c r="H326" i="55" s="1"/>
  <c r="L326" i="55" s="1"/>
  <c r="H469" i="55" a="1"/>
  <c r="H469" i="55" s="1"/>
  <c r="L469" i="55" s="1"/>
  <c r="H252" i="55" a="1"/>
  <c r="H252" i="55" s="1"/>
  <c r="L252" i="55" s="1"/>
  <c r="F29" i="15" a="1"/>
  <c r="F29" i="15" s="1"/>
  <c r="F38" i="15" a="1"/>
  <c r="F38" i="15" s="1"/>
  <c r="E40" i="15" a="1"/>
  <c r="E40" i="15" s="1"/>
  <c r="F35" i="15" a="1"/>
  <c r="F35" i="15" s="1"/>
  <c r="H330" i="55" a="1"/>
  <c r="H330" i="55" s="1"/>
  <c r="L330" i="55" s="1"/>
  <c r="F6" i="12" a="1"/>
  <c r="F6" i="12" s="1"/>
  <c r="F16" i="70" a="1"/>
  <c r="F16" i="70" s="1"/>
  <c r="H16" i="70" s="1"/>
  <c r="H481" i="55" a="1"/>
  <c r="H481" i="55" s="1"/>
  <c r="L481" i="55" s="1"/>
  <c r="E10" i="70" a="1"/>
  <c r="E10" i="70" s="1"/>
  <c r="F10" i="15" a="1"/>
  <c r="F10" i="15" s="1"/>
  <c r="E29" i="15" a="1"/>
  <c r="E29" i="15" s="1"/>
  <c r="H101" i="55" a="1"/>
  <c r="H101" i="55" s="1"/>
  <c r="L101" i="55" s="1"/>
  <c r="H65" i="55" a="1"/>
  <c r="H65" i="55" s="1"/>
  <c r="L65" i="55" s="1"/>
  <c r="H120" i="55" a="1"/>
  <c r="H120" i="55" s="1"/>
  <c r="L120" i="55" s="1"/>
  <c r="H182" i="55" a="1"/>
  <c r="H182" i="55" s="1"/>
  <c r="L182" i="55" s="1"/>
  <c r="H122" i="55" a="1"/>
  <c r="H122" i="55" s="1"/>
  <c r="H46" i="55" a="1"/>
  <c r="H46" i="55" s="1"/>
  <c r="L46" i="55" s="1"/>
  <c r="H339" i="55" a="1"/>
  <c r="H339" i="55" s="1"/>
  <c r="L339" i="55" s="1"/>
  <c r="H397" i="55" a="1"/>
  <c r="H397" i="55" s="1"/>
  <c r="L397" i="55" s="1"/>
  <c r="H448" i="55" a="1"/>
  <c r="H448" i="55" s="1"/>
  <c r="L448" i="55" s="1"/>
  <c r="H180" i="55" a="1"/>
  <c r="H180" i="55" s="1"/>
  <c r="L180" i="55" s="1"/>
  <c r="H228" i="55" a="1"/>
  <c r="H228" i="55" s="1"/>
  <c r="L228" i="55" s="1"/>
  <c r="H336" i="55" a="1"/>
  <c r="H336" i="55" s="1"/>
  <c r="L336" i="55" s="1"/>
  <c r="H108" i="55" a="1"/>
  <c r="H108" i="55" s="1"/>
  <c r="E12" i="70" a="1"/>
  <c r="E12" i="70" s="1"/>
  <c r="H370" i="55" a="1"/>
  <c r="H370" i="55" s="1"/>
  <c r="L370" i="55" s="1"/>
  <c r="H68" i="55" a="1"/>
  <c r="H68" i="55" s="1"/>
  <c r="L68" i="55" s="1"/>
  <c r="H455" i="55" a="1"/>
  <c r="H455" i="55" s="1"/>
  <c r="L455" i="55" s="1"/>
  <c r="H73" i="55" a="1"/>
  <c r="H73" i="55" s="1"/>
  <c r="L73" i="55" s="1"/>
  <c r="F9" i="70" a="1"/>
  <c r="F9" i="70" s="1"/>
  <c r="E8" i="12" a="1"/>
  <c r="E8" i="12" s="1"/>
  <c r="H148" i="55" a="1"/>
  <c r="H148" i="55" s="1"/>
  <c r="H305" i="55" a="1"/>
  <c r="H305" i="55" s="1"/>
  <c r="L305" i="55" s="1"/>
  <c r="H114" i="55" a="1"/>
  <c r="H114" i="55" s="1"/>
  <c r="L114" i="55" s="1"/>
  <c r="E13" i="12" a="1"/>
  <c r="E13" i="12" s="1"/>
  <c r="H127" i="55" a="1"/>
  <c r="H127" i="55" s="1"/>
  <c r="E11" i="70" a="1"/>
  <c r="E11" i="70" s="1"/>
  <c r="E14" i="15" a="1"/>
  <c r="E14" i="15" s="1"/>
  <c r="F8" i="70" a="1"/>
  <c r="F8" i="70" s="1"/>
  <c r="E23" i="15" a="1"/>
  <c r="E23" i="15" s="1"/>
  <c r="E17" i="70" a="1"/>
  <c r="E17" i="70" s="1"/>
  <c r="G17" i="70" s="1"/>
  <c r="H260" i="55" a="1"/>
  <c r="H260" i="55" s="1"/>
  <c r="L260" i="55" s="1"/>
  <c r="H193" i="55" a="1"/>
  <c r="H193" i="55" s="1"/>
  <c r="L193" i="55" s="1"/>
  <c r="H219" i="55" a="1"/>
  <c r="H219" i="55" s="1"/>
  <c r="L219" i="55" s="1"/>
  <c r="H229" i="55" a="1"/>
  <c r="H229" i="55" s="1"/>
  <c r="L229" i="55" s="1"/>
  <c r="H199" i="55" a="1"/>
  <c r="H199" i="55" s="1"/>
  <c r="L199" i="55" s="1"/>
  <c r="H243" i="55" a="1"/>
  <c r="H243" i="55" s="1"/>
  <c r="L243" i="55" s="1"/>
  <c r="H257" i="55" a="1"/>
  <c r="H257" i="55" s="1"/>
  <c r="L257" i="55" s="1"/>
  <c r="H189" i="55" a="1"/>
  <c r="H189" i="55" s="1"/>
  <c r="L189" i="55" s="1"/>
  <c r="H256" i="55" a="1"/>
  <c r="H256" i="55" s="1"/>
  <c r="L256" i="55" s="1"/>
  <c r="H233" i="55" a="1"/>
  <c r="H233" i="55" s="1"/>
  <c r="L233" i="55" s="1"/>
  <c r="H278" i="55" a="1"/>
  <c r="H278" i="55" s="1"/>
  <c r="L278" i="55" s="1"/>
  <c r="H234" i="55" a="1"/>
  <c r="H234" i="55" s="1"/>
  <c r="L234" i="55" s="1"/>
  <c r="H459" i="55" a="1"/>
  <c r="H459" i="55" s="1"/>
  <c r="L459" i="55" s="1"/>
  <c r="H247" i="55" a="1"/>
  <c r="H247" i="55" s="1"/>
  <c r="L247" i="55" s="1"/>
  <c r="H406" i="55" a="1"/>
  <c r="H406" i="55" s="1"/>
  <c r="L406" i="55" s="1"/>
  <c r="H303" i="55" a="1"/>
  <c r="H303" i="55" s="1"/>
  <c r="L303" i="55" s="1"/>
  <c r="H175" i="55" a="1"/>
  <c r="H175" i="55" s="1"/>
  <c r="L175" i="55" s="1"/>
  <c r="H204" i="55" a="1"/>
  <c r="H204" i="55" s="1"/>
  <c r="L204" i="55" s="1"/>
  <c r="H203" i="55" a="1"/>
  <c r="H203" i="55" s="1"/>
  <c r="L203" i="55" s="1"/>
  <c r="F37" i="15" a="1"/>
  <c r="F37" i="15" s="1"/>
  <c r="H144" i="55" a="1"/>
  <c r="H144" i="55" s="1"/>
  <c r="L144" i="55" s="1"/>
  <c r="E22" i="15" a="1"/>
  <c r="E22" i="15" s="1"/>
  <c r="F19" i="15" a="1"/>
  <c r="F19" i="15" s="1"/>
  <c r="H480" i="55" a="1"/>
  <c r="H480" i="55" s="1"/>
  <c r="L480" i="55" s="1"/>
  <c r="F19" i="70" a="1"/>
  <c r="F19" i="70" s="1"/>
  <c r="E10" i="15" a="1"/>
  <c r="E10" i="15" s="1"/>
  <c r="H462" i="55" a="1"/>
  <c r="H462" i="55" s="1"/>
  <c r="L462" i="55" s="1"/>
  <c r="H205" i="55" a="1"/>
  <c r="H205" i="55" s="1"/>
  <c r="L205" i="55" s="1"/>
  <c r="F14" i="70" a="1"/>
  <c r="F14" i="70" s="1"/>
  <c r="H14" i="70" s="1"/>
  <c r="H438" i="55" a="1"/>
  <c r="H438" i="55" s="1"/>
  <c r="L438" i="55" s="1"/>
  <c r="H170" i="55" a="1"/>
  <c r="H170" i="55" s="1"/>
  <c r="L170" i="55" s="1"/>
  <c r="H465" i="55" a="1"/>
  <c r="H465" i="55" s="1"/>
  <c r="L465" i="55" s="1"/>
  <c r="F13" i="70" a="1"/>
  <c r="F13" i="70" s="1"/>
  <c r="E28" i="15" a="1"/>
  <c r="E28" i="15" s="1"/>
  <c r="G28" i="15" s="1"/>
  <c r="F15" i="15" a="1"/>
  <c r="F15" i="15" s="1"/>
  <c r="H106" i="55" a="1"/>
  <c r="H106" i="55" s="1"/>
  <c r="H86" i="55" a="1"/>
  <c r="H86" i="55" s="1"/>
  <c r="L86" i="55" s="1"/>
  <c r="H355" i="55" a="1"/>
  <c r="H355" i="55" s="1"/>
  <c r="F9" i="12" a="1"/>
  <c r="F9" i="12" s="1"/>
  <c r="H9" i="12" s="1"/>
  <c r="F12" i="15" a="1"/>
  <c r="F12" i="15" s="1"/>
  <c r="F7" i="12" a="1"/>
  <c r="F7" i="12" s="1"/>
  <c r="H474" i="55" a="1"/>
  <c r="H474" i="55" s="1"/>
  <c r="L474" i="55" s="1"/>
  <c r="H215" i="55" a="1"/>
  <c r="H215" i="55" s="1"/>
  <c r="L215" i="55" s="1"/>
  <c r="H265" i="55" a="1"/>
  <c r="H265" i="55" s="1"/>
  <c r="L265" i="55" s="1"/>
  <c r="H443" i="55" a="1"/>
  <c r="H443" i="55" s="1"/>
  <c r="L443" i="55" s="1"/>
  <c r="E6" i="70" a="1"/>
  <c r="E6" i="70" s="1"/>
  <c r="H183" i="55" a="1"/>
  <c r="H183" i="55" s="1"/>
  <c r="L183" i="55" s="1"/>
  <c r="E18" i="15" a="1"/>
  <c r="E18" i="15" s="1"/>
  <c r="E35" i="15" a="1"/>
  <c r="E35" i="15" s="1"/>
  <c r="E15" i="70" a="1"/>
  <c r="E15" i="70" s="1"/>
  <c r="G15" i="70" s="1"/>
  <c r="H478" i="55" a="1"/>
  <c r="H478" i="55" s="1"/>
  <c r="L478" i="55" s="1"/>
  <c r="H293" i="55" a="1"/>
  <c r="H293" i="55" s="1"/>
  <c r="L293" i="55" s="1"/>
  <c r="H12" i="55" a="1"/>
  <c r="H12" i="55" s="1"/>
  <c r="F23" i="15" a="1"/>
  <c r="F23" i="15" s="1"/>
  <c r="E7" i="70" a="1"/>
  <c r="E7" i="70" s="1"/>
  <c r="G7" i="70" s="1"/>
  <c r="H64" i="55" a="1"/>
  <c r="H64" i="55" s="1"/>
  <c r="L64" i="55" s="1"/>
  <c r="H141" i="55" a="1"/>
  <c r="H141" i="55" s="1"/>
  <c r="E15" i="15" a="1"/>
  <c r="E15" i="15" s="1"/>
  <c r="F30" i="15" a="1"/>
  <c r="F30" i="15" s="1"/>
  <c r="F22" i="15" a="1"/>
  <c r="F22" i="15" s="1"/>
  <c r="H479" i="55" a="1"/>
  <c r="H479" i="55" s="1"/>
  <c r="L479" i="55" s="1"/>
  <c r="H402" i="55" a="1"/>
  <c r="H402" i="55" s="1"/>
  <c r="L402" i="55" s="1"/>
  <c r="H251" i="55" a="1"/>
  <c r="H251" i="55" s="1"/>
  <c r="L251" i="55" s="1"/>
  <c r="H239" i="55" a="1"/>
  <c r="H239" i="55" s="1"/>
  <c r="L239" i="55" s="1"/>
  <c r="H18" i="55" a="1"/>
  <c r="H18" i="55" s="1"/>
  <c r="H207" i="55" a="1"/>
  <c r="H207" i="55" s="1"/>
  <c r="L207" i="55" s="1"/>
  <c r="H287" i="55" a="1"/>
  <c r="H287" i="55" s="1"/>
  <c r="L287" i="55" s="1"/>
  <c r="H476" i="55" a="1"/>
  <c r="H476" i="55" s="1"/>
  <c r="L476" i="55" s="1"/>
  <c r="E6" i="12" a="1"/>
  <c r="E6" i="12" s="1"/>
  <c r="E38" i="15" a="1"/>
  <c r="E38" i="15" s="1"/>
  <c r="H464" i="55" a="1"/>
  <c r="H464" i="55" s="1"/>
  <c r="L464" i="55" s="1"/>
  <c r="H187" i="55" a="1"/>
  <c r="H187" i="55" s="1"/>
  <c r="L187" i="55" s="1"/>
  <c r="H432" i="55" a="1"/>
  <c r="H432" i="55" s="1"/>
  <c r="H140" i="55" a="1"/>
  <c r="H140" i="55" s="1"/>
  <c r="L140" i="55" s="1"/>
  <c r="E50" i="15" a="1"/>
  <c r="E50" i="15" s="1"/>
  <c r="I50" i="15" s="1"/>
  <c r="H39" i="55" a="1"/>
  <c r="H39" i="55" s="1"/>
  <c r="L39" i="55" s="1"/>
  <c r="H157" i="55" a="1"/>
  <c r="H157" i="55" s="1"/>
  <c r="H411" i="55" a="1"/>
  <c r="H411" i="55" s="1"/>
  <c r="L411" i="55" s="1"/>
  <c r="F17" i="15" a="1"/>
  <c r="F17" i="15" s="1"/>
  <c r="H17" i="15" s="1"/>
  <c r="F33" i="15" a="1"/>
  <c r="F33" i="15" s="1"/>
  <c r="H466" i="55" a="1"/>
  <c r="H466" i="55" s="1"/>
  <c r="L466" i="55" s="1"/>
  <c r="H266" i="55" a="1"/>
  <c r="H266" i="55" s="1"/>
  <c r="L266" i="55" s="1"/>
  <c r="H22" i="55" a="1"/>
  <c r="H22" i="55" s="1"/>
  <c r="H220" i="55" a="1"/>
  <c r="H220" i="55" s="1"/>
  <c r="L220" i="55" s="1"/>
  <c r="H186" i="55" a="1"/>
  <c r="H186" i="55" s="1"/>
  <c r="L186" i="55" s="1"/>
  <c r="H477" i="55" a="1"/>
  <c r="H477" i="55" s="1"/>
  <c r="L477" i="55" s="1"/>
  <c r="F25" i="15" a="1"/>
  <c r="F25" i="15" s="1"/>
  <c r="F26" i="15" s="1"/>
  <c r="H273" i="55" a="1"/>
  <c r="H273" i="55" s="1"/>
  <c r="L273" i="55" s="1"/>
  <c r="F18" i="70" a="1"/>
  <c r="F18" i="70" s="1"/>
  <c r="E37" i="15" a="1"/>
  <c r="E37" i="15" s="1"/>
  <c r="H216" i="55" a="1"/>
  <c r="H216" i="55" s="1"/>
  <c r="L216" i="55" s="1"/>
  <c r="H202" i="55" a="1"/>
  <c r="H202" i="55" s="1"/>
  <c r="L202" i="55" s="1"/>
  <c r="H296" i="55" a="1"/>
  <c r="H296" i="55" s="1"/>
  <c r="L296" i="55" s="1"/>
  <c r="E18" i="70" a="1"/>
  <c r="E18" i="70" s="1"/>
  <c r="H249" i="55" a="1"/>
  <c r="H249" i="55" s="1"/>
  <c r="L249" i="55" s="1"/>
  <c r="F13" i="12" a="1"/>
  <c r="F13" i="12" s="1"/>
  <c r="H34" i="55" a="1"/>
  <c r="H34" i="55" s="1"/>
  <c r="L34" i="55" s="1"/>
  <c r="H30" i="55" a="1"/>
  <c r="H30" i="55" s="1"/>
  <c r="L30" i="55" s="1"/>
  <c r="H386" i="55" a="1"/>
  <c r="H386" i="55" s="1"/>
  <c r="H7" i="12" l="1"/>
  <c r="G11" i="70"/>
  <c r="G12" i="70"/>
  <c r="H12" i="12"/>
  <c r="H13" i="12"/>
  <c r="G14" i="12"/>
  <c r="G8" i="12"/>
  <c r="G10" i="70"/>
  <c r="G10" i="12"/>
  <c r="G21" i="15"/>
  <c r="H23" i="15"/>
  <c r="H20" i="70"/>
  <c r="H37" i="15"/>
  <c r="J157" i="55" a="1"/>
  <c r="J157" i="55" s="1"/>
  <c r="L157" i="55" s="1"/>
  <c r="G8" i="70"/>
  <c r="J31" i="55" a="1"/>
  <c r="J31" i="55" s="1"/>
  <c r="J172" i="55" a="1"/>
  <c r="J172" i="55" s="1"/>
  <c r="L172" i="55" s="1"/>
  <c r="H18" i="70"/>
  <c r="H9" i="70"/>
  <c r="L31" i="55"/>
  <c r="J22" i="55" a="1"/>
  <c r="J22" i="55" s="1"/>
  <c r="L22" i="55" s="1"/>
  <c r="E39" i="15"/>
  <c r="G38" i="15"/>
  <c r="G15" i="15"/>
  <c r="E16" i="15"/>
  <c r="G35" i="15"/>
  <c r="E36" i="15"/>
  <c r="H15" i="15"/>
  <c r="H16" i="15" s="1"/>
  <c r="F16" i="15"/>
  <c r="E24" i="15"/>
  <c r="G14" i="15"/>
  <c r="F11" i="15"/>
  <c r="H10" i="15"/>
  <c r="H11" i="15" s="1"/>
  <c r="H6" i="12"/>
  <c r="F16" i="12"/>
  <c r="I40" i="15"/>
  <c r="E41" i="15"/>
  <c r="I41" i="15" s="1"/>
  <c r="H28" i="15"/>
  <c r="E13" i="15"/>
  <c r="G12" i="15"/>
  <c r="G13" i="15" s="1"/>
  <c r="G33" i="15"/>
  <c r="E34" i="15"/>
  <c r="G11" i="12"/>
  <c r="H7" i="70"/>
  <c r="J413" i="55" a="1"/>
  <c r="J413" i="55" s="1"/>
  <c r="J166" i="55" a="1"/>
  <c r="J166" i="55" s="1"/>
  <c r="L166" i="55" s="1"/>
  <c r="J57" i="55" a="1"/>
  <c r="J57" i="55" s="1"/>
  <c r="J369" i="55" a="1"/>
  <c r="J369" i="55" s="1"/>
  <c r="L369" i="55" s="1"/>
  <c r="J29" i="55" a="1"/>
  <c r="J29" i="55" s="1"/>
  <c r="J386" i="55" a="1"/>
  <c r="J386" i="55" s="1"/>
  <c r="J354" i="55" a="1"/>
  <c r="J354" i="55" s="1"/>
  <c r="J389" i="55" a="1"/>
  <c r="J389" i="55" s="1"/>
  <c r="L389" i="55" s="1"/>
  <c r="J334" i="55" a="1"/>
  <c r="J334" i="55" s="1"/>
  <c r="J452" i="55" a="1"/>
  <c r="J452" i="55" s="1"/>
  <c r="J141" i="55" a="1"/>
  <c r="J141" i="55" s="1"/>
  <c r="F43" i="15" a="1"/>
  <c r="F43" i="15" s="1"/>
  <c r="I43" i="15" s="1"/>
  <c r="J143" i="55" a="1"/>
  <c r="J143" i="55" s="1"/>
  <c r="J134" i="55" a="1"/>
  <c r="J134" i="55" s="1"/>
  <c r="J431" i="55" a="1"/>
  <c r="J431" i="55" s="1"/>
  <c r="J274" i="55" a="1"/>
  <c r="J274" i="55" s="1"/>
  <c r="L274" i="55" s="1"/>
  <c r="J91" i="55" a="1"/>
  <c r="J91" i="55" s="1"/>
  <c r="L91" i="55" s="1"/>
  <c r="J132" i="55" a="1"/>
  <c r="J132" i="55" s="1"/>
  <c r="J38" i="55" a="1"/>
  <c r="J38" i="55" s="1"/>
  <c r="J60" i="55" a="1"/>
  <c r="J60" i="55" s="1"/>
  <c r="L60" i="55" s="1"/>
  <c r="J321" i="55" a="1"/>
  <c r="J321" i="55" s="1"/>
  <c r="J139" i="55" a="1"/>
  <c r="J139" i="55" s="1"/>
  <c r="L139" i="55" s="1"/>
  <c r="J98" i="55" a="1"/>
  <c r="J98" i="55" s="1"/>
  <c r="J26" i="55" a="1"/>
  <c r="J26" i="55" s="1"/>
  <c r="L26" i="55" s="1"/>
  <c r="J250" i="55" a="1"/>
  <c r="J250" i="55" s="1"/>
  <c r="L250" i="55" s="1"/>
  <c r="J130" i="55" a="1"/>
  <c r="J130" i="55" s="1"/>
  <c r="J40" i="55" a="1"/>
  <c r="J40" i="55" s="1"/>
  <c r="L40" i="55" s="1"/>
  <c r="J36" i="55" a="1"/>
  <c r="J36" i="55" s="1"/>
  <c r="L36" i="55" s="1"/>
  <c r="J169" i="55" a="1"/>
  <c r="J169" i="55" s="1"/>
  <c r="L169" i="55" s="1"/>
  <c r="J47" i="55" a="1"/>
  <c r="J47" i="55" s="1"/>
  <c r="J421" i="55" a="1"/>
  <c r="J421" i="55" s="1"/>
  <c r="J45" i="55" a="1"/>
  <c r="J45" i="55" s="1"/>
  <c r="L45" i="55" s="1"/>
  <c r="L386" i="55"/>
  <c r="H33" i="15"/>
  <c r="F34" i="15"/>
  <c r="H34" i="15" s="1"/>
  <c r="G6" i="12"/>
  <c r="E16" i="12"/>
  <c r="L141" i="55"/>
  <c r="F13" i="15"/>
  <c r="H12" i="15"/>
  <c r="H13" i="15" s="1"/>
  <c r="F24" i="15"/>
  <c r="F39" i="15"/>
  <c r="H38" i="15"/>
  <c r="H15" i="70"/>
  <c r="G9" i="70"/>
  <c r="L57" i="55"/>
  <c r="H21" i="15"/>
  <c r="H10" i="12"/>
  <c r="G30" i="15"/>
  <c r="G31" i="15" s="1"/>
  <c r="E31" i="15"/>
  <c r="E32" i="15" s="1"/>
  <c r="L98" i="55"/>
  <c r="L431" i="55"/>
  <c r="L134" i="55"/>
  <c r="L102" i="55"/>
  <c r="L334" i="55"/>
  <c r="L29" i="55"/>
  <c r="L354" i="55"/>
  <c r="J432" i="55" a="1"/>
  <c r="J432" i="55" s="1"/>
  <c r="J299" i="55" a="1"/>
  <c r="J299" i="55" s="1"/>
  <c r="J383" i="55" a="1"/>
  <c r="J383" i="55" s="1"/>
  <c r="L383" i="55" s="1"/>
  <c r="J313" i="55" a="1"/>
  <c r="J313" i="55" s="1"/>
  <c r="J117" i="55" a="1"/>
  <c r="J117" i="55" s="1"/>
  <c r="L117" i="55" s="1"/>
  <c r="F44" i="15" a="1"/>
  <c r="F44" i="15" s="1"/>
  <c r="I44" i="15" s="1"/>
  <c r="J171" i="55" a="1"/>
  <c r="J171" i="55" s="1"/>
  <c r="L171" i="55" s="1"/>
  <c r="J192" i="55" a="1"/>
  <c r="J192" i="55" s="1"/>
  <c r="L192" i="55" s="1"/>
  <c r="J122" i="55" a="1"/>
  <c r="J122" i="55" s="1"/>
  <c r="J100" i="55" a="1"/>
  <c r="J100" i="55" s="1"/>
  <c r="J127" i="55" a="1"/>
  <c r="J127" i="55" s="1"/>
  <c r="L127" i="55" s="1"/>
  <c r="J396" i="55" a="1"/>
  <c r="J396" i="55" s="1"/>
  <c r="L396" i="55" s="1"/>
  <c r="J121" i="55" a="1"/>
  <c r="J121" i="55" s="1"/>
  <c r="L121" i="55" s="1"/>
  <c r="J445" i="55" a="1"/>
  <c r="J445" i="55" s="1"/>
  <c r="L445" i="55" s="1"/>
  <c r="J63" i="55" a="1"/>
  <c r="J63" i="55" s="1"/>
  <c r="L63" i="55" s="1"/>
  <c r="J248" i="55" a="1"/>
  <c r="J248" i="55" s="1"/>
  <c r="L248" i="55" s="1"/>
  <c r="J97" i="55" a="1"/>
  <c r="J97" i="55" s="1"/>
  <c r="J393" i="55" a="1"/>
  <c r="J393" i="55" s="1"/>
  <c r="J437" i="55" a="1"/>
  <c r="J437" i="55" s="1"/>
  <c r="L437" i="55" s="1"/>
  <c r="J48" i="55" a="1"/>
  <c r="J48" i="55" s="1"/>
  <c r="L48" i="55" s="1"/>
  <c r="J128" i="55" a="1"/>
  <c r="J128" i="55" s="1"/>
  <c r="L128" i="55" s="1"/>
  <c r="J254" i="55" a="1"/>
  <c r="J254" i="55" s="1"/>
  <c r="L254" i="55" s="1"/>
  <c r="J51" i="55" a="1"/>
  <c r="J51" i="55" s="1"/>
  <c r="L51" i="55" s="1"/>
  <c r="J350" i="55" a="1"/>
  <c r="J350" i="55" s="1"/>
  <c r="L350" i="55" s="1"/>
  <c r="J148" i="55" a="1"/>
  <c r="J148" i="55" s="1"/>
  <c r="L148" i="55" s="1"/>
  <c r="J206" i="55" a="1"/>
  <c r="J206" i="55" s="1"/>
  <c r="J74" i="55" a="1"/>
  <c r="J74" i="55" s="1"/>
  <c r="L74" i="55" s="1"/>
  <c r="J270" i="55" a="1"/>
  <c r="J270" i="55" s="1"/>
  <c r="L270" i="55" s="1"/>
  <c r="J277" i="55" a="1"/>
  <c r="J277" i="55" s="1"/>
  <c r="J355" i="55" a="1"/>
  <c r="J355" i="55" s="1"/>
  <c r="J217" i="55" a="1"/>
  <c r="J217" i="55" s="1"/>
  <c r="L217" i="55" s="1"/>
  <c r="J147" i="55" a="1"/>
  <c r="J147" i="55" s="1"/>
  <c r="L147" i="55" s="1"/>
  <c r="L18" i="55"/>
  <c r="E20" i="15"/>
  <c r="G18" i="15"/>
  <c r="L151" i="55" s="1"/>
  <c r="H151" i="55"/>
  <c r="E11" i="15"/>
  <c r="G10" i="15"/>
  <c r="G11" i="15" s="1"/>
  <c r="J17" i="55"/>
  <c r="H19" i="15"/>
  <c r="G23" i="15"/>
  <c r="L122" i="55"/>
  <c r="H29" i="15"/>
  <c r="G25" i="15"/>
  <c r="G26" i="15" s="1"/>
  <c r="H18" i="15"/>
  <c r="J151" i="55"/>
  <c r="F20" i="15"/>
  <c r="G14" i="70"/>
  <c r="H8" i="12"/>
  <c r="G27" i="15"/>
  <c r="L47" i="55"/>
  <c r="L393" i="55"/>
  <c r="L38" i="55"/>
  <c r="H17" i="70"/>
  <c r="L421" i="55"/>
  <c r="L299" i="55"/>
  <c r="L452" i="55"/>
  <c r="L143" i="55"/>
  <c r="L313" i="55"/>
  <c r="L413" i="55"/>
  <c r="L130" i="55"/>
  <c r="H14" i="12"/>
  <c r="J395" i="55" a="1"/>
  <c r="J395" i="55" s="1"/>
  <c r="L395" i="55" s="1"/>
  <c r="J82" i="55" a="1"/>
  <c r="J82" i="55" s="1"/>
  <c r="L82" i="55" s="1"/>
  <c r="J364" i="55" a="1"/>
  <c r="J364" i="55" s="1"/>
  <c r="L364" i="55" s="1"/>
  <c r="J198" i="55" a="1"/>
  <c r="J198" i="55" s="1"/>
  <c r="J357" i="55" a="1"/>
  <c r="J357" i="55" s="1"/>
  <c r="L357" i="55" s="1"/>
  <c r="J27" i="55" a="1"/>
  <c r="J27" i="55" s="1"/>
  <c r="J35" i="55" a="1"/>
  <c r="J35" i="55" s="1"/>
  <c r="J118" i="55" a="1"/>
  <c r="J118" i="55" s="1"/>
  <c r="L118" i="55" s="1"/>
  <c r="J280" i="55" a="1"/>
  <c r="J280" i="55" s="1"/>
  <c r="J461" i="55" a="1"/>
  <c r="J461" i="55" s="1"/>
  <c r="L461" i="55" s="1"/>
  <c r="F46" i="15" a="1"/>
  <c r="F46" i="15" s="1"/>
  <c r="I46" i="15" s="1"/>
  <c r="J69" i="55" a="1"/>
  <c r="J69" i="55" s="1"/>
  <c r="L69" i="55" s="1"/>
  <c r="J119" i="55" a="1"/>
  <c r="J119" i="55" s="1"/>
  <c r="L119" i="55" s="1"/>
  <c r="J323" i="55" a="1"/>
  <c r="J323" i="55" s="1"/>
  <c r="L323" i="55" s="1"/>
  <c r="J154" i="55" a="1"/>
  <c r="J154" i="55" s="1"/>
  <c r="F49" i="15" a="1"/>
  <c r="F49" i="15" s="1"/>
  <c r="I49" i="15" s="1"/>
  <c r="J230" i="55" a="1"/>
  <c r="J230" i="55" s="1"/>
  <c r="L230" i="55" s="1"/>
  <c r="J105" i="55" a="1"/>
  <c r="J105" i="55" s="1"/>
  <c r="L105" i="55" s="1"/>
  <c r="J104" i="55" a="1"/>
  <c r="J104" i="55" s="1"/>
  <c r="L104" i="55" s="1"/>
  <c r="J72" i="55" a="1"/>
  <c r="J72" i="55" s="1"/>
  <c r="L72" i="55" s="1"/>
  <c r="J108" i="55" a="1"/>
  <c r="J108" i="55" s="1"/>
  <c r="L108" i="55" s="1"/>
  <c r="J345" i="55" a="1"/>
  <c r="J345" i="55" s="1"/>
  <c r="L345" i="55" s="1"/>
  <c r="J261" i="55" a="1"/>
  <c r="J261" i="55" s="1"/>
  <c r="L261" i="55" s="1"/>
  <c r="J161" i="55" a="1"/>
  <c r="J161" i="55" s="1"/>
  <c r="L161" i="55" s="1"/>
  <c r="J337" i="55" a="1"/>
  <c r="J337" i="55" s="1"/>
  <c r="L337" i="55" s="1"/>
  <c r="F42" i="15" a="1"/>
  <c r="F42" i="15" s="1"/>
  <c r="I42" i="15" s="1"/>
  <c r="J33" i="55" a="1"/>
  <c r="J33" i="55" s="1"/>
  <c r="L33" i="55" s="1"/>
  <c r="J78" i="55" a="1"/>
  <c r="J78" i="55" s="1"/>
  <c r="L78" i="55" s="1"/>
  <c r="J237" i="55" a="1"/>
  <c r="J237" i="55" s="1"/>
  <c r="L237" i="55" s="1"/>
  <c r="J184" i="55" a="1"/>
  <c r="J184" i="55" s="1"/>
  <c r="L184" i="55" s="1"/>
  <c r="J373" i="55" a="1"/>
  <c r="J373" i="55" s="1"/>
  <c r="L373" i="55" s="1"/>
  <c r="J433" i="55" a="1"/>
  <c r="J433" i="55" s="1"/>
  <c r="L433" i="55" s="1"/>
  <c r="L432" i="55"/>
  <c r="H25" i="15"/>
  <c r="H26" i="15" s="1"/>
  <c r="J486" i="55"/>
  <c r="H22" i="15"/>
  <c r="G18" i="70"/>
  <c r="G37" i="15"/>
  <c r="F31" i="15"/>
  <c r="F32" i="15" s="1"/>
  <c r="H30" i="15"/>
  <c r="H31" i="15" s="1"/>
  <c r="H16" i="55"/>
  <c r="L355" i="55"/>
  <c r="G22" i="15"/>
  <c r="L486" i="55" s="1"/>
  <c r="H486" i="55"/>
  <c r="H8" i="70"/>
  <c r="G13" i="12"/>
  <c r="G29" i="15"/>
  <c r="G32" i="15" s="1"/>
  <c r="H35" i="15"/>
  <c r="F36" i="15"/>
  <c r="H36" i="15" s="1"/>
  <c r="G19" i="15"/>
  <c r="L17" i="55" s="1"/>
  <c r="H17" i="55"/>
  <c r="H10" i="70"/>
  <c r="H14" i="15"/>
  <c r="H11" i="70"/>
  <c r="G12" i="12"/>
  <c r="H12" i="70"/>
  <c r="H27" i="15"/>
  <c r="G16" i="70"/>
  <c r="G9" i="12"/>
  <c r="G20" i="70"/>
  <c r="G17" i="15"/>
  <c r="G7" i="12"/>
  <c r="L97" i="55"/>
  <c r="L206" i="55"/>
  <c r="L132" i="55"/>
  <c r="L154" i="55"/>
  <c r="L198" i="55"/>
  <c r="L280" i="55"/>
  <c r="L277" i="55"/>
  <c r="L100" i="55"/>
  <c r="L27" i="55"/>
  <c r="L321" i="55"/>
  <c r="L35" i="55"/>
  <c r="H152" i="55" a="1"/>
  <c r="H152" i="55" s="1"/>
  <c r="H238" i="55" a="1"/>
  <c r="H238" i="55" s="1"/>
  <c r="L238" i="55" s="1"/>
  <c r="H473" i="55" a="1"/>
  <c r="H473" i="55" s="1"/>
  <c r="L473" i="55" s="1"/>
  <c r="J12" i="55" a="1"/>
  <c r="J12" i="55" s="1"/>
  <c r="J16" i="55" s="1"/>
  <c r="H214" i="55" a="1"/>
  <c r="H214" i="55" s="1"/>
  <c r="L214" i="55" s="1"/>
  <c r="H405" i="55" a="1"/>
  <c r="H405" i="55" s="1"/>
  <c r="L405" i="55" s="1"/>
  <c r="J152" i="55" a="1"/>
  <c r="J152" i="55" s="1"/>
  <c r="H259" i="55" a="1"/>
  <c r="H259" i="55" s="1"/>
  <c r="L259" i="55" s="1"/>
  <c r="H297" i="55" a="1"/>
  <c r="H297" i="55" s="1"/>
  <c r="L297" i="55" s="1"/>
  <c r="F6" i="70" a="1"/>
  <c r="F6" i="70" s="1"/>
  <c r="G6" i="70" s="1"/>
  <c r="E19" i="70" a="1"/>
  <c r="E19" i="70" s="1"/>
  <c r="G19" i="70" s="1"/>
  <c r="H471" i="55" a="1"/>
  <c r="H471" i="55" s="1"/>
  <c r="L471" i="55" s="1"/>
  <c r="H317" i="55" a="1"/>
  <c r="H317" i="55" s="1"/>
  <c r="L317" i="55" s="1"/>
  <c r="H23" i="55" a="1"/>
  <c r="H23" i="55" s="1"/>
  <c r="L23" i="55" s="1"/>
  <c r="H316" i="55" a="1"/>
  <c r="H316" i="55" s="1"/>
  <c r="L316" i="55" s="1"/>
  <c r="E13" i="70" a="1"/>
  <c r="E13" i="70" s="1"/>
  <c r="G13" i="70" s="1"/>
  <c r="H331" i="55" a="1"/>
  <c r="H331" i="55" s="1"/>
  <c r="L331" i="55" s="1"/>
  <c r="J263" i="55" a="1"/>
  <c r="J263" i="55" s="1"/>
  <c r="L263" i="55" s="1"/>
  <c r="J70" i="55" a="1"/>
  <c r="J70" i="55" s="1"/>
  <c r="L70" i="55" s="1"/>
  <c r="J429" i="55" a="1"/>
  <c r="J429" i="55" s="1"/>
  <c r="L429" i="55" s="1"/>
  <c r="J158" i="55" a="1"/>
  <c r="J158" i="55" s="1"/>
  <c r="L158" i="55" s="1"/>
  <c r="J93" i="55" a="1"/>
  <c r="J93" i="55" s="1"/>
  <c r="L93" i="55" s="1"/>
  <c r="J162" i="55" a="1"/>
  <c r="J162" i="55" s="1"/>
  <c r="L162" i="55" s="1"/>
  <c r="J341" i="55" a="1"/>
  <c r="J341" i="55" s="1"/>
  <c r="L341" i="55" s="1"/>
  <c r="J340" i="55" a="1"/>
  <c r="J340" i="55" s="1"/>
  <c r="L340" i="55" s="1"/>
  <c r="J295" i="55" a="1"/>
  <c r="J295" i="55" s="1"/>
  <c r="L295" i="55" s="1"/>
  <c r="J435" i="55" a="1"/>
  <c r="J435" i="55" s="1"/>
  <c r="L435" i="55" s="1"/>
  <c r="J209" i="55" a="1"/>
  <c r="J209" i="55" s="1"/>
  <c r="L209" i="55" s="1"/>
  <c r="J28" i="55" a="1"/>
  <c r="J28" i="55" s="1"/>
  <c r="L28" i="55" s="1"/>
  <c r="J483" i="55" a="1"/>
  <c r="J483" i="55" s="1"/>
  <c r="L483" i="55" s="1"/>
  <c r="J351" i="55" a="1"/>
  <c r="J351" i="55" s="1"/>
  <c r="L351" i="55" s="1"/>
  <c r="J106" i="55" a="1"/>
  <c r="J106" i="55" s="1"/>
  <c r="L106" i="55" s="1"/>
  <c r="J377" i="55" a="1"/>
  <c r="J377" i="55" s="1"/>
  <c r="L377" i="55" s="1"/>
  <c r="J116" i="55" a="1"/>
  <c r="J116" i="55" s="1"/>
  <c r="L116" i="55" s="1"/>
  <c r="J258" i="55" a="1"/>
  <c r="J258" i="55" s="1"/>
  <c r="L258" i="55" s="1"/>
  <c r="J66" i="55" a="1"/>
  <c r="J66" i="55" s="1"/>
  <c r="L66" i="55" s="1"/>
  <c r="J137" i="55" a="1"/>
  <c r="J137" i="55" s="1"/>
  <c r="L137" i="55" s="1"/>
  <c r="J136" i="55" a="1"/>
  <c r="J136" i="55" s="1"/>
  <c r="L136" i="55" s="1"/>
  <c r="J208" i="55" a="1"/>
  <c r="J208" i="55" s="1"/>
  <c r="L208" i="55" s="1"/>
  <c r="J356" i="55" a="1"/>
  <c r="J356" i="55" s="1"/>
  <c r="L356" i="55" s="1"/>
  <c r="J79" i="55" a="1"/>
  <c r="J79" i="55" s="1"/>
  <c r="L79" i="55" s="1"/>
  <c r="J156" i="55" a="1"/>
  <c r="J156" i="55" s="1"/>
  <c r="L156" i="55" s="1"/>
  <c r="J381" i="55" a="1"/>
  <c r="J381" i="55" s="1"/>
  <c r="L381" i="55" s="1"/>
  <c r="J125" i="55" a="1"/>
  <c r="J125" i="55" s="1"/>
  <c r="L125" i="55" s="1"/>
  <c r="J196" i="55" a="1"/>
  <c r="J196" i="55" s="1"/>
  <c r="L196" i="55" s="1"/>
  <c r="J363" i="55" a="1"/>
  <c r="J363" i="55" s="1"/>
  <c r="L363" i="55" s="1"/>
  <c r="J131" i="55" a="1"/>
  <c r="J131" i="55" s="1"/>
  <c r="L131" i="55" s="1"/>
  <c r="J88" i="55" a="1"/>
  <c r="J88" i="55" s="1"/>
  <c r="L88" i="55" s="1"/>
  <c r="J211" i="55" a="1"/>
  <c r="J211" i="55" s="1"/>
  <c r="L211" i="55" s="1"/>
  <c r="J113" i="55" a="1"/>
  <c r="J113" i="55" s="1"/>
  <c r="L113" i="55" s="1"/>
  <c r="J348" i="55" a="1"/>
  <c r="J348" i="55" s="1"/>
  <c r="L348" i="55" s="1"/>
  <c r="H32" i="15" l="1"/>
  <c r="H20" i="15"/>
  <c r="I17" i="55"/>
  <c r="J150" i="55"/>
  <c r="I151" i="55" s="1"/>
  <c r="G22" i="70"/>
  <c r="J485" i="55"/>
  <c r="I486" i="55" s="1"/>
  <c r="H19" i="70"/>
  <c r="G20" i="15"/>
  <c r="G16" i="12"/>
  <c r="F22" i="70"/>
  <c r="H6" i="70"/>
  <c r="E22" i="70"/>
  <c r="H13" i="70"/>
  <c r="H150" i="55"/>
  <c r="G151" i="55" s="1"/>
  <c r="H24" i="15"/>
  <c r="H16" i="12"/>
  <c r="J15" i="15"/>
  <c r="G16" i="15"/>
  <c r="H485" i="55"/>
  <c r="G486" i="55" s="1"/>
  <c r="L152" i="55"/>
  <c r="L485" i="55" s="1"/>
  <c r="K486" i="55" s="1"/>
  <c r="G17" i="55"/>
  <c r="L150" i="55"/>
  <c r="K151" i="55" s="1"/>
  <c r="G24" i="15"/>
  <c r="G36" i="15"/>
  <c r="G39" i="15"/>
  <c r="L12" i="55"/>
  <c r="L16" i="55" s="1"/>
  <c r="K17" i="55" s="1"/>
  <c r="H39" i="15"/>
  <c r="J38" i="15"/>
  <c r="G34" i="15"/>
  <c r="H22" i="70" l="1"/>
  <c r="H53" i="15" l="1"/>
</calcChain>
</file>

<file path=xl/sharedStrings.xml><?xml version="1.0" encoding="utf-8"?>
<sst xmlns="http://schemas.openxmlformats.org/spreadsheetml/2006/main" count="18693" uniqueCount="1445">
  <si>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</si>
  <si>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</si>
  <si>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</si>
  <si>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</si>
  <si>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</si>
  <si>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</si>
  <si>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</si>
  <si>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</si>
  <si>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</si>
  <si>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</si>
  <si>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</si>
  <si>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</si>
  <si>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</si>
  <si>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</si>
  <si>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</si>
  <si>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</si>
  <si>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</si>
  <si>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</si>
  <si>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</si>
  <si>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</si>
  <si>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</si>
  <si>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</si>
  <si>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</si>
  <si>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</si>
  <si>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</si>
  <si>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</si>
  <si>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</si>
  <si>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</si>
  <si>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</si>
  <si>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</si>
  <si>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</si>
  <si>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</si>
  <si>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</si>
  <si>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</si>
  <si>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</si>
  <si>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</si>
  <si>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</si>
  <si>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</si>
  <si>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</si>
  <si>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</si>
  <si>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</si>
  <si>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</si>
  <si>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</si>
  <si>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</si>
  <si>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</si>
  <si>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</si>
  <si>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</si>
  <si>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</si>
  <si>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</si>
  <si>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</si>
  <si>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</si>
  <si>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</si>
  <si>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</si>
  <si>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</si>
  <si>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</si>
  <si>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</si>
  <si>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</si>
  <si>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</si>
  <si>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</si>
  <si>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</si>
  <si>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</si>
  <si>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</si>
  <si>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</si>
  <si>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</si>
  <si>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</si>
  <si>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</si>
  <si>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</si>
  <si>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</si>
  <si>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</si>
  <si>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</si>
  <si>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</si>
  <si>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</si>
  <si>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</si>
  <si>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</si>
  <si>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</si>
  <si>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</si>
  <si>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</si>
  <si>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</si>
  <si>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</si>
  <si>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</si>
  <si>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</si>
  <si>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</si>
  <si>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</si>
  <si>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</si>
  <si>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</si>
  <si>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</si>
  <si>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</si>
  <si>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</si>
  <si>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</si>
  <si>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</si>
  <si>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</si>
  <si>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</si>
  <si>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</si>
  <si>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</si>
  <si>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</si>
  <si>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</si>
  <si>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</si>
  <si>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</si>
  <si>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</si>
  <si>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</si>
  <si>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</si>
  <si>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</si>
  <si>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</si>
  <si>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</si>
  <si>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</si>
  <si>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</si>
  <si>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</si>
  <si>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</si>
  <si>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</si>
  <si>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</si>
  <si>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</si>
  <si>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</si>
  <si>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</si>
  <si>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</si>
  <si>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</si>
  <si>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</si>
  <si>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</si>
  <si>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</si>
  <si>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</si>
  <si>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</si>
  <si>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</si>
  <si>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</si>
  <si>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</si>
  <si>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</si>
  <si>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</si>
  <si>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</si>
  <si>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</si>
  <si>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</si>
  <si>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</si>
  <si>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</si>
  <si>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</si>
  <si>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</si>
  <si>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</si>
  <si>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</si>
  <si>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</si>
  <si>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</si>
  <si>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</si>
  <si>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</si>
  <si>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</si>
  <si>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</si>
  <si>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</si>
  <si>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</si>
  <si>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</si>
  <si>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</si>
  <si>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</si>
  <si>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</si>
  <si>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</si>
  <si>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</si>
  <si>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</si>
  <si>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</si>
  <si>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</si>
  <si>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</si>
  <si>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</si>
  <si>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</si>
  <si>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</si>
  <si>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</si>
  <si>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</si>
  <si>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</si>
  <si>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</si>
  <si>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</si>
  <si>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</si>
  <si>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</si>
  <si>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</si>
  <si>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</si>
  <si>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</si>
  <si>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</si>
  <si>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</si>
  <si>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</si>
  <si>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</si>
  <si>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</si>
  <si>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</si>
  <si>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</si>
  <si>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</si>
  <si>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</si>
  <si>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</si>
  <si>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</si>
  <si>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</si>
  <si>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</si>
  <si>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</si>
  <si>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</si>
  <si>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</si>
  <si>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</si>
  <si>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</si>
  <si>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</si>
  <si>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</si>
  <si>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</si>
  <si>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</si>
  <si>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</si>
  <si>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</si>
  <si>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</si>
  <si>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</si>
  <si>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</si>
  <si>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</si>
  <si>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</si>
  <si>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</si>
  <si>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</si>
  <si>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</si>
  <si>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</si>
  <si>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</si>
  <si>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</si>
  <si>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</si>
  <si>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</si>
  <si>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</si>
  <si>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</si>
  <si>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</si>
  <si>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</si>
  <si>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</si>
  <si>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</si>
  <si>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</si>
  <si>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</si>
  <si>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</si>
  <si>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</si>
  <si>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</si>
  <si>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</si>
  <si>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</si>
  <si>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</si>
  <si>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</si>
  <si>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</si>
  <si>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</si>
  <si>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</si>
  <si>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</si>
  <si>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</si>
  <si>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</si>
  <si>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</si>
  <si>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</si>
  <si>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</si>
  <si>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</si>
  <si>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</si>
  <si>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</si>
  <si>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</si>
  <si>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</si>
  <si>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</si>
  <si>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</si>
  <si>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</si>
  <si>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</si>
  <si>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</si>
  <si>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</si>
  <si>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</si>
  <si>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</si>
  <si>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</si>
  <si>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</si>
  <si>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</si>
  <si>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</si>
  <si>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</si>
  <si>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</si>
  <si>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</si>
  <si>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</si>
  <si>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</si>
  <si>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</si>
  <si>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</si>
  <si>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</si>
  <si>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</si>
  <si>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</si>
  <si>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</si>
  <si>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</si>
  <si>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</si>
  <si>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</si>
  <si>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</si>
  <si>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</si>
  <si>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</si>
  <si>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</si>
  <si>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</si>
  <si>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</si>
  <si>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</si>
  <si>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</si>
  <si>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</si>
  <si>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</si>
  <si>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</si>
  <si>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</si>
  <si>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</si>
  <si>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</si>
  <si>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</si>
  <si>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</si>
  <si>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</si>
  <si>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</si>
  <si>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</si>
  <si>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</si>
  <si>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</si>
  <si>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</si>
  <si>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</si>
  <si>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</si>
  <si>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</si>
  <si>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</si>
  <si>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</si>
  <si>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</si>
  <si>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</si>
  <si>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</si>
  <si>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</si>
  <si>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</si>
  <si>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</si>
  <si>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</si>
  <si>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</si>
  <si>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</si>
  <si>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</si>
  <si>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</si>
  <si>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</si>
  <si>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</si>
  <si>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</si>
  <si>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</si>
  <si>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</si>
  <si>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</si>
  <si>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</si>
  <si>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</si>
  <si>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</si>
  <si>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</si>
  <si>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</si>
  <si>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</si>
  <si>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</si>
  <si>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</si>
  <si>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</si>
  <si>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</si>
  <si>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</si>
  <si>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</si>
  <si>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</si>
  <si>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</si>
  <si>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</si>
  <si>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</si>
  <si>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</si>
  <si>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</si>
  <si>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</si>
  <si>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</si>
  <si>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</si>
  <si>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</si>
  <si>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</si>
  <si>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</si>
  <si>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</si>
  <si>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</si>
  <si>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</si>
  <si>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</si>
  <si>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</si>
  <si>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</si>
  <si>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</si>
  <si>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</si>
  <si>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</si>
  <si>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</si>
  <si>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</si>
  <si>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</si>
  <si>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</si>
  <si>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</si>
  <si>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</si>
  <si>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</si>
  <si>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</si>
  <si>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</si>
  <si>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</si>
  <si>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</si>
  <si>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</si>
  <si>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</si>
  <si>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</si>
  <si>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</si>
  <si>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</si>
  <si>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</si>
  <si>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</si>
  <si>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</si>
  <si>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</si>
  <si>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</si>
  <si>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</si>
  <si>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</si>
  <si>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</si>
  <si>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</si>
  <si>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</si>
  <si>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</si>
  <si>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</si>
  <si>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</si>
  <si>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</si>
  <si>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</si>
  <si>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</si>
  <si>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</si>
  <si>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</si>
  <si>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</si>
  <si>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</si>
  <si>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</si>
  <si>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</si>
  <si>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</si>
  <si>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</si>
  <si>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</si>
  <si>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</si>
  <si>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</si>
  <si>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</si>
  <si>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</si>
  <si>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</si>
  <si>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</si>
  <si>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</si>
  <si>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</si>
  <si>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</si>
  <si>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</si>
  <si>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</si>
  <si>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</si>
  <si>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</si>
  <si>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</si>
  <si>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</si>
  <si>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</si>
  <si>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</si>
  <si>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</si>
  <si>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</si>
  <si>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</si>
  <si>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</si>
  <si>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</si>
  <si>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</si>
  <si>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</si>
  <si>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</si>
  <si>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</si>
  <si>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</si>
  <si>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</si>
  <si>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</si>
  <si>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</si>
  <si>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</si>
  <si>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</si>
  <si>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</si>
  <si>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</si>
  <si>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</si>
  <si>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</si>
  <si>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</si>
  <si>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</si>
  <si>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</si>
  <si>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</si>
  <si>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</si>
  <si>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</si>
  <si>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</si>
  <si>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</si>
  <si>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</si>
  <si>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</si>
  <si>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</si>
  <si>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</si>
  <si>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</si>
  <si>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</si>
  <si>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</si>
  <si>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</si>
  <si>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</si>
  <si>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</si>
  <si>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</si>
  <si>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</si>
  <si>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</si>
  <si>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</si>
  <si>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</si>
  <si>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</si>
  <si>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</si>
  <si>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</si>
  <si>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</si>
  <si>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</si>
  <si>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</si>
  <si>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</si>
  <si>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</si>
  <si>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</si>
  <si>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</si>
  <si>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</si>
  <si>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</si>
  <si>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</si>
  <si>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</si>
  <si>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</si>
  <si>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</si>
  <si>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</si>
  <si>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</si>
  <si>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</si>
  <si>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</si>
  <si>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</si>
  <si>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</si>
  <si>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</si>
  <si>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</si>
  <si>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</si>
  <si>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</si>
  <si>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</si>
  <si>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</si>
  <si>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</si>
  <si>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</si>
  <si>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</si>
  <si>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</si>
  <si>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</si>
  <si>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</si>
  <si>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</si>
  <si>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</si>
  <si>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</si>
  <si>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</si>
  <si>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</si>
  <si>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</si>
  <si>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</si>
  <si>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</si>
  <si>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</si>
  <si>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</si>
  <si>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</si>
  <si>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</si>
  <si>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</si>
  <si>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</si>
  <si>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</si>
  <si>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</si>
  <si>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</si>
  <si>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</si>
  <si>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</si>
  <si>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</si>
  <si>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</si>
  <si>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</si>
  <si>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</si>
  <si>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</si>
  <si>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</si>
  <si>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</si>
  <si>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</si>
  <si>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</si>
  <si>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</si>
  <si>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</si>
  <si>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</si>
  <si>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</si>
  <si>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</si>
  <si>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</si>
  <si>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</si>
  <si>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</si>
  <si>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</si>
  <si>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</si>
  <si>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</si>
  <si>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</si>
  <si>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</si>
  <si>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</si>
  <si>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</si>
  <si>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</si>
  <si>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</si>
  <si>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</si>
  <si>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</si>
  <si>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</si>
  <si>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</si>
  <si>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</si>
  <si>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</si>
  <si>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</si>
  <si>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</si>
  <si>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</si>
  <si>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</si>
  <si>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</si>
  <si>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</si>
  <si>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</si>
  <si>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</si>
  <si>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</si>
  <si>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</si>
  <si>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</si>
  <si>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</si>
  <si>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</si>
  <si>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</si>
  <si>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</si>
  <si>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</si>
  <si>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</si>
  <si>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</si>
  <si>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</si>
  <si>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</si>
  <si>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</si>
  <si>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</si>
  <si>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</si>
  <si>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</si>
  <si>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</si>
  <si>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</si>
  <si>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</si>
  <si>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</si>
  <si>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</si>
  <si>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</si>
  <si>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</si>
  <si>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</si>
  <si>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</si>
  <si>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</si>
  <si>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</si>
  <si>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</si>
  <si>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</si>
  <si>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</si>
  <si>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</si>
  <si>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</si>
  <si>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</si>
  <si>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</si>
  <si>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</si>
  <si>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</si>
  <si>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</si>
  <si>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</si>
  <si>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</si>
  <si>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</si>
  <si>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</si>
  <si>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</si>
  <si>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</si>
  <si>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</si>
  <si>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</si>
  <si>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</si>
  <si>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</si>
  <si>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</si>
  <si>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</si>
  <si>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</si>
  <si>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</si>
  <si>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</si>
  <si>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</si>
  <si>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</si>
  <si>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</si>
  <si>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</si>
  <si>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</si>
  <si>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</si>
  <si>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</si>
  <si>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</si>
  <si>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</si>
  <si>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</si>
  <si>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</si>
  <si>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</si>
  <si>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</si>
  <si>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</si>
  <si>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</si>
  <si>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</si>
  <si>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</si>
  <si>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</si>
  <si>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</si>
  <si>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</si>
  <si>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</si>
  <si>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</si>
  <si>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</si>
  <si>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</si>
  <si>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</si>
  <si>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</si>
  <si>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</si>
  <si>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</si>
  <si>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</si>
  <si>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</si>
  <si>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</si>
  <si>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</si>
  <si>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</si>
  <si>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</si>
  <si>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</si>
  <si>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</si>
  <si>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</si>
  <si>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</si>
  <si>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</si>
  <si>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</si>
  <si>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</si>
  <si>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</si>
  <si>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</si>
  <si>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</si>
  <si>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</si>
  <si>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</si>
  <si>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</si>
  <si>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</si>
  <si>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</si>
  <si>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</si>
  <si>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</si>
  <si>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</si>
  <si>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</si>
  <si>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</si>
  <si>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</si>
  <si>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</si>
  <si>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</si>
  <si>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</si>
  <si>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</si>
  <si>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</si>
  <si>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</si>
  <si>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</si>
  <si>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</si>
  <si>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</si>
  <si>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</si>
  <si>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</si>
  <si>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</si>
  <si>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</si>
  <si>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</si>
  <si>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</si>
  <si>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</si>
  <si>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</si>
  <si>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</si>
  <si>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</si>
  <si>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</si>
  <si>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</si>
  <si>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</si>
  <si>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</si>
  <si>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</si>
  <si>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</si>
  <si>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</si>
  <si>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</si>
  <si>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</si>
  <si>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</si>
  <si>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</si>
  <si>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</si>
  <si>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</si>
  <si>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</si>
  <si>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</si>
  <si>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</si>
  <si>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</si>
  <si>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</si>
  <si>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</si>
  <si>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</si>
  <si>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</si>
  <si>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</si>
  <si>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</si>
  <si>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</si>
  <si>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</si>
  <si>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</si>
  <si>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</si>
  <si>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</si>
  <si>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</si>
  <si>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</si>
  <si>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</si>
  <si>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</si>
  <si>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</si>
  <si>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</si>
  <si>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</si>
  <si>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</si>
  <si>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</si>
  <si>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</si>
  <si>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</si>
  <si>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</si>
  <si>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</si>
  <si>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</si>
  <si>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</si>
  <si>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</si>
  <si>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</si>
  <si>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</si>
  <si>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</si>
  <si>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</si>
  <si>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</si>
  <si>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</si>
  <si>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</si>
  <si>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</si>
  <si>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</si>
  <si>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</si>
  <si>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</si>
  <si>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</si>
  <si>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</si>
  <si>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</si>
  <si>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</si>
  <si>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</si>
  <si>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</si>
  <si>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</si>
  <si>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</si>
  <si>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</si>
  <si>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</si>
  <si>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</si>
  <si>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</si>
  <si>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</si>
  <si>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</si>
  <si>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</si>
  <si>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</si>
  <si>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</si>
  <si>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</si>
  <si>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</si>
  <si>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</si>
  <si>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</si>
  <si>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</si>
  <si>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</si>
  <si>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</si>
  <si>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</si>
  <si>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</si>
  <si>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</si>
  <si>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</si>
  <si>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</si>
  <si>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</si>
  <si>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</si>
  <si>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</si>
  <si>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</si>
  <si>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</si>
  <si>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</si>
  <si>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</si>
  <si>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</si>
  <si>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</si>
  <si>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</si>
  <si>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</si>
  <si>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</si>
  <si>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</si>
  <si>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</si>
  <si>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</si>
  <si>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</si>
  <si>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</si>
  <si>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</si>
  <si>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</si>
  <si>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</si>
  <si>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</si>
  <si>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</si>
  <si>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</si>
  <si>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</si>
  <si>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</si>
  <si>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</si>
  <si>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</si>
  <si>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</si>
  <si>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</si>
  <si>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</si>
  <si>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</si>
  <si>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</si>
  <si>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</si>
  <si>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</si>
  <si>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</si>
  <si>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</si>
  <si>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</si>
  <si>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</si>
  <si>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</si>
  <si>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</si>
  <si>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</si>
  <si>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</si>
  <si>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</si>
  <si>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</si>
  <si>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</si>
  <si>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Trích khấu hao TSCĐ Hữu hình</t>
  </si>
  <si>
    <t>Phân bổ chi phí trả trước ngắn hạn</t>
  </si>
  <si>
    <t>VL/N04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</si>
  <si>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</si>
  <si>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</si>
  <si>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</si>
  <si>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</si>
  <si>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</si>
  <si>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</si>
  <si>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</si>
  <si>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</si>
  <si>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</si>
  <si>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</si>
  <si>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</si>
  <si>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</si>
  <si>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</si>
  <si>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</si>
  <si>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</si>
  <si>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</si>
  <si>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</si>
  <si>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</si>
  <si>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</si>
  <si>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</si>
  <si>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</si>
  <si>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</si>
  <si>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</si>
  <si>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</si>
  <si>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</si>
  <si>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</si>
  <si>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</si>
  <si>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</si>
  <si>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</si>
  <si>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</si>
  <si>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</si>
  <si>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</si>
  <si>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</si>
  <si>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</si>
  <si>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</si>
  <si>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</si>
  <si>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</si>
  <si>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</si>
  <si>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</si>
  <si>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</si>
  <si>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</si>
  <si>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</si>
  <si>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</si>
  <si>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</si>
  <si>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</si>
  <si>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</si>
  <si>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</si>
  <si>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</si>
  <si>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</si>
  <si>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</si>
  <si>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</si>
  <si>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</si>
  <si>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</si>
  <si>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</si>
  <si>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</si>
  <si>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</si>
  <si>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</si>
  <si>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</si>
  <si>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</si>
  <si>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</si>
  <si>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</si>
  <si>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</si>
  <si>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</si>
  <si>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</si>
  <si>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</si>
  <si>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</si>
  <si>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</si>
  <si>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</si>
  <si>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</si>
  <si>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</si>
  <si>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</si>
  <si>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</si>
  <si>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</si>
  <si>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</si>
  <si>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</si>
  <si>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</si>
  <si>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</si>
  <si>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</si>
  <si>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</si>
  <si>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</si>
  <si>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</si>
  <si>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</si>
  <si>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</si>
  <si>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</si>
  <si>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</si>
  <si>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</si>
  <si>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</si>
  <si>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</si>
  <si>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</si>
  <si>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</si>
  <si>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</si>
  <si>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</si>
  <si>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</si>
  <si>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</si>
  <si>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</si>
  <si>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</si>
  <si>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</si>
  <si>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</si>
  <si>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</si>
  <si>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</si>
  <si>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</si>
  <si>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</si>
  <si>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</si>
  <si>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</si>
  <si>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</si>
  <si>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</si>
  <si>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</si>
  <si>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</si>
  <si>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</si>
  <si>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</si>
  <si>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</si>
  <si>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</si>
  <si>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</si>
  <si>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</si>
  <si>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</si>
  <si>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</si>
  <si>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</si>
  <si>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</si>
  <si>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</si>
  <si>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</si>
  <si>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</si>
  <si>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</si>
  <si>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</si>
  <si>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</si>
  <si>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</si>
  <si>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</si>
  <si>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</si>
  <si>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</si>
  <si>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</si>
  <si>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</si>
  <si>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</si>
  <si>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</si>
  <si>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</si>
  <si>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</si>
  <si>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</si>
  <si>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</si>
  <si>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</si>
  <si>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</si>
  <si>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</si>
  <si>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</si>
  <si>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</si>
  <si>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</si>
  <si>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</si>
  <si>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</si>
  <si>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</si>
  <si>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</si>
  <si>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</si>
  <si>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</si>
  <si>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</si>
  <si>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</si>
  <si>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</si>
  <si>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</si>
  <si>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</si>
  <si>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</si>
  <si>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</si>
  <si>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</si>
  <si>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</si>
  <si>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</si>
  <si>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</si>
  <si>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</si>
  <si>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</si>
  <si>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</si>
  <si>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</si>
  <si>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</si>
  <si>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</si>
  <si>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</si>
  <si>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</si>
  <si>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</si>
  <si>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T10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</si>
  <si>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</si>
  <si>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</si>
  <si>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</si>
  <si>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</si>
  <si>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</si>
  <si>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</si>
  <si>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</si>
  <si>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</si>
  <si>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</si>
  <si>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</si>
  <si>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</si>
  <si>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</si>
  <si>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</si>
  <si>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</si>
  <si>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</si>
  <si>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</si>
  <si>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</si>
  <si>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</si>
  <si>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</si>
  <si>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</si>
  <si>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</si>
  <si>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</si>
  <si>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</si>
  <si>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</si>
  <si>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</si>
  <si>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</si>
  <si>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</si>
  <si>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</si>
  <si>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</si>
  <si>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</si>
  <si>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</si>
  <si>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</si>
  <si>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</si>
  <si>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</si>
  <si>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</si>
  <si>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</si>
  <si>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</si>
  <si>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</si>
  <si>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</si>
  <si>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</si>
  <si>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</si>
  <si>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</si>
  <si>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</si>
  <si>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</si>
  <si>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</si>
  <si>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</si>
  <si>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</si>
  <si>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</si>
  <si>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</si>
  <si>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</si>
  <si>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</si>
  <si>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</si>
  <si>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</si>
  <si>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</si>
  <si>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</si>
  <si>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</si>
  <si>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</si>
  <si>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</si>
  <si>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</si>
  <si>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</si>
  <si>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</si>
  <si>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</si>
  <si>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</si>
  <si>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</si>
  <si>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</si>
  <si>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</si>
  <si>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</si>
  <si>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</si>
  <si>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</si>
  <si>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</si>
  <si>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</si>
  <si>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</si>
  <si>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</si>
  <si>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</si>
  <si>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</si>
  <si>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</si>
  <si>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</si>
  <si>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</si>
  <si>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</si>
  <si>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</si>
  <si>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</si>
  <si>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</si>
  <si>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</si>
  <si>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</si>
  <si>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</si>
  <si>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</si>
  <si>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</si>
  <si>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</si>
  <si>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</si>
  <si>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</si>
  <si>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</si>
  <si>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</si>
  <si>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</si>
  <si>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</si>
  <si>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</si>
  <si>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</si>
  <si>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</si>
  <si>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</si>
  <si>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</si>
  <si>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</si>
  <si>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</si>
  <si>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</si>
  <si>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</si>
  <si>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</si>
  <si>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</si>
  <si>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</si>
  <si>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</si>
  <si>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</si>
  <si>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</si>
  <si>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</si>
  <si>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</si>
  <si>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</si>
  <si>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</si>
  <si>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</si>
  <si>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</si>
  <si>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</si>
  <si>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</si>
  <si>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</si>
  <si>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</si>
  <si>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</si>
  <si>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</si>
  <si>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</si>
  <si>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</si>
  <si>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</si>
  <si>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</si>
  <si>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</si>
  <si>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Thanh toán tiền giấy tấm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</si>
  <si>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</si>
  <si>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</si>
  <si>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</si>
  <si>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</si>
  <si>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</si>
  <si>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</si>
  <si>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</si>
  <si>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</si>
  <si>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</si>
  <si>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</si>
  <si>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</si>
  <si>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</si>
  <si>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</si>
  <si>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</si>
  <si>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</si>
  <si>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</si>
  <si>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</si>
  <si>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</si>
  <si>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</si>
  <si>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</si>
  <si>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</si>
  <si>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</si>
  <si>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</si>
  <si>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</si>
  <si>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</si>
  <si>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</si>
  <si>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</si>
  <si>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</si>
  <si>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</si>
  <si>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</si>
  <si>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</si>
  <si>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</si>
  <si>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</si>
  <si>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</si>
  <si>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</si>
  <si>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</si>
  <si>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</si>
  <si>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</si>
  <si>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</si>
  <si>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</si>
  <si>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</si>
  <si>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</si>
  <si>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</si>
  <si>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</si>
  <si>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</si>
  <si>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</si>
  <si>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</si>
  <si>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</si>
  <si>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</si>
  <si>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</si>
  <si>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</si>
  <si>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</si>
  <si>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</si>
  <si>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</si>
  <si>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</si>
  <si>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</si>
  <si>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</si>
  <si>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</si>
  <si>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</si>
  <si>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</si>
  <si>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</si>
  <si>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</si>
  <si>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</si>
  <si>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</si>
  <si>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</si>
  <si>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</si>
  <si>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</si>
  <si>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</si>
  <si>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</si>
  <si>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</si>
  <si>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</si>
  <si>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</si>
  <si>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</si>
  <si>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</si>
  <si>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</si>
  <si>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</si>
  <si>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</si>
  <si>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</si>
  <si>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</si>
  <si>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</si>
  <si>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</si>
  <si>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</si>
  <si>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</si>
  <si>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</si>
  <si>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</si>
  <si>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</si>
  <si>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</si>
  <si>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</si>
  <si>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</si>
  <si>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</si>
  <si>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</si>
  <si>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</si>
  <si>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</si>
  <si>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</si>
  <si>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</si>
  <si>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</si>
  <si>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</si>
  <si>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</si>
  <si>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</si>
  <si>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</si>
  <si>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</si>
  <si>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</si>
  <si>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</si>
  <si>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</si>
  <si>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</si>
  <si>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</si>
  <si>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</si>
  <si>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</si>
  <si>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</si>
  <si>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</si>
  <si>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</si>
  <si>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</si>
  <si>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</si>
  <si>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</si>
  <si>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</si>
  <si>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</si>
  <si>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</si>
  <si>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</si>
  <si>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</si>
  <si>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</si>
  <si>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</si>
  <si>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</si>
  <si>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</si>
  <si>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</si>
  <si>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</si>
  <si>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</si>
  <si>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Thùng 3 lớp</t>
  </si>
  <si>
    <t>Thùng giấy 5 lớp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</si>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</sst>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26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3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4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2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1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3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7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5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7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7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3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7" fillId="0" borderId="16" xfId="54" applyNumberFormat="1" applyFont="1" applyFill="1" applyBorder="1" applyAlignment="1">
      <alignment horizontal="center" vertical="center"/>
    </xf>
    <xf numFmtId="164" fontId="77" fillId="0" borderId="16" xfId="54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horizontal="left" vertical="center"/>
    </xf>
    <xf numFmtId="164" fontId="77" fillId="0" borderId="16" xfId="0" applyNumberFormat="1" applyFont="1" applyFill="1" applyBorder="1" applyAlignment="1">
      <alignment vertical="center"/>
    </xf>
    <xf numFmtId="1" fontId="77" fillId="0" borderId="16" xfId="54" quotePrefix="1" applyNumberFormat="1" applyFont="1" applyFill="1" applyBorder="1" applyAlignment="1">
      <alignment horizontal="center" vertical="center"/>
    </xf>
    <xf numFmtId="14" fontId="77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2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3" fillId="0" borderId="0" xfId="0" applyFont="1" applyFill="1"/>
    <xf numFmtId="0" fontId="94" fillId="0" borderId="16" xfId="77" applyNumberFormat="1" applyFont="1" applyFill="1" applyBorder="1" applyAlignment="1">
      <alignment horizontal="center" vertical="center"/>
    </xf>
    <xf numFmtId="0" fontId="95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7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6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77" fillId="0" borderId="16" xfId="29" applyFont="1" applyFill="1" applyBorder="1" applyAlignment="1">
      <alignment horizontal="left" vertical="center"/>
    </xf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43" fontId="0" fillId="0" borderId="0" xfId="0" applyNumberFormat="1" applyFill="1"/>
    <xf numFmtId="164" fontId="96" fillId="0" borderId="16" xfId="0" applyNumberFormat="1" applyFont="1" applyFill="1" applyBorder="1" applyAlignment="1">
      <alignment vertical="center"/>
    </xf>
    <xf numFmtId="0" fontId="44" fillId="0" borderId="16" xfId="0" applyFont="1" applyBorder="1" applyAlignment="1">
      <alignment vertical="center"/>
    </xf>
    <xf numFmtId="3" fontId="44" fillId="0" borderId="16" xfId="46" applyFont="1" applyBorder="1" applyAlignment="1">
      <alignment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76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54" quotePrefix="1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0" fontId="96" fillId="0" borderId="16" xfId="0" applyFont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77" fillId="0" borderId="21" xfId="29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60" fillId="0" borderId="0" xfId="87" applyFont="1" applyFill="1" applyAlignment="1">
      <alignment horizontal="center" vertical="center"/>
    </xf>
    <xf numFmtId="0" fontId="61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4" fillId="0" borderId="0" xfId="76" quotePrefix="1" applyNumberFormat="1" applyFont="1" applyFill="1" applyBorder="1" applyAlignment="1">
      <alignment horizontal="center" vertical="center"/>
    </xf>
    <xf numFmtId="14" fontId="44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7" fillId="0" borderId="21" xfId="90" applyNumberFormat="1" applyFont="1" applyFill="1" applyBorder="1" applyAlignment="1">
      <alignment horizontal="center" vertical="center"/>
    </xf>
    <xf numFmtId="164" fontId="98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0" xfId="85" applyFont="1" applyAlignment="1">
      <alignment horizontal="center" vertical="center" wrapText="1"/>
    </xf>
    <xf numFmtId="0" fontId="68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3" fillId="0" borderId="0" xfId="77" applyNumberFormat="1" applyFont="1" applyAlignment="1">
      <alignment horizontal="center" vertical="center"/>
    </xf>
    <xf numFmtId="0" fontId="67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2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5"/>
  <sheetViews>
    <sheetView topLeftCell="A6" workbookViewId="0">
      <pane ySplit="4" topLeftCell="A34" activePane="bottomLeft" state="frozen"/>
      <selection activeCell="A6" sqref="A6"/>
      <selection pane="bottomLeft" activeCell="C51" sqref="C51:H51"/>
    </sheetView>
  </sheetViews>
  <sheetFormatPr defaultColWidth="8" defaultRowHeight="12.75"/>
  <cols>
    <col min="1" max="1" width="5.7109375" style="651" customWidth="1"/>
    <col min="2" max="2" width="36.85546875" style="651" customWidth="1"/>
    <col min="3" max="4" width="9.85546875" style="162" customWidth="1"/>
    <col min="5" max="6" width="14.7109375" style="651" customWidth="1"/>
    <col min="7" max="8" width="13.85546875" style="651" customWidth="1"/>
    <col min="9" max="9" width="2.42578125" style="651" customWidth="1"/>
    <col min="10" max="10" width="11" style="651" customWidth="1"/>
    <col min="11" max="11" width="2.85546875" style="651" customWidth="1"/>
    <col min="12" max="12" width="11.85546875" style="651" customWidth="1"/>
    <col min="13" max="16384" width="8" style="651"/>
  </cols>
  <sheetData>
    <row r="1" spans="1:16">
      <c r="A1" s="650"/>
      <c r="B1" s="650"/>
    </row>
    <row r="2" spans="1:16">
      <c r="A2" s="650" t="str">
        <f>TH!A1</f>
        <v>Đơn vị: CÔNG TY TNHH SX TM KIM DUNG PHÁT</v>
      </c>
      <c r="B2" s="650"/>
    </row>
    <row r="3" spans="1:16">
      <c r="A3" s="651" t="str">
        <f>TH!A2</f>
        <v>Địa chỉ: 1A227/1 Ấp 1, Phạm Văn Hai, Bình Chánh, TPHCM</v>
      </c>
      <c r="B3" s="650"/>
    </row>
    <row r="5" spans="1:16" ht="36" customHeight="1">
      <c r="A5" s="652"/>
      <c r="B5" s="652"/>
      <c r="C5" s="653"/>
      <c r="D5" s="654" t="s">
        <v>360</v>
      </c>
      <c r="E5" s="652"/>
      <c r="F5" s="652"/>
      <c r="G5" s="652"/>
      <c r="H5" s="652"/>
    </row>
    <row r="6" spans="1:16" ht="15.75">
      <c r="A6" s="652"/>
      <c r="B6" s="652"/>
      <c r="C6" s="653"/>
      <c r="D6" s="675" t="s">
        <v>361</v>
      </c>
      <c r="E6" s="652"/>
      <c r="F6" s="652"/>
      <c r="G6" s="652"/>
      <c r="H6" s="652"/>
    </row>
    <row r="7" spans="1:16" ht="6.75" customHeight="1"/>
    <row r="8" spans="1:16" ht="21.75" customHeight="1">
      <c r="A8" s="928" t="s">
        <v>1441</v>
      </c>
      <c r="B8" s="928" t="s">
        <v>358</v>
      </c>
      <c r="C8" s="924" t="s">
        <v>36</v>
      </c>
      <c r="D8" s="925"/>
      <c r="E8" s="924" t="s">
        <v>37</v>
      </c>
      <c r="F8" s="925"/>
      <c r="G8" s="924" t="s">
        <v>359</v>
      </c>
      <c r="H8" s="925"/>
    </row>
    <row r="9" spans="1:16" ht="21.75" customHeight="1">
      <c r="A9" s="929"/>
      <c r="B9" s="929"/>
      <c r="C9" s="649" t="s">
        <v>41</v>
      </c>
      <c r="D9" s="649" t="s">
        <v>42</v>
      </c>
      <c r="E9" s="649" t="s">
        <v>41</v>
      </c>
      <c r="F9" s="649" t="s">
        <v>42</v>
      </c>
      <c r="G9" s="649" t="s">
        <v>41</v>
      </c>
      <c r="H9" s="649" t="s">
        <v>42</v>
      </c>
    </row>
    <row r="10" spans="1:16" s="162" customFormat="1" ht="17.25" customHeight="1">
      <c r="A10" s="655" t="s">
        <v>46</v>
      </c>
      <c r="B10" s="656" t="s">
        <v>47</v>
      </c>
      <c r="C10" s="657"/>
      <c r="D10" s="657"/>
      <c r="E10" s="657">
        <f t="array" ref="E10">SUM(IF(A10=KHN,TH))</f>
        <v>2719780204</v>
      </c>
      <c r="F10" s="657">
        <f t="array" ref="F10">SUM(IF(A10=KHC,TH))</f>
        <v>1108360582</v>
      </c>
      <c r="G10" s="658">
        <f>MAX(C10+E10-D10-F10,0)</f>
        <v>1611419622</v>
      </c>
      <c r="H10" s="658">
        <f>MAX(D10+F10-E10-C10,0)</f>
        <v>0</v>
      </c>
      <c r="J10" s="651"/>
      <c r="K10" s="651"/>
      <c r="L10" s="651"/>
      <c r="M10" s="651"/>
      <c r="N10" s="651"/>
      <c r="O10" s="651"/>
      <c r="P10" s="651"/>
    </row>
    <row r="11" spans="1:16" s="162" customFormat="1" ht="17.25" customHeight="1">
      <c r="A11" s="660" t="s">
        <v>16</v>
      </c>
      <c r="B11" s="660" t="s">
        <v>48</v>
      </c>
      <c r="C11" s="661">
        <f t="shared" ref="C11:H11" si="0">C10</f>
        <v>0</v>
      </c>
      <c r="D11" s="661">
        <f t="shared" si="0"/>
        <v>0</v>
      </c>
      <c r="E11" s="661">
        <f t="shared" si="0"/>
        <v>2719780204</v>
      </c>
      <c r="F11" s="661">
        <f t="shared" si="0"/>
        <v>1108360582</v>
      </c>
      <c r="G11" s="661">
        <f t="shared" si="0"/>
        <v>1611419622</v>
      </c>
      <c r="H11" s="661">
        <f t="shared" si="0"/>
        <v>0</v>
      </c>
      <c r="J11" s="651"/>
      <c r="K11" s="651"/>
      <c r="L11" s="651"/>
      <c r="M11" s="651"/>
      <c r="N11" s="651"/>
      <c r="O11" s="651"/>
      <c r="P11" s="651"/>
    </row>
    <row r="12" spans="1:16" s="162" customFormat="1" ht="17.25" customHeight="1">
      <c r="A12" s="656" t="s">
        <v>23</v>
      </c>
      <c r="B12" s="656" t="s">
        <v>49</v>
      </c>
      <c r="C12" s="657">
        <v>0</v>
      </c>
      <c r="D12" s="657">
        <v>0</v>
      </c>
      <c r="E12" s="657">
        <f t="array" ref="E12">SUM(IF(A12=KHN,TH))</f>
        <v>1619564840</v>
      </c>
      <c r="F12" s="657">
        <f t="array" ref="F12">SUM(IF(A12=KHC,TH))</f>
        <v>1599112401</v>
      </c>
      <c r="G12" s="658">
        <f>MAX(C12+E12-D12-F12,0)</f>
        <v>20452439</v>
      </c>
      <c r="H12" s="658">
        <f>MAX(D12+F12-E12-C12,0)</f>
        <v>0</v>
      </c>
      <c r="K12" s="659"/>
      <c r="L12" s="659"/>
      <c r="M12" s="659"/>
    </row>
    <row r="13" spans="1:16" s="162" customFormat="1" ht="17.25" customHeight="1">
      <c r="A13" s="660" t="s">
        <v>50</v>
      </c>
      <c r="B13" s="660" t="s">
        <v>51</v>
      </c>
      <c r="C13" s="661">
        <f t="shared" ref="C13:H13" si="1">C12</f>
        <v>0</v>
      </c>
      <c r="D13" s="661">
        <f t="shared" si="1"/>
        <v>0</v>
      </c>
      <c r="E13" s="661">
        <f t="shared" si="1"/>
        <v>1619564840</v>
      </c>
      <c r="F13" s="661">
        <f t="shared" si="1"/>
        <v>1599112401</v>
      </c>
      <c r="G13" s="661">
        <f t="shared" si="1"/>
        <v>20452439</v>
      </c>
      <c r="H13" s="661">
        <f t="shared" si="1"/>
        <v>0</v>
      </c>
    </row>
    <row r="14" spans="1:16" s="162" customFormat="1" ht="17.25" customHeight="1">
      <c r="A14" s="660" t="s">
        <v>259</v>
      </c>
      <c r="B14" s="660" t="s">
        <v>269</v>
      </c>
      <c r="C14" s="661"/>
      <c r="D14" s="661"/>
      <c r="E14" s="662">
        <f t="array" ref="E14">SUM(IF(A14=KHN,TH))</f>
        <v>1299769030</v>
      </c>
      <c r="F14" s="662">
        <f t="array" ref="F14">SUM(IF(A14=KHC,TH))</f>
        <v>1108286061</v>
      </c>
      <c r="G14" s="661">
        <f>MAX(C14+E14-D14-F14,0)</f>
        <v>191482969</v>
      </c>
      <c r="H14" s="661">
        <f>MAX(D14+F14-E14-C14,0)</f>
        <v>0</v>
      </c>
    </row>
    <row r="15" spans="1:16" s="162" customFormat="1" ht="17.25" customHeight="1">
      <c r="A15" s="656" t="s">
        <v>9</v>
      </c>
      <c r="B15" s="656" t="s">
        <v>52</v>
      </c>
      <c r="C15" s="657"/>
      <c r="D15" s="657"/>
      <c r="E15" s="657">
        <f t="array" ref="E15">SUM(IF(A15=KHN,TH))</f>
        <v>122714395</v>
      </c>
      <c r="F15" s="657">
        <f t="array" ref="F15">SUM(IF(A15=KHC,TH))</f>
        <v>115599418</v>
      </c>
      <c r="G15" s="658">
        <f>MAX(C15+E15-D15-F15,0)</f>
        <v>7114977</v>
      </c>
      <c r="H15" s="658">
        <f>MAX(D15+F15-E15-C15,0)</f>
        <v>0</v>
      </c>
      <c r="J15" s="162">
        <f>L15-G15</f>
        <v>0</v>
      </c>
      <c r="L15" s="162">
        <v>7114977</v>
      </c>
    </row>
    <row r="16" spans="1:16" s="162" customFormat="1" ht="17.25" customHeight="1">
      <c r="A16" s="660" t="s">
        <v>53</v>
      </c>
      <c r="B16" s="660" t="s">
        <v>54</v>
      </c>
      <c r="C16" s="661">
        <f t="shared" ref="C16:H16" si="2">C15</f>
        <v>0</v>
      </c>
      <c r="D16" s="661">
        <f t="shared" si="2"/>
        <v>0</v>
      </c>
      <c r="E16" s="661">
        <f t="shared" si="2"/>
        <v>122714395</v>
      </c>
      <c r="F16" s="661">
        <f t="shared" si="2"/>
        <v>115599418</v>
      </c>
      <c r="G16" s="661">
        <f t="shared" si="2"/>
        <v>7114977</v>
      </c>
      <c r="H16" s="661">
        <f t="shared" si="2"/>
        <v>0</v>
      </c>
    </row>
    <row r="17" spans="1:8" s="162" customFormat="1" ht="17.25" customHeight="1">
      <c r="A17" s="666" t="s">
        <v>768</v>
      </c>
      <c r="B17" s="660" t="s">
        <v>769</v>
      </c>
      <c r="C17" s="661"/>
      <c r="D17" s="661">
        <v>0</v>
      </c>
      <c r="E17" s="662">
        <f t="array" ref="E17">SUM(IF(A17=KHN,TH))</f>
        <v>15583625</v>
      </c>
      <c r="F17" s="662">
        <f t="array" ref="F17">SUM(IF(A17=KHC,TH))</f>
        <v>11016806</v>
      </c>
      <c r="G17" s="661">
        <f t="shared" ref="G17:G30" si="3">MAX(C17+E17-D17-F17,0)</f>
        <v>4566819</v>
      </c>
      <c r="H17" s="661">
        <f t="shared" ref="H17:H30" si="4">MAX(D17+F17-E17-C17,0)</f>
        <v>0</v>
      </c>
    </row>
    <row r="18" spans="1:8" s="162" customFormat="1" ht="17.25" customHeight="1">
      <c r="A18" s="656" t="s">
        <v>151</v>
      </c>
      <c r="B18" s="656" t="s">
        <v>152</v>
      </c>
      <c r="C18" s="657"/>
      <c r="D18" s="657"/>
      <c r="E18" s="657">
        <f t="array" ref="E18">SUM(IF(A18=KHN,TH))</f>
        <v>805145217</v>
      </c>
      <c r="F18" s="657">
        <f t="array" ref="F18">SUM(IF(A18=KHC,TH))</f>
        <v>803751979</v>
      </c>
      <c r="G18" s="658">
        <f t="shared" si="3"/>
        <v>1393238</v>
      </c>
      <c r="H18" s="658">
        <f t="shared" si="4"/>
        <v>0</v>
      </c>
    </row>
    <row r="19" spans="1:8" s="162" customFormat="1" ht="17.25" customHeight="1">
      <c r="A19" s="656" t="s">
        <v>153</v>
      </c>
      <c r="B19" s="656" t="s">
        <v>154</v>
      </c>
      <c r="C19" s="657"/>
      <c r="D19" s="657"/>
      <c r="E19" s="657">
        <f t="array" ref="E19">SUM(IF(A19=KHN,TH))</f>
        <v>15142970</v>
      </c>
      <c r="F19" s="657">
        <f t="array" ref="F19">SUM(IF(A19=KHC,TH))</f>
        <v>13892970</v>
      </c>
      <c r="G19" s="657">
        <f t="shared" si="3"/>
        <v>1250000</v>
      </c>
      <c r="H19" s="657">
        <f t="shared" si="4"/>
        <v>0</v>
      </c>
    </row>
    <row r="20" spans="1:8" s="162" customFormat="1" ht="17.25" customHeight="1">
      <c r="A20" s="660" t="s">
        <v>155</v>
      </c>
      <c r="B20" s="660" t="s">
        <v>156</v>
      </c>
      <c r="C20" s="661">
        <f>C18+C19</f>
        <v>0</v>
      </c>
      <c r="D20" s="661">
        <f>D18+D19</f>
        <v>0</v>
      </c>
      <c r="E20" s="661">
        <f>E18+E19</f>
        <v>820288187</v>
      </c>
      <c r="F20" s="661">
        <f>F18+F19</f>
        <v>817644949</v>
      </c>
      <c r="G20" s="661">
        <f t="shared" si="3"/>
        <v>2643238</v>
      </c>
      <c r="H20" s="661">
        <f t="shared" si="4"/>
        <v>0</v>
      </c>
    </row>
    <row r="21" spans="1:8" s="162" customFormat="1" ht="17.25" customHeight="1">
      <c r="A21" s="660" t="s">
        <v>157</v>
      </c>
      <c r="B21" s="660" t="s">
        <v>158</v>
      </c>
      <c r="C21" s="661"/>
      <c r="D21" s="661">
        <v>0</v>
      </c>
      <c r="E21" s="662">
        <f t="array" ref="E21">SUM(IF(A21=KHN,TH))</f>
        <v>957706400</v>
      </c>
      <c r="F21" s="662">
        <f t="array" ref="F21">SUM(IF(A21=KHC,TH))</f>
        <v>957706400</v>
      </c>
      <c r="G21" s="661">
        <f t="shared" si="3"/>
        <v>0</v>
      </c>
      <c r="H21" s="661">
        <f t="shared" si="4"/>
        <v>0</v>
      </c>
    </row>
    <row r="22" spans="1:8" s="162" customFormat="1" ht="17.25" customHeight="1">
      <c r="A22" s="660" t="s">
        <v>159</v>
      </c>
      <c r="B22" s="660" t="s">
        <v>160</v>
      </c>
      <c r="C22" s="661"/>
      <c r="D22" s="661"/>
      <c r="E22" s="662">
        <f t="array" ref="E22">SUM(IF(A22=KHN,TH))</f>
        <v>957706400</v>
      </c>
      <c r="F22" s="662">
        <f t="array" ref="F22">SUM(IF(A22=KHC,TH))</f>
        <v>957706400</v>
      </c>
      <c r="G22" s="661">
        <f t="shared" si="3"/>
        <v>0</v>
      </c>
      <c r="H22" s="661">
        <f t="shared" si="4"/>
        <v>0</v>
      </c>
    </row>
    <row r="23" spans="1:8" s="162" customFormat="1" ht="17.25" customHeight="1">
      <c r="A23" s="663" t="s">
        <v>161</v>
      </c>
      <c r="B23" s="664" t="s">
        <v>162</v>
      </c>
      <c r="C23" s="665"/>
      <c r="D23" s="665"/>
      <c r="E23" s="657">
        <f t="array" ref="E23">SUM(IF(A23=KHN,TH))</f>
        <v>365000000</v>
      </c>
      <c r="F23" s="657">
        <f t="array" ref="F23">SUM(IF(A23=KHC,TH))</f>
        <v>0</v>
      </c>
      <c r="G23" s="665">
        <f t="shared" si="3"/>
        <v>365000000</v>
      </c>
      <c r="H23" s="665">
        <f t="shared" si="4"/>
        <v>0</v>
      </c>
    </row>
    <row r="24" spans="1:8" s="162" customFormat="1" ht="17.25" customHeight="1">
      <c r="A24" s="660" t="s">
        <v>163</v>
      </c>
      <c r="B24" s="660" t="s">
        <v>164</v>
      </c>
      <c r="C24" s="661">
        <f>SUM(C23:C23)</f>
        <v>0</v>
      </c>
      <c r="D24" s="661">
        <f>SUM(D23:D23)</f>
        <v>0</v>
      </c>
      <c r="E24" s="661">
        <f>SUM(E23:E23)</f>
        <v>365000000</v>
      </c>
      <c r="F24" s="661">
        <f>SUM(F23:F23)</f>
        <v>0</v>
      </c>
      <c r="G24" s="661">
        <f>SUM(G23:G23)</f>
        <v>365000000</v>
      </c>
      <c r="H24" s="661">
        <f>SUM(H23:H23)</f>
        <v>0</v>
      </c>
    </row>
    <row r="25" spans="1:8" s="162" customFormat="1" ht="17.25" customHeight="1">
      <c r="A25" s="656" t="s">
        <v>260</v>
      </c>
      <c r="B25" s="656" t="s">
        <v>266</v>
      </c>
      <c r="C25" s="657"/>
      <c r="D25" s="657"/>
      <c r="E25" s="657">
        <f t="array" ref="E25">SUM(IF(A25=KHN,TH))</f>
        <v>0</v>
      </c>
      <c r="F25" s="657">
        <f t="array" ref="F25">SUM(IF(A25=KHC,TH))</f>
        <v>37250000</v>
      </c>
      <c r="G25" s="657">
        <f>MAX(C25+E25-D25-F25,0)</f>
        <v>0</v>
      </c>
      <c r="H25" s="657">
        <f>MAX(D25+F25-E25-C25,0)</f>
        <v>37250000</v>
      </c>
    </row>
    <row r="26" spans="1:8" s="162" customFormat="1" ht="17.25" customHeight="1">
      <c r="A26" s="660" t="s">
        <v>267</v>
      </c>
      <c r="B26" s="660" t="s">
        <v>268</v>
      </c>
      <c r="C26" s="661">
        <f>C25</f>
        <v>0</v>
      </c>
      <c r="D26" s="661">
        <f t="shared" ref="D26:H26" si="5">D25</f>
        <v>0</v>
      </c>
      <c r="E26" s="661">
        <f t="shared" si="5"/>
        <v>0</v>
      </c>
      <c r="F26" s="661">
        <f t="shared" si="5"/>
        <v>37250000</v>
      </c>
      <c r="G26" s="661">
        <f t="shared" si="5"/>
        <v>0</v>
      </c>
      <c r="H26" s="661">
        <f t="shared" si="5"/>
        <v>37250000</v>
      </c>
    </row>
    <row r="27" spans="1:8" s="162" customFormat="1" ht="17.25" customHeight="1">
      <c r="A27" s="660" t="s">
        <v>8</v>
      </c>
      <c r="B27" s="660" t="s">
        <v>55</v>
      </c>
      <c r="C27" s="661"/>
      <c r="D27" s="661"/>
      <c r="E27" s="662">
        <f t="array" ref="E27">SUM(IF(A27=KHN,TH))</f>
        <v>1113798421</v>
      </c>
      <c r="F27" s="662">
        <f t="array" ref="F27">SUM(IF(A27=KHC,TH))</f>
        <v>1254317242</v>
      </c>
      <c r="G27" s="661">
        <f t="shared" si="3"/>
        <v>0</v>
      </c>
      <c r="H27" s="661">
        <f t="shared" si="4"/>
        <v>140518821</v>
      </c>
    </row>
    <row r="28" spans="1:8" s="162" customFormat="1" ht="17.25" customHeight="1">
      <c r="A28" s="667" t="s">
        <v>731</v>
      </c>
      <c r="B28" s="656" t="s">
        <v>730</v>
      </c>
      <c r="C28" s="657"/>
      <c r="D28" s="657"/>
      <c r="E28" s="657">
        <f t="array" ref="E28">SUM(IF(A28=KHN,TH))</f>
        <v>115599418</v>
      </c>
      <c r="F28" s="657">
        <f t="array" ref="F28">SUM(IF(A28=KHC,TH))</f>
        <v>115599418</v>
      </c>
      <c r="G28" s="657">
        <f t="shared" ref="G28" si="6">MAX(C28+E28-D28-F28,0)</f>
        <v>0</v>
      </c>
      <c r="H28" s="657">
        <f t="shared" ref="H28" si="7">MAX(D28+F28-E28-C28,0)</f>
        <v>0</v>
      </c>
    </row>
    <row r="29" spans="1:8" s="162" customFormat="1" ht="17.25" customHeight="1">
      <c r="A29" s="656" t="s">
        <v>56</v>
      </c>
      <c r="B29" s="656" t="s">
        <v>57</v>
      </c>
      <c r="C29" s="657"/>
      <c r="D29" s="657"/>
      <c r="E29" s="657">
        <f t="array" ref="E29">SUM(IF(A29=KHN,TH))</f>
        <v>0</v>
      </c>
      <c r="F29" s="657">
        <f t="array" ref="F29">SUM(IF(A29=KHC,TH))</f>
        <v>22244468</v>
      </c>
      <c r="G29" s="657">
        <f t="shared" si="3"/>
        <v>0</v>
      </c>
      <c r="H29" s="657">
        <f t="shared" si="4"/>
        <v>22244468</v>
      </c>
    </row>
    <row r="30" spans="1:8" s="162" customFormat="1" ht="17.25" customHeight="1">
      <c r="A30" s="667" t="s">
        <v>58</v>
      </c>
      <c r="B30" s="668" t="s">
        <v>59</v>
      </c>
      <c r="C30" s="669"/>
      <c r="D30" s="669"/>
      <c r="E30" s="669">
        <f t="array" ref="E30">SUM(IF(A30=KHN,TH))</f>
        <v>2000000</v>
      </c>
      <c r="F30" s="669">
        <f t="array" ref="F30">SUM(IF(A30=KHC,TH))</f>
        <v>2000000</v>
      </c>
      <c r="G30" s="669">
        <f t="shared" si="3"/>
        <v>0</v>
      </c>
      <c r="H30" s="669">
        <f t="shared" si="4"/>
        <v>0</v>
      </c>
    </row>
    <row r="31" spans="1:8" s="162" customFormat="1" ht="17.25" customHeight="1">
      <c r="A31" s="656" t="s">
        <v>17</v>
      </c>
      <c r="B31" s="656" t="s">
        <v>60</v>
      </c>
      <c r="C31" s="657">
        <f>C30</f>
        <v>0</v>
      </c>
      <c r="D31" s="657">
        <f t="shared" ref="D31:H31" si="8">D30</f>
        <v>0</v>
      </c>
      <c r="E31" s="657">
        <f t="shared" si="8"/>
        <v>2000000</v>
      </c>
      <c r="F31" s="657">
        <f t="shared" si="8"/>
        <v>2000000</v>
      </c>
      <c r="G31" s="657">
        <f t="shared" si="8"/>
        <v>0</v>
      </c>
      <c r="H31" s="657">
        <f t="shared" si="8"/>
        <v>0</v>
      </c>
    </row>
    <row r="32" spans="1:8" s="162" customFormat="1" ht="17.25" customHeight="1">
      <c r="A32" s="660" t="s">
        <v>61</v>
      </c>
      <c r="B32" s="660" t="s">
        <v>62</v>
      </c>
      <c r="C32" s="661">
        <f>C29+C31+C28</f>
        <v>0</v>
      </c>
      <c r="D32" s="661">
        <f t="shared" ref="D32:H32" si="9">D29+D31+D28</f>
        <v>0</v>
      </c>
      <c r="E32" s="661">
        <f t="shared" si="9"/>
        <v>117599418</v>
      </c>
      <c r="F32" s="661">
        <f t="shared" si="9"/>
        <v>139843886</v>
      </c>
      <c r="G32" s="661">
        <f t="shared" si="9"/>
        <v>0</v>
      </c>
      <c r="H32" s="661">
        <f t="shared" si="9"/>
        <v>22244468</v>
      </c>
    </row>
    <row r="33" spans="1:12" s="162" customFormat="1" ht="17.25" customHeight="1">
      <c r="A33" s="656" t="s">
        <v>262</v>
      </c>
      <c r="B33" s="656" t="s">
        <v>263</v>
      </c>
      <c r="C33" s="657">
        <v>0</v>
      </c>
      <c r="D33" s="657">
        <v>0</v>
      </c>
      <c r="E33" s="657">
        <f t="array" ref="E33">SUM(IF(A33=KHN,TH))</f>
        <v>105090478</v>
      </c>
      <c r="F33" s="657">
        <f t="array" ref="F33">SUM(IF(A33=KHC,TH))</f>
        <v>105090478</v>
      </c>
      <c r="G33" s="657">
        <f t="shared" ref="G33:G34" si="10">MAX(C33+E33-D33-F33,0)</f>
        <v>0</v>
      </c>
      <c r="H33" s="657">
        <f t="shared" ref="H33:H34" si="11">MAX(D33+F33-E33-C33,0)</f>
        <v>0</v>
      </c>
    </row>
    <row r="34" spans="1:12" s="162" customFormat="1" ht="17.25" customHeight="1">
      <c r="A34" s="660" t="s">
        <v>264</v>
      </c>
      <c r="B34" s="660" t="s">
        <v>265</v>
      </c>
      <c r="C34" s="661">
        <f>C33</f>
        <v>0</v>
      </c>
      <c r="D34" s="661">
        <f>D33</f>
        <v>0</v>
      </c>
      <c r="E34" s="661">
        <f>E33</f>
        <v>105090478</v>
      </c>
      <c r="F34" s="661">
        <f>F33</f>
        <v>105090478</v>
      </c>
      <c r="G34" s="661">
        <f t="shared" si="10"/>
        <v>0</v>
      </c>
      <c r="H34" s="661">
        <f t="shared" si="11"/>
        <v>0</v>
      </c>
    </row>
    <row r="35" spans="1:12" s="162" customFormat="1" ht="17.25" customHeight="1">
      <c r="A35" s="656" t="s">
        <v>24</v>
      </c>
      <c r="B35" s="656" t="s">
        <v>63</v>
      </c>
      <c r="C35" s="657"/>
      <c r="D35" s="657"/>
      <c r="E35" s="657">
        <f t="array" ref="E35">SUM(IF(A35=KHN,TH))</f>
        <v>0</v>
      </c>
      <c r="F35" s="657">
        <f t="array" ref="F35">SUM(IF(A35=KHC,TH))</f>
        <v>1900000000</v>
      </c>
      <c r="G35" s="658">
        <f>MAX(C35+E35-D35-F35,0)</f>
        <v>0</v>
      </c>
      <c r="H35" s="658">
        <f>MAX(D35+F35-E35-C35,0)</f>
        <v>1900000000</v>
      </c>
    </row>
    <row r="36" spans="1:12" s="162" customFormat="1" ht="17.25" customHeight="1">
      <c r="A36" s="660" t="s">
        <v>64</v>
      </c>
      <c r="B36" s="660" t="s">
        <v>65</v>
      </c>
      <c r="C36" s="661">
        <v>0</v>
      </c>
      <c r="D36" s="661">
        <f>D35</f>
        <v>0</v>
      </c>
      <c r="E36" s="661">
        <f>E35</f>
        <v>0</v>
      </c>
      <c r="F36" s="661">
        <f>F35</f>
        <v>1900000000</v>
      </c>
      <c r="G36" s="661">
        <f>MAX(C36+E36-D36-F36,0)</f>
        <v>0</v>
      </c>
      <c r="H36" s="661">
        <f>MAX(D36+F36-E36-C36,0)</f>
        <v>1900000000</v>
      </c>
    </row>
    <row r="37" spans="1:12" s="162" customFormat="1" ht="17.25" customHeight="1">
      <c r="A37" s="655" t="s">
        <v>66</v>
      </c>
      <c r="B37" s="656" t="s">
        <v>67</v>
      </c>
      <c r="C37" s="657"/>
      <c r="D37" s="657"/>
      <c r="E37" s="657">
        <f t="array" ref="E37">SUM(IF(A37=KHN,TH))</f>
        <v>0</v>
      </c>
      <c r="F37" s="657">
        <f t="array" ref="F37">SUM(IF(A37=KHC,TH))</f>
        <v>0</v>
      </c>
      <c r="G37" s="658">
        <f>MAX(C37+E37-D37-F37,0)</f>
        <v>0</v>
      </c>
      <c r="H37" s="658">
        <f>MAX(D37+F37-E37-C37,0)</f>
        <v>0</v>
      </c>
    </row>
    <row r="38" spans="1:12" s="162" customFormat="1" ht="17.25" customHeight="1">
      <c r="A38" s="656" t="s">
        <v>68</v>
      </c>
      <c r="B38" s="656" t="s">
        <v>69</v>
      </c>
      <c r="C38" s="657"/>
      <c r="D38" s="657"/>
      <c r="E38" s="657">
        <f t="array" ref="E38">SUM(IF(A38=TH!$L$10:$L$2837,TH!$K$10:$K$2837))</f>
        <v>0</v>
      </c>
      <c r="F38" s="657">
        <f t="array" ref="F38">SUM(IF(A38=TH!$M$10:$M$2837,TH!$K$10:$K$2837))</f>
        <v>102666775</v>
      </c>
      <c r="G38" s="657">
        <f>MAX(C38+E38-D38-F38,0)</f>
        <v>0</v>
      </c>
      <c r="H38" s="657">
        <f>MAX(D38+F38-E38-C38,0)</f>
        <v>102666775</v>
      </c>
      <c r="J38" s="294">
        <f>L38-H38</f>
        <v>22244468</v>
      </c>
      <c r="L38" s="162">
        <v>124911243</v>
      </c>
    </row>
    <row r="39" spans="1:12" s="162" customFormat="1" ht="17.25" customHeight="1">
      <c r="A39" s="660" t="s">
        <v>70</v>
      </c>
      <c r="B39" s="660" t="s">
        <v>71</v>
      </c>
      <c r="C39" s="661">
        <f t="shared" ref="C39:H39" si="12">C38+C37</f>
        <v>0</v>
      </c>
      <c r="D39" s="661">
        <f t="shared" si="12"/>
        <v>0</v>
      </c>
      <c r="E39" s="661">
        <f t="shared" si="12"/>
        <v>0</v>
      </c>
      <c r="F39" s="661">
        <f t="shared" si="12"/>
        <v>102666775</v>
      </c>
      <c r="G39" s="661">
        <f t="shared" si="12"/>
        <v>0</v>
      </c>
      <c r="H39" s="661">
        <f t="shared" si="12"/>
        <v>102666775</v>
      </c>
    </row>
    <row r="40" spans="1:12" s="162" customFormat="1" ht="17.25" customHeight="1">
      <c r="A40" s="655" t="s">
        <v>167</v>
      </c>
      <c r="B40" s="656" t="s">
        <v>168</v>
      </c>
      <c r="C40" s="657"/>
      <c r="D40" s="657"/>
      <c r="E40" s="657">
        <f t="array" ref="E40">SUM(IF(A40=KHN,TH))</f>
        <v>1155993872</v>
      </c>
      <c r="F40" s="657">
        <f t="array" ref="F40">SUM(IF(A40=KHC,TH))</f>
        <v>1155993872</v>
      </c>
      <c r="G40" s="658"/>
      <c r="H40" s="658"/>
      <c r="I40" s="162">
        <f>E40-F40</f>
        <v>0</v>
      </c>
    </row>
    <row r="41" spans="1:12" s="162" customFormat="1" ht="17.25" customHeight="1">
      <c r="A41" s="660" t="s">
        <v>169</v>
      </c>
      <c r="B41" s="660" t="s">
        <v>170</v>
      </c>
      <c r="C41" s="661"/>
      <c r="D41" s="661"/>
      <c r="E41" s="661">
        <f>E40</f>
        <v>1155993872</v>
      </c>
      <c r="F41" s="661">
        <f>F40</f>
        <v>1155993872</v>
      </c>
      <c r="G41" s="661"/>
      <c r="H41" s="661"/>
      <c r="I41" s="162">
        <f>E41-F41</f>
        <v>0</v>
      </c>
    </row>
    <row r="42" spans="1:12" s="162" customFormat="1" ht="17.25" customHeight="1">
      <c r="A42" s="660" t="s">
        <v>39</v>
      </c>
      <c r="B42" s="660" t="s">
        <v>72</v>
      </c>
      <c r="C42" s="661"/>
      <c r="D42" s="661"/>
      <c r="E42" s="662">
        <f t="array" ref="E42">SUM(IF(A42=KHN,TH))</f>
        <v>954983</v>
      </c>
      <c r="F42" s="662">
        <f t="array" ref="F42">SUM(IF(A42=KHC,TH))</f>
        <v>954983</v>
      </c>
      <c r="G42" s="661"/>
      <c r="H42" s="661"/>
      <c r="I42" s="162">
        <f t="shared" ref="I42:I50" si="13">E42-F42</f>
        <v>0</v>
      </c>
    </row>
    <row r="43" spans="1:12" s="162" customFormat="1" ht="17.25" customHeight="1">
      <c r="A43" s="660" t="s">
        <v>165</v>
      </c>
      <c r="B43" s="660" t="s">
        <v>166</v>
      </c>
      <c r="C43" s="661"/>
      <c r="D43" s="661"/>
      <c r="E43" s="662">
        <f t="array" ref="E43">SUM(IF(A43=KHN,TH))</f>
        <v>957706400</v>
      </c>
      <c r="F43" s="662">
        <f t="array" ref="F43">SUM(IF(A43=KHC,TH))</f>
        <v>957706400</v>
      </c>
      <c r="G43" s="661"/>
      <c r="H43" s="661"/>
      <c r="I43" s="162">
        <f t="shared" si="13"/>
        <v>0</v>
      </c>
    </row>
    <row r="44" spans="1:12" s="162" customFormat="1" ht="17.25" customHeight="1">
      <c r="A44" s="660" t="s">
        <v>73</v>
      </c>
      <c r="B44" s="660" t="s">
        <v>74</v>
      </c>
      <c r="C44" s="661"/>
      <c r="D44" s="661"/>
      <c r="E44" s="662">
        <f t="array" ref="E44">SUM(IF(A44=KHN,TH))</f>
        <v>0</v>
      </c>
      <c r="F44" s="662">
        <f t="array" ref="F44">SUM(IF(A44=KHC,TH))</f>
        <v>0</v>
      </c>
      <c r="G44" s="661"/>
      <c r="H44" s="661"/>
      <c r="I44" s="162">
        <f t="shared" si="13"/>
        <v>0</v>
      </c>
    </row>
    <row r="45" spans="1:12" s="162" customFormat="1" ht="17.25" customHeight="1">
      <c r="A45" s="666" t="s">
        <v>261</v>
      </c>
      <c r="B45" s="660" t="s">
        <v>327</v>
      </c>
      <c r="C45" s="661"/>
      <c r="D45" s="661"/>
      <c r="E45" s="662">
        <f t="array" ref="E45">SUM(IF(A45=KHN,TH))</f>
        <v>3939014</v>
      </c>
      <c r="F45" s="662">
        <f t="array" ref="F45">SUM(IF(A45=KHC,TH))</f>
        <v>3939014</v>
      </c>
      <c r="G45" s="661"/>
      <c r="H45" s="661"/>
      <c r="I45" s="162">
        <f>E45-F45</f>
        <v>0</v>
      </c>
    </row>
    <row r="46" spans="1:12" s="162" customFormat="1" ht="17.25" customHeight="1">
      <c r="A46" s="660" t="s">
        <v>75</v>
      </c>
      <c r="B46" s="660" t="s">
        <v>76</v>
      </c>
      <c r="C46" s="661"/>
      <c r="D46" s="661"/>
      <c r="E46" s="662">
        <f t="array" ref="E46">SUM(IF(A46=KHN,TH))</f>
        <v>68192198</v>
      </c>
      <c r="F46" s="662">
        <f t="array" ref="F46">SUM(IF(A46=KHC,TH))</f>
        <v>68192198</v>
      </c>
      <c r="G46" s="661"/>
      <c r="H46" s="661"/>
      <c r="I46" s="162">
        <f t="shared" si="13"/>
        <v>0</v>
      </c>
    </row>
    <row r="47" spans="1:12" s="162" customFormat="1" ht="17.25" customHeight="1">
      <c r="A47" s="666" t="s">
        <v>77</v>
      </c>
      <c r="B47" s="660" t="s">
        <v>78</v>
      </c>
      <c r="C47" s="661"/>
      <c r="D47" s="661"/>
      <c r="E47" s="662">
        <f t="array" ref="E47">SUM(IF(A47=KHN,TH))</f>
        <v>0</v>
      </c>
      <c r="F47" s="662">
        <f t="array" ref="F47">SUM(IF(A47=KHC,TH))</f>
        <v>0</v>
      </c>
      <c r="G47" s="661"/>
      <c r="H47" s="661"/>
      <c r="I47" s="162">
        <f t="shared" si="13"/>
        <v>0</v>
      </c>
    </row>
    <row r="48" spans="1:12" s="162" customFormat="1" ht="17.25" customHeight="1">
      <c r="A48" s="660" t="s">
        <v>79</v>
      </c>
      <c r="B48" s="660" t="s">
        <v>80</v>
      </c>
      <c r="C48" s="661"/>
      <c r="D48" s="661"/>
      <c r="E48" s="662">
        <f t="array" ref="E48">SUM(IF(A48=KHN,TH))</f>
        <v>2200000</v>
      </c>
      <c r="F48" s="662">
        <f t="array" ref="F48">SUM(IF(A48=KHC,TH))</f>
        <v>2200000</v>
      </c>
      <c r="G48" s="661"/>
      <c r="H48" s="661"/>
      <c r="I48" s="162">
        <f t="shared" si="13"/>
        <v>0</v>
      </c>
    </row>
    <row r="49" spans="1:9" s="162" customFormat="1" ht="17.25" customHeight="1">
      <c r="A49" s="666" t="s">
        <v>81</v>
      </c>
      <c r="B49" s="660" t="s">
        <v>82</v>
      </c>
      <c r="C49" s="661"/>
      <c r="D49" s="661"/>
      <c r="E49" s="662">
        <f t="array" ref="E49">SUM(IF(A49=KHN,TH))</f>
        <v>22244468</v>
      </c>
      <c r="F49" s="662">
        <f t="array" ref="F49">SUM(IF(A49=KHC,TH))</f>
        <v>22244468</v>
      </c>
      <c r="G49" s="661"/>
      <c r="H49" s="661"/>
      <c r="I49" s="162">
        <f t="shared" si="13"/>
        <v>0</v>
      </c>
    </row>
    <row r="50" spans="1:9" s="162" customFormat="1" ht="17.25" customHeight="1">
      <c r="A50" s="660" t="s">
        <v>83</v>
      </c>
      <c r="B50" s="660" t="s">
        <v>84</v>
      </c>
      <c r="C50" s="661"/>
      <c r="D50" s="661"/>
      <c r="E50" s="670">
        <f t="array" ref="E50">SUM(IF(A50=KHN,TH))</f>
        <v>1156948855</v>
      </c>
      <c r="F50" s="670">
        <f t="array" ref="F50">SUM(IF(A50=TH!$M$10:$M$2837,TH!$K$10:$K$2837))</f>
        <v>1156948855</v>
      </c>
      <c r="G50" s="661"/>
      <c r="H50" s="661"/>
      <c r="I50" s="162">
        <f t="shared" si="13"/>
        <v>0</v>
      </c>
    </row>
    <row r="51" spans="1:9" s="162" customFormat="1" ht="17.25" customHeight="1">
      <c r="A51" s="926" t="s">
        <v>38</v>
      </c>
      <c r="B51" s="927"/>
      <c r="C51" s="671">
        <f>C11+C13+C14+C16+C17+C20+C21+C22+C24+C26+C27+C32+C34+C36+C39+C41+C42+C43+C44+C45+C46+C47+C48+C49+C50</f>
        <v>0</v>
      </c>
      <c r="D51" s="671">
        <f t="shared" ref="D51:H51" si="14">D11+D13+D14+D16+D17+D20+D21+D22+D24+D26+D27+D32+D34+D36+D39+D41+D42+D43+D44+D45+D46+D47+D48+D49+D50</f>
        <v>0</v>
      </c>
      <c r="E51" s="671">
        <f t="shared" si="14"/>
        <v>13582781188</v>
      </c>
      <c r="F51" s="671">
        <f t="shared" si="14"/>
        <v>13582781188</v>
      </c>
      <c r="G51" s="671">
        <f t="shared" si="14"/>
        <v>2202680064</v>
      </c>
      <c r="H51" s="671">
        <f t="shared" si="14"/>
        <v>2202680064</v>
      </c>
    </row>
    <row r="52" spans="1:9">
      <c r="E52" s="672"/>
      <c r="F52" s="673"/>
    </row>
    <row r="53" spans="1:9">
      <c r="E53" s="673"/>
      <c r="H53" s="673">
        <f>G51-H51</f>
        <v>0</v>
      </c>
    </row>
    <row r="54" spans="1:9">
      <c r="E54" s="674"/>
      <c r="F54" s="674"/>
    </row>
    <row r="55" spans="1:9">
      <c r="E55" s="674"/>
      <c r="F55" s="674"/>
    </row>
  </sheetData>
  <mergeCells count="6">
    <mergeCell ref="G8:H8"/>
    <mergeCell ref="A51:B51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47"/>
  <sheetViews>
    <sheetView tabSelected="1" topLeftCell="A7" workbookViewId="0">
      <pane ySplit="3" topLeftCell="A2473" activePane="bottomLeft" state="frozen"/>
      <selection activeCell="A7" sqref="A7"/>
      <selection pane="bottomLeft" activeCell="K131" sqref="K131:K136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99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1426</v>
      </c>
      <c r="B1" s="31"/>
      <c r="C1" s="31"/>
      <c r="D1" s="32"/>
      <c r="E1" s="32"/>
      <c r="F1" s="33"/>
      <c r="G1" s="49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1427</v>
      </c>
      <c r="B2" s="31"/>
      <c r="C2" s="31"/>
      <c r="D2" s="32"/>
      <c r="E2" s="32"/>
      <c r="F2" s="32"/>
      <c r="G2" s="49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1" t="s">
        <v>85</v>
      </c>
      <c r="D4" s="931"/>
      <c r="E4" s="931"/>
      <c r="F4" s="931"/>
      <c r="G4" s="931"/>
      <c r="H4" s="931"/>
      <c r="I4" s="931"/>
      <c r="J4" s="931"/>
      <c r="K4" s="931"/>
      <c r="L4" s="931"/>
      <c r="M4" s="931"/>
    </row>
    <row r="5" spans="1:27" ht="14.25">
      <c r="B5" s="42"/>
      <c r="C5" s="932"/>
      <c r="D5" s="932"/>
      <c r="E5" s="932"/>
      <c r="F5" s="932"/>
      <c r="G5" s="932"/>
      <c r="H5" s="932"/>
      <c r="I5" s="932"/>
      <c r="J5" s="932"/>
      <c r="K5" s="932"/>
      <c r="L5" s="932"/>
      <c r="M5" s="932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5" t="s">
        <v>109</v>
      </c>
      <c r="B7" s="947" t="s">
        <v>93</v>
      </c>
      <c r="C7" s="933" t="s">
        <v>19</v>
      </c>
      <c r="D7" s="934" t="s">
        <v>1</v>
      </c>
      <c r="E7" s="935"/>
      <c r="F7" s="933" t="s">
        <v>0</v>
      </c>
      <c r="G7" s="937" t="s">
        <v>108</v>
      </c>
      <c r="H7" s="949" t="s">
        <v>43</v>
      </c>
      <c r="I7" s="954" t="s">
        <v>258</v>
      </c>
      <c r="J7" s="955"/>
      <c r="K7" s="933" t="s">
        <v>149</v>
      </c>
      <c r="L7" s="936" t="s">
        <v>86</v>
      </c>
      <c r="M7" s="936"/>
      <c r="N7" s="952" t="s">
        <v>811</v>
      </c>
      <c r="O7" s="939" t="s">
        <v>46</v>
      </c>
      <c r="P7" s="940"/>
      <c r="Q7" s="941"/>
      <c r="R7" s="939" t="s">
        <v>50</v>
      </c>
      <c r="S7" s="940"/>
      <c r="T7" s="941"/>
      <c r="U7" s="952" t="s">
        <v>810</v>
      </c>
      <c r="V7" s="950" t="str">
        <f>CTTK!$E$7</f>
        <v>642</v>
      </c>
      <c r="W7" s="930" t="s">
        <v>155</v>
      </c>
      <c r="X7" s="930"/>
      <c r="Y7" s="930"/>
      <c r="Z7" s="930" t="s">
        <v>357</v>
      </c>
      <c r="AA7" s="892"/>
    </row>
    <row r="8" spans="1:27" ht="24.75" customHeight="1">
      <c r="A8" s="946"/>
      <c r="B8" s="948"/>
      <c r="C8" s="933"/>
      <c r="D8" s="202" t="s">
        <v>15</v>
      </c>
      <c r="E8" s="201" t="s">
        <v>31</v>
      </c>
      <c r="F8" s="933"/>
      <c r="G8" s="938"/>
      <c r="H8" s="949"/>
      <c r="I8" s="263" t="s">
        <v>196</v>
      </c>
      <c r="J8" s="263" t="s">
        <v>197</v>
      </c>
      <c r="K8" s="933"/>
      <c r="L8" s="203" t="s">
        <v>21</v>
      </c>
      <c r="M8" s="203" t="s">
        <v>22</v>
      </c>
      <c r="N8" s="953"/>
      <c r="O8" s="942"/>
      <c r="P8" s="943"/>
      <c r="Q8" s="944"/>
      <c r="R8" s="942"/>
      <c r="S8" s="943"/>
      <c r="T8" s="944"/>
      <c r="U8" s="953"/>
      <c r="V8" s="951"/>
      <c r="W8" s="930"/>
      <c r="X8" s="930"/>
      <c r="Y8" s="930"/>
      <c r="Z8" s="930"/>
      <c r="AA8" s="892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93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10</v>
      </c>
      <c r="C10" s="48">
        <f t="shared" ref="C10:C21" si="1">E10</f>
        <v>40817</v>
      </c>
      <c r="D10" s="48" t="s">
        <v>87</v>
      </c>
      <c r="E10" s="48">
        <v>40817</v>
      </c>
      <c r="F10" s="49" t="s">
        <v>142</v>
      </c>
      <c r="G10" s="49"/>
      <c r="H10" s="50"/>
      <c r="I10" s="254"/>
      <c r="J10" s="254"/>
      <c r="K10" s="51">
        <f>CDPS!D38</f>
        <v>0</v>
      </c>
      <c r="L10" s="52" t="s">
        <v>68</v>
      </c>
      <c r="M10" s="52" t="s">
        <v>66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94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40908</v>
      </c>
      <c r="D11" s="48" t="s">
        <v>87</v>
      </c>
      <c r="E11" s="48">
        <v>40908</v>
      </c>
      <c r="F11" s="49" t="s">
        <v>273</v>
      </c>
      <c r="G11" s="49"/>
      <c r="H11" s="50"/>
      <c r="I11" s="254"/>
      <c r="J11" s="254"/>
      <c r="K11" s="51">
        <f>SUMIF(KHC,L11,TH)</f>
        <v>115599418</v>
      </c>
      <c r="L11" s="53" t="s">
        <v>731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94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40908</v>
      </c>
      <c r="D12" s="48" t="s">
        <v>87</v>
      </c>
      <c r="E12" s="48">
        <v>40908</v>
      </c>
      <c r="F12" s="49" t="s">
        <v>274</v>
      </c>
      <c r="G12" s="49"/>
      <c r="H12" s="50"/>
      <c r="I12" s="254"/>
      <c r="J12" s="254"/>
      <c r="K12" s="51">
        <f>SUMIF(KHN,M12,TH)</f>
        <v>957706400</v>
      </c>
      <c r="L12" s="53" t="s">
        <v>83</v>
      </c>
      <c r="M12" s="52" t="s">
        <v>165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94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40908</v>
      </c>
      <c r="D13" s="48" t="s">
        <v>87</v>
      </c>
      <c r="E13" s="48">
        <v>40908</v>
      </c>
      <c r="F13" s="49" t="s">
        <v>88</v>
      </c>
      <c r="G13" s="49"/>
      <c r="H13" s="54"/>
      <c r="I13" s="255"/>
      <c r="J13" s="255"/>
      <c r="K13" s="51">
        <f>SUMIF(KHN,M13,TH)</f>
        <v>0</v>
      </c>
      <c r="L13" s="52" t="s">
        <v>83</v>
      </c>
      <c r="M13" s="52" t="s">
        <v>73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94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40908</v>
      </c>
      <c r="D14" s="48" t="s">
        <v>87</v>
      </c>
      <c r="E14" s="48">
        <v>40908</v>
      </c>
      <c r="F14" s="49" t="s">
        <v>1440</v>
      </c>
      <c r="G14" s="49"/>
      <c r="H14" s="50"/>
      <c r="I14" s="254"/>
      <c r="J14" s="254"/>
      <c r="K14" s="51">
        <f>SUMIF(KHN,M14,TH)</f>
        <v>22244468</v>
      </c>
      <c r="L14" s="52" t="s">
        <v>83</v>
      </c>
      <c r="M14" s="52" t="s">
        <v>81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94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40908</v>
      </c>
      <c r="D15" s="48" t="s">
        <v>87</v>
      </c>
      <c r="E15" s="48">
        <v>40908</v>
      </c>
      <c r="F15" s="49" t="s">
        <v>275</v>
      </c>
      <c r="G15" s="49"/>
      <c r="H15" s="50"/>
      <c r="I15" s="254"/>
      <c r="J15" s="254"/>
      <c r="K15" s="51">
        <f>SUMIF(KHN,M15,TH)</f>
        <v>3939014</v>
      </c>
      <c r="L15" s="52" t="s">
        <v>83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94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40908</v>
      </c>
      <c r="D16" s="48" t="s">
        <v>87</v>
      </c>
      <c r="E16" s="48">
        <v>40908</v>
      </c>
      <c r="F16" s="49" t="s">
        <v>89</v>
      </c>
      <c r="G16" s="49"/>
      <c r="H16" s="50"/>
      <c r="I16" s="254"/>
      <c r="J16" s="254"/>
      <c r="K16" s="51">
        <f>SUMIF(KHN,M16,TH)</f>
        <v>68192198</v>
      </c>
      <c r="L16" s="52" t="s">
        <v>83</v>
      </c>
      <c r="M16" s="52" t="s">
        <v>75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94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40908</v>
      </c>
      <c r="D17" s="48" t="s">
        <v>87</v>
      </c>
      <c r="E17" s="48">
        <v>40908</v>
      </c>
      <c r="F17" s="49" t="s">
        <v>90</v>
      </c>
      <c r="G17" s="49"/>
      <c r="H17" s="50"/>
      <c r="I17" s="254"/>
      <c r="J17" s="254"/>
      <c r="K17" s="51">
        <f>SUMIF(KHC,L17,TH)</f>
        <v>954983</v>
      </c>
      <c r="L17" s="53" t="s">
        <v>39</v>
      </c>
      <c r="M17" s="52" t="s">
        <v>83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94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40908</v>
      </c>
      <c r="D18" s="48" t="s">
        <v>87</v>
      </c>
      <c r="E18" s="48">
        <v>40908</v>
      </c>
      <c r="F18" s="49" t="s">
        <v>328</v>
      </c>
      <c r="G18" s="49"/>
      <c r="H18" s="50"/>
      <c r="I18" s="254"/>
      <c r="J18" s="254"/>
      <c r="K18" s="51">
        <f>SUMIF(KHC,L18,TH)</f>
        <v>1155993872</v>
      </c>
      <c r="L18" s="52" t="s">
        <v>167</v>
      </c>
      <c r="M18" s="52" t="s">
        <v>83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94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40908</v>
      </c>
      <c r="D19" s="48" t="s">
        <v>87</v>
      </c>
      <c r="E19" s="48">
        <v>40908</v>
      </c>
      <c r="F19" s="49" t="s">
        <v>91</v>
      </c>
      <c r="G19" s="49"/>
      <c r="H19" s="50"/>
      <c r="I19" s="254"/>
      <c r="J19" s="254"/>
      <c r="K19" s="51">
        <f>SUMIF(KHC,L19,TH)</f>
        <v>0</v>
      </c>
      <c r="L19" s="52" t="s">
        <v>77</v>
      </c>
      <c r="M19" s="52" t="s">
        <v>83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94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40908</v>
      </c>
      <c r="D20" s="48" t="s">
        <v>87</v>
      </c>
      <c r="E20" s="48">
        <v>40908</v>
      </c>
      <c r="F20" s="49" t="s">
        <v>92</v>
      </c>
      <c r="G20" s="49"/>
      <c r="H20" s="50"/>
      <c r="I20" s="254"/>
      <c r="J20" s="254"/>
      <c r="K20" s="51">
        <f>SUMIF(KHN,M20,TH)</f>
        <v>2200000</v>
      </c>
      <c r="L20" s="53" t="s">
        <v>83</v>
      </c>
      <c r="M20" s="52" t="s">
        <v>79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94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40908</v>
      </c>
      <c r="D21" s="48" t="s">
        <v>87</v>
      </c>
      <c r="E21" s="48">
        <v>40908</v>
      </c>
      <c r="F21" s="49" t="s">
        <v>1439</v>
      </c>
      <c r="G21" s="49"/>
      <c r="H21" s="50"/>
      <c r="I21" s="254"/>
      <c r="J21" s="254"/>
      <c r="K21" s="51">
        <v>102666775</v>
      </c>
      <c r="L21" s="53" t="s">
        <v>83</v>
      </c>
      <c r="M21" s="52" t="s">
        <v>68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94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1438</v>
      </c>
      <c r="G22" s="49"/>
      <c r="H22" s="50"/>
      <c r="I22" s="254"/>
      <c r="J22" s="254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94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1436</v>
      </c>
      <c r="G23" s="49"/>
      <c r="H23" s="50"/>
      <c r="I23" s="254"/>
      <c r="J23" s="254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94"/>
    </row>
    <row r="24" spans="1:30" s="209" customFormat="1" ht="15.75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1437</v>
      </c>
      <c r="G24" s="49"/>
      <c r="H24" s="50"/>
      <c r="I24" s="254"/>
      <c r="J24" s="254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94"/>
    </row>
    <row r="25" spans="1:30" s="606" customFormat="1" ht="15.75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4</v>
      </c>
      <c r="C25" s="184">
        <f>E25</f>
        <v>40634</v>
      </c>
      <c r="D25" s="184" t="s">
        <v>432</v>
      </c>
      <c r="E25" s="184">
        <v>40634</v>
      </c>
      <c r="F25" s="189" t="s">
        <v>815</v>
      </c>
      <c r="G25" s="616"/>
      <c r="H25" s="7" t="s">
        <v>363</v>
      </c>
      <c r="I25" s="256"/>
      <c r="J25" s="256"/>
      <c r="K25" s="614">
        <v>1700000000</v>
      </c>
      <c r="L25" s="615" t="s">
        <v>46</v>
      </c>
      <c r="M25" s="615" t="s">
        <v>24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>x</v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94"/>
    </row>
    <row r="26" spans="1:30" s="606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4</v>
      </c>
      <c r="C26" s="184">
        <f>E26</f>
        <v>40634</v>
      </c>
      <c r="D26" s="184" t="s">
        <v>433</v>
      </c>
      <c r="E26" s="184">
        <v>40634</v>
      </c>
      <c r="F26" s="189" t="s">
        <v>815</v>
      </c>
      <c r="G26" s="616"/>
      <c r="H26" s="7" t="s">
        <v>812</v>
      </c>
      <c r="I26" s="256"/>
      <c r="J26" s="256"/>
      <c r="K26" s="614">
        <v>100000000</v>
      </c>
      <c r="L26" s="615" t="s">
        <v>46</v>
      </c>
      <c r="M26" s="615" t="s">
        <v>24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>x</v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94"/>
    </row>
    <row r="27" spans="1:30" s="606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4</v>
      </c>
      <c r="C27" s="184">
        <f>E27</f>
        <v>40634</v>
      </c>
      <c r="D27" s="184" t="s">
        <v>660</v>
      </c>
      <c r="E27" s="184">
        <v>40634</v>
      </c>
      <c r="F27" s="189" t="s">
        <v>815</v>
      </c>
      <c r="G27" s="616"/>
      <c r="H27" s="7" t="s">
        <v>813</v>
      </c>
      <c r="I27" s="256"/>
      <c r="J27" s="256"/>
      <c r="K27" s="614">
        <v>100000000</v>
      </c>
      <c r="L27" s="615" t="s">
        <v>46</v>
      </c>
      <c r="M27" s="615" t="s">
        <v>24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94"/>
    </row>
    <row r="28" spans="1:30" ht="15.75" customHeight="1">
      <c r="A28" s="204" t="str">
        <f>IF(B28&lt;&gt;"",IF(AND(B28&gt;=_TM1,B28&lt;=_TM2,OR(TH!L28="1111",TH!M28="1111")),TH!D28,""),"")</f>
        <v/>
      </c>
      <c r="B28" s="36">
        <f t="shared" si="3"/>
        <v>4</v>
      </c>
      <c r="C28" s="184">
        <v>40634</v>
      </c>
      <c r="D28" s="184" t="s">
        <v>434</v>
      </c>
      <c r="E28" s="37">
        <v>40630</v>
      </c>
      <c r="F28" s="189" t="s">
        <v>419</v>
      </c>
      <c r="G28" s="676" t="s">
        <v>420</v>
      </c>
      <c r="H28" s="7" t="s">
        <v>394</v>
      </c>
      <c r="I28" s="256"/>
      <c r="J28" s="256"/>
      <c r="K28" s="38">
        <v>318182</v>
      </c>
      <c r="L28" s="615" t="s">
        <v>768</v>
      </c>
      <c r="M28" s="615" t="s">
        <v>46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94"/>
      <c r="AB28" s="606"/>
      <c r="AC28" s="606"/>
      <c r="AD28" s="606"/>
    </row>
    <row r="29" spans="1:30" ht="15.75" customHeight="1">
      <c r="A29" s="204" t="str">
        <f>IF(B29&lt;&gt;"",IF(AND(B29&gt;=_TM1,B29&lt;=_TM2,OR(TH!L29="1111",TH!M29="1111")),TH!D29,""),"")</f>
        <v/>
      </c>
      <c r="B29" s="36">
        <f t="shared" si="3"/>
        <v>4</v>
      </c>
      <c r="C29" s="184">
        <v>40634</v>
      </c>
      <c r="D29" s="184" t="s">
        <v>434</v>
      </c>
      <c r="E29" s="37">
        <v>40630</v>
      </c>
      <c r="F29" s="189" t="s">
        <v>421</v>
      </c>
      <c r="G29" s="676" t="s">
        <v>420</v>
      </c>
      <c r="H29" s="7" t="s">
        <v>394</v>
      </c>
      <c r="I29" s="256"/>
      <c r="J29" s="256"/>
      <c r="K29" s="38">
        <v>31818</v>
      </c>
      <c r="L29" s="615" t="s">
        <v>9</v>
      </c>
      <c r="M29" s="615" t="s">
        <v>46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>x</v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94"/>
      <c r="AB29" s="606">
        <v>4</v>
      </c>
      <c r="AC29" s="606"/>
      <c r="AD29" s="606"/>
    </row>
    <row r="30" spans="1:30" s="606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4</v>
      </c>
      <c r="C30" s="184">
        <v>40634</v>
      </c>
      <c r="D30" s="184" t="s">
        <v>434</v>
      </c>
      <c r="E30" s="37">
        <v>40631</v>
      </c>
      <c r="F30" s="189" t="s">
        <v>422</v>
      </c>
      <c r="G30" s="495" t="s">
        <v>424</v>
      </c>
      <c r="H30" s="7" t="s">
        <v>394</v>
      </c>
      <c r="I30" s="256"/>
      <c r="J30" s="256"/>
      <c r="K30" s="38">
        <v>377273</v>
      </c>
      <c r="L30" s="615" t="s">
        <v>768</v>
      </c>
      <c r="M30" s="615" t="s">
        <v>46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>x</v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94"/>
    </row>
    <row r="31" spans="1:30" s="606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4</v>
      </c>
      <c r="C31" s="184">
        <v>40634</v>
      </c>
      <c r="D31" s="184" t="s">
        <v>434</v>
      </c>
      <c r="E31" s="37">
        <v>40631</v>
      </c>
      <c r="F31" s="189" t="s">
        <v>423</v>
      </c>
      <c r="G31" s="495" t="s">
        <v>424</v>
      </c>
      <c r="H31" s="7" t="s">
        <v>394</v>
      </c>
      <c r="I31" s="256"/>
      <c r="J31" s="256"/>
      <c r="K31" s="38">
        <v>37727</v>
      </c>
      <c r="L31" s="615" t="s">
        <v>9</v>
      </c>
      <c r="M31" s="615" t="s">
        <v>46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94"/>
      <c r="AB31" s="606">
        <v>4</v>
      </c>
    </row>
    <row r="32" spans="1:30" s="606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4</v>
      </c>
      <c r="C32" s="184">
        <v>40634</v>
      </c>
      <c r="D32" s="184" t="s">
        <v>435</v>
      </c>
      <c r="E32" s="37">
        <v>40623</v>
      </c>
      <c r="F32" s="40" t="s">
        <v>427</v>
      </c>
      <c r="G32" s="495" t="s">
        <v>425</v>
      </c>
      <c r="H32" s="45" t="s">
        <v>426</v>
      </c>
      <c r="I32" s="256"/>
      <c r="J32" s="256"/>
      <c r="K32" s="677">
        <v>50000</v>
      </c>
      <c r="L32" s="615" t="s">
        <v>75</v>
      </c>
      <c r="M32" s="615" t="s">
        <v>46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>x</v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>642</v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94"/>
    </row>
    <row r="33" spans="1:29" s="606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4</v>
      </c>
      <c r="C33" s="184">
        <v>40634</v>
      </c>
      <c r="D33" s="184" t="s">
        <v>436</v>
      </c>
      <c r="E33" s="37">
        <v>40619</v>
      </c>
      <c r="F33" s="40" t="s">
        <v>429</v>
      </c>
      <c r="G33" s="495" t="s">
        <v>428</v>
      </c>
      <c r="H33" s="45" t="s">
        <v>431</v>
      </c>
      <c r="I33" s="256"/>
      <c r="J33" s="256"/>
      <c r="K33" s="38">
        <v>363636</v>
      </c>
      <c r="L33" s="615" t="s">
        <v>75</v>
      </c>
      <c r="M33" s="615" t="s">
        <v>46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>642</v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94"/>
      <c r="AB33" s="211"/>
      <c r="AC33" s="211"/>
    </row>
    <row r="34" spans="1:29" s="606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4</v>
      </c>
      <c r="C34" s="184">
        <v>40634</v>
      </c>
      <c r="D34" s="184" t="s">
        <v>436</v>
      </c>
      <c r="E34" s="37">
        <v>40619</v>
      </c>
      <c r="F34" s="40" t="s">
        <v>430</v>
      </c>
      <c r="G34" s="495" t="s">
        <v>428</v>
      </c>
      <c r="H34" s="45" t="s">
        <v>431</v>
      </c>
      <c r="I34" s="256"/>
      <c r="J34" s="256"/>
      <c r="K34" s="38">
        <v>36364</v>
      </c>
      <c r="L34" s="615" t="s">
        <v>9</v>
      </c>
      <c r="M34" s="615" t="s">
        <v>46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94"/>
      <c r="AB34" s="606">
        <v>4</v>
      </c>
      <c r="AC34" s="211"/>
    </row>
    <row r="35" spans="1:29" s="606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4</v>
      </c>
      <c r="C35" s="184">
        <f t="shared" ref="C35:C66" si="4">E35</f>
        <v>40636</v>
      </c>
      <c r="D35" s="184" t="s">
        <v>437</v>
      </c>
      <c r="E35" s="184">
        <v>40636</v>
      </c>
      <c r="F35" s="189" t="s">
        <v>404</v>
      </c>
      <c r="G35" s="676" t="s">
        <v>403</v>
      </c>
      <c r="H35" s="7" t="s">
        <v>394</v>
      </c>
      <c r="I35" s="256"/>
      <c r="J35" s="256"/>
      <c r="K35" s="614">
        <v>472727</v>
      </c>
      <c r="L35" s="615" t="s">
        <v>768</v>
      </c>
      <c r="M35" s="615" t="s">
        <v>46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94"/>
      <c r="AB35" s="211"/>
      <c r="AC35" s="211"/>
    </row>
    <row r="36" spans="1:29" s="606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4</v>
      </c>
      <c r="C36" s="184">
        <f t="shared" si="4"/>
        <v>40636</v>
      </c>
      <c r="D36" s="184" t="s">
        <v>437</v>
      </c>
      <c r="E36" s="184">
        <v>40636</v>
      </c>
      <c r="F36" s="189" t="s">
        <v>396</v>
      </c>
      <c r="G36" s="676" t="s">
        <v>403</v>
      </c>
      <c r="H36" s="7" t="s">
        <v>394</v>
      </c>
      <c r="I36" s="256"/>
      <c r="J36" s="256"/>
      <c r="K36" s="614">
        <v>47273</v>
      </c>
      <c r="L36" s="615" t="s">
        <v>9</v>
      </c>
      <c r="M36" s="615" t="s">
        <v>46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>x</v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94"/>
      <c r="AB36" s="606">
        <v>4</v>
      </c>
      <c r="AC36" s="211"/>
    </row>
    <row r="37" spans="1:29" s="606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4</v>
      </c>
      <c r="C37" s="184">
        <f t="shared" si="4"/>
        <v>40637</v>
      </c>
      <c r="D37" s="184" t="s">
        <v>438</v>
      </c>
      <c r="E37" s="37">
        <v>40637</v>
      </c>
      <c r="F37" s="40" t="s">
        <v>415</v>
      </c>
      <c r="G37" s="495" t="s">
        <v>417</v>
      </c>
      <c r="H37" s="45" t="s">
        <v>418</v>
      </c>
      <c r="I37" s="256"/>
      <c r="J37" s="256"/>
      <c r="K37" s="38">
        <v>6299080</v>
      </c>
      <c r="L37" s="615" t="s">
        <v>768</v>
      </c>
      <c r="M37" s="615" t="s">
        <v>46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94"/>
    </row>
    <row r="38" spans="1:29" s="606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4</v>
      </c>
      <c r="C38" s="184">
        <f t="shared" si="4"/>
        <v>40637</v>
      </c>
      <c r="D38" s="184" t="s">
        <v>438</v>
      </c>
      <c r="E38" s="37">
        <v>40637</v>
      </c>
      <c r="F38" s="40" t="s">
        <v>416</v>
      </c>
      <c r="G38" s="495" t="s">
        <v>417</v>
      </c>
      <c r="H38" s="45" t="s">
        <v>418</v>
      </c>
      <c r="I38" s="256"/>
      <c r="J38" s="256"/>
      <c r="K38" s="38">
        <v>629908</v>
      </c>
      <c r="L38" s="615" t="s">
        <v>9</v>
      </c>
      <c r="M38" s="615" t="s">
        <v>46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>x</v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94"/>
      <c r="AB38" s="606">
        <v>4</v>
      </c>
    </row>
    <row r="39" spans="1:29" s="606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4</v>
      </c>
      <c r="C39" s="184">
        <f t="shared" si="4"/>
        <v>40638</v>
      </c>
      <c r="D39" s="184" t="s">
        <v>439</v>
      </c>
      <c r="E39" s="184">
        <v>40638</v>
      </c>
      <c r="F39" s="189" t="s">
        <v>406</v>
      </c>
      <c r="G39" s="676" t="s">
        <v>405</v>
      </c>
      <c r="H39" s="7" t="s">
        <v>394</v>
      </c>
      <c r="I39" s="256"/>
      <c r="J39" s="256"/>
      <c r="K39" s="614">
        <v>618181</v>
      </c>
      <c r="L39" s="615" t="s">
        <v>768</v>
      </c>
      <c r="M39" s="615" t="s">
        <v>46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94"/>
      <c r="AB39" s="211"/>
      <c r="AC39" s="211"/>
    </row>
    <row r="40" spans="1:29" s="606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4</v>
      </c>
      <c r="C40" s="184">
        <f t="shared" si="4"/>
        <v>40638</v>
      </c>
      <c r="D40" s="184" t="s">
        <v>439</v>
      </c>
      <c r="E40" s="184">
        <v>40638</v>
      </c>
      <c r="F40" s="189" t="s">
        <v>396</v>
      </c>
      <c r="G40" s="676" t="s">
        <v>405</v>
      </c>
      <c r="H40" s="7" t="s">
        <v>394</v>
      </c>
      <c r="I40" s="256"/>
      <c r="J40" s="256"/>
      <c r="K40" s="614">
        <v>61818</v>
      </c>
      <c r="L40" s="615" t="s">
        <v>9</v>
      </c>
      <c r="M40" s="615" t="s">
        <v>46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94"/>
      <c r="AB40" s="606">
        <v>4</v>
      </c>
      <c r="AC40" s="211"/>
    </row>
    <row r="41" spans="1:29" s="606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4</v>
      </c>
      <c r="C41" s="184">
        <f t="shared" si="4"/>
        <v>40638</v>
      </c>
      <c r="D41" s="184" t="s">
        <v>440</v>
      </c>
      <c r="E41" s="184">
        <v>40638</v>
      </c>
      <c r="F41" s="189" t="s">
        <v>408</v>
      </c>
      <c r="G41" s="676" t="s">
        <v>407</v>
      </c>
      <c r="H41" s="7" t="s">
        <v>410</v>
      </c>
      <c r="I41" s="256"/>
      <c r="J41" s="256"/>
      <c r="K41" s="614">
        <v>2000000</v>
      </c>
      <c r="L41" s="615" t="s">
        <v>75</v>
      </c>
      <c r="M41" s="615" t="s">
        <v>46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94"/>
    </row>
    <row r="42" spans="1:29" s="606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4</v>
      </c>
      <c r="C42" s="184">
        <f t="shared" si="4"/>
        <v>40638</v>
      </c>
      <c r="D42" s="184" t="s">
        <v>440</v>
      </c>
      <c r="E42" s="184">
        <v>40638</v>
      </c>
      <c r="F42" s="189" t="s">
        <v>409</v>
      </c>
      <c r="G42" s="676" t="s">
        <v>407</v>
      </c>
      <c r="H42" s="7" t="s">
        <v>410</v>
      </c>
      <c r="I42" s="256"/>
      <c r="J42" s="256"/>
      <c r="K42" s="614">
        <v>200000</v>
      </c>
      <c r="L42" s="615" t="s">
        <v>9</v>
      </c>
      <c r="M42" s="615" t="s">
        <v>46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>x</v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94"/>
      <c r="AB42" s="606">
        <v>4</v>
      </c>
    </row>
    <row r="43" spans="1:29" s="606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4</v>
      </c>
      <c r="C43" s="184">
        <f t="shared" si="4"/>
        <v>40638</v>
      </c>
      <c r="D43" s="184" t="s">
        <v>441</v>
      </c>
      <c r="E43" s="184">
        <v>40638</v>
      </c>
      <c r="F43" s="189" t="s">
        <v>412</v>
      </c>
      <c r="G43" s="676" t="s">
        <v>411</v>
      </c>
      <c r="H43" s="7" t="s">
        <v>414</v>
      </c>
      <c r="I43" s="256"/>
      <c r="J43" s="256"/>
      <c r="K43" s="614">
        <v>108000</v>
      </c>
      <c r="L43" s="615" t="s">
        <v>75</v>
      </c>
      <c r="M43" s="615" t="s">
        <v>46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>642</v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94"/>
    </row>
    <row r="44" spans="1:29" s="606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4</v>
      </c>
      <c r="C44" s="184">
        <f t="shared" si="4"/>
        <v>40638</v>
      </c>
      <c r="D44" s="184" t="s">
        <v>441</v>
      </c>
      <c r="E44" s="184">
        <v>40638</v>
      </c>
      <c r="F44" s="189" t="s">
        <v>413</v>
      </c>
      <c r="G44" s="676" t="s">
        <v>411</v>
      </c>
      <c r="H44" s="7" t="s">
        <v>414</v>
      </c>
      <c r="I44" s="256"/>
      <c r="J44" s="256"/>
      <c r="K44" s="38">
        <v>10800</v>
      </c>
      <c r="L44" s="615" t="s">
        <v>9</v>
      </c>
      <c r="M44" s="615" t="s">
        <v>46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>x</v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94"/>
      <c r="AB44" s="606">
        <v>4</v>
      </c>
    </row>
    <row r="45" spans="1:29" s="606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4</v>
      </c>
      <c r="C45" s="184">
        <f t="shared" si="4"/>
        <v>40640</v>
      </c>
      <c r="D45" s="184" t="s">
        <v>442</v>
      </c>
      <c r="E45" s="184">
        <v>40640</v>
      </c>
      <c r="F45" s="189" t="s">
        <v>362</v>
      </c>
      <c r="G45" s="616" t="s">
        <v>330</v>
      </c>
      <c r="H45" s="44" t="s">
        <v>363</v>
      </c>
      <c r="I45" s="256"/>
      <c r="J45" s="256"/>
      <c r="K45" s="614">
        <v>200000000</v>
      </c>
      <c r="L45" s="615" t="s">
        <v>23</v>
      </c>
      <c r="M45" s="615" t="s">
        <v>46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94"/>
    </row>
    <row r="46" spans="1:29" s="606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4</v>
      </c>
      <c r="C46" s="184">
        <f t="shared" si="4"/>
        <v>40642</v>
      </c>
      <c r="D46" s="184" t="s">
        <v>657</v>
      </c>
      <c r="E46" s="184">
        <v>40642</v>
      </c>
      <c r="F46" s="189" t="s">
        <v>1080</v>
      </c>
      <c r="G46" s="676" t="s">
        <v>398</v>
      </c>
      <c r="H46" s="7" t="s">
        <v>499</v>
      </c>
      <c r="I46" s="256"/>
      <c r="J46" s="256"/>
      <c r="K46" s="614">
        <v>5947392</v>
      </c>
      <c r="L46" s="615" t="s">
        <v>8</v>
      </c>
      <c r="M46" s="615" t="s">
        <v>46</v>
      </c>
      <c r="N46" s="52" t="str">
        <f>IF(AND('331-CT'!$E$7=TH!H46,OR(L46="331",M46="331")),"331",IF(AND(OR(L46="131",M46="131"),H46='131-CT'!$E$7),"131",""))</f>
        <v>331</v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94"/>
    </row>
    <row r="47" spans="1:29" s="606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4</v>
      </c>
      <c r="C47" s="184">
        <f t="shared" si="4"/>
        <v>40642</v>
      </c>
      <c r="D47" s="184" t="s">
        <v>697</v>
      </c>
      <c r="E47" s="184">
        <v>40642</v>
      </c>
      <c r="F47" s="189" t="s">
        <v>399</v>
      </c>
      <c r="G47" s="676" t="s">
        <v>398</v>
      </c>
      <c r="H47" s="7" t="s">
        <v>499</v>
      </c>
      <c r="I47" s="256">
        <v>50</v>
      </c>
      <c r="J47" s="256">
        <v>15998</v>
      </c>
      <c r="K47" s="614">
        <f>ROUND(I47*J47,0)</f>
        <v>799900</v>
      </c>
      <c r="L47" s="615" t="s">
        <v>151</v>
      </c>
      <c r="M47" s="615" t="s">
        <v>8</v>
      </c>
      <c r="N47" s="52" t="str">
        <f>IF(AND('331-CT'!$E$7=TH!H47,OR(L47="331",M47="331")),"331",IF(AND(OR(L47="131",M47="131"),H47='131-CT'!$E$7),"131",""))</f>
        <v>331</v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94"/>
      <c r="AB47" s="211"/>
      <c r="AC47" s="211"/>
    </row>
    <row r="48" spans="1:29" s="606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4</v>
      </c>
      <c r="C48" s="184">
        <f t="shared" si="4"/>
        <v>40642</v>
      </c>
      <c r="D48" s="184" t="s">
        <v>697</v>
      </c>
      <c r="E48" s="184">
        <v>40642</v>
      </c>
      <c r="F48" s="189" t="s">
        <v>400</v>
      </c>
      <c r="G48" s="676" t="s">
        <v>398</v>
      </c>
      <c r="H48" s="7" t="s">
        <v>499</v>
      </c>
      <c r="I48" s="256">
        <v>50</v>
      </c>
      <c r="J48" s="256">
        <v>10830</v>
      </c>
      <c r="K48" s="614">
        <f>ROUND(I48*J48,0)</f>
        <v>541500</v>
      </c>
      <c r="L48" s="615" t="s">
        <v>151</v>
      </c>
      <c r="M48" s="615" t="s">
        <v>8</v>
      </c>
      <c r="N48" s="52" t="str">
        <f>IF(AND('331-CT'!$E$7=TH!H48,OR(L48="331",M48="331")),"331",IF(AND(OR(L48="131",M48="131"),H48='131-CT'!$E$7),"131",""))</f>
        <v>331</v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94"/>
      <c r="AB48" s="211"/>
      <c r="AC48" s="211"/>
    </row>
    <row r="49" spans="1:30" s="606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4</v>
      </c>
      <c r="C49" s="184">
        <f t="shared" si="4"/>
        <v>40642</v>
      </c>
      <c r="D49" s="184" t="s">
        <v>697</v>
      </c>
      <c r="E49" s="184">
        <v>40642</v>
      </c>
      <c r="F49" s="189" t="s">
        <v>401</v>
      </c>
      <c r="G49" s="676" t="s">
        <v>398</v>
      </c>
      <c r="H49" s="7" t="s">
        <v>499</v>
      </c>
      <c r="I49" s="256">
        <v>10</v>
      </c>
      <c r="J49" s="256">
        <v>36792</v>
      </c>
      <c r="K49" s="614">
        <f>ROUND(I49*J49,0)</f>
        <v>367920</v>
      </c>
      <c r="L49" s="615" t="s">
        <v>151</v>
      </c>
      <c r="M49" s="615" t="s">
        <v>8</v>
      </c>
      <c r="N49" s="52" t="str">
        <f>IF(AND('331-CT'!$E$7=TH!H49,OR(L49="331",M49="331")),"331",IF(AND(OR(L49="131",M49="131"),H49='131-CT'!$E$7),"131",""))</f>
        <v>331</v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94"/>
      <c r="AB49" s="211"/>
      <c r="AC49" s="211"/>
    </row>
    <row r="50" spans="1:30" s="606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4</v>
      </c>
      <c r="C50" s="184">
        <f t="shared" si="4"/>
        <v>40642</v>
      </c>
      <c r="D50" s="184" t="s">
        <v>697</v>
      </c>
      <c r="E50" s="184">
        <v>40642</v>
      </c>
      <c r="F50" s="189" t="s">
        <v>402</v>
      </c>
      <c r="G50" s="676" t="s">
        <v>398</v>
      </c>
      <c r="H50" s="7" t="s">
        <v>499</v>
      </c>
      <c r="I50" s="256">
        <v>152</v>
      </c>
      <c r="J50" s="256">
        <v>24325</v>
      </c>
      <c r="K50" s="614">
        <f>ROUND(I50*J50,0)</f>
        <v>3697400</v>
      </c>
      <c r="L50" s="615" t="s">
        <v>151</v>
      </c>
      <c r="M50" s="615" t="s">
        <v>8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94"/>
      <c r="AB50" s="211"/>
      <c r="AC50" s="211"/>
    </row>
    <row r="51" spans="1:30" s="606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4</v>
      </c>
      <c r="C51" s="184">
        <f t="shared" si="4"/>
        <v>40642</v>
      </c>
      <c r="D51" s="184" t="s">
        <v>697</v>
      </c>
      <c r="E51" s="184">
        <v>40642</v>
      </c>
      <c r="F51" s="189" t="s">
        <v>380</v>
      </c>
      <c r="G51" s="676" t="s">
        <v>398</v>
      </c>
      <c r="H51" s="7" t="s">
        <v>499</v>
      </c>
      <c r="I51" s="256"/>
      <c r="J51" s="256"/>
      <c r="K51" s="614">
        <v>540672</v>
      </c>
      <c r="L51" s="615" t="s">
        <v>9</v>
      </c>
      <c r="M51" s="615" t="s">
        <v>8</v>
      </c>
      <c r="N51" s="52" t="str">
        <f>IF(AND('331-CT'!$E$7=TH!H51,OR(L51="331",M51="331")),"331",IF(AND(OR(L51="131",M51="131"),H51='131-CT'!$E$7),"131",""))</f>
        <v>331</v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94"/>
      <c r="AB51" s="606">
        <v>4</v>
      </c>
      <c r="AC51" s="211"/>
    </row>
    <row r="52" spans="1:30" s="606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4</v>
      </c>
      <c r="C52" s="37">
        <f t="shared" si="4"/>
        <v>40644</v>
      </c>
      <c r="D52" s="184" t="s">
        <v>658</v>
      </c>
      <c r="E52" s="184">
        <v>40644</v>
      </c>
      <c r="F52" s="40" t="s">
        <v>637</v>
      </c>
      <c r="G52" s="676" t="s">
        <v>390</v>
      </c>
      <c r="H52" s="7" t="s">
        <v>391</v>
      </c>
      <c r="I52" s="256"/>
      <c r="J52" s="256"/>
      <c r="K52" s="38">
        <v>1292500</v>
      </c>
      <c r="L52" s="39" t="s">
        <v>8</v>
      </c>
      <c r="M52" s="39" t="s">
        <v>46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94"/>
    </row>
    <row r="53" spans="1:30" s="606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4</v>
      </c>
      <c r="C53" s="37">
        <f t="shared" si="4"/>
        <v>40644</v>
      </c>
      <c r="D53" s="184" t="s">
        <v>659</v>
      </c>
      <c r="E53" s="184">
        <v>40644</v>
      </c>
      <c r="F53" s="40" t="s">
        <v>527</v>
      </c>
      <c r="G53" s="676" t="s">
        <v>393</v>
      </c>
      <c r="H53" s="7" t="s">
        <v>392</v>
      </c>
      <c r="I53" s="256"/>
      <c r="J53" s="256"/>
      <c r="K53" s="38">
        <v>2217600</v>
      </c>
      <c r="L53" s="39" t="s">
        <v>8</v>
      </c>
      <c r="M53" s="39" t="s">
        <v>46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94"/>
    </row>
    <row r="54" spans="1:30" s="606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4</v>
      </c>
      <c r="C54" s="184">
        <f t="shared" si="4"/>
        <v>40644</v>
      </c>
      <c r="D54" s="184" t="s">
        <v>661</v>
      </c>
      <c r="E54" s="184">
        <v>40644</v>
      </c>
      <c r="F54" s="189" t="s">
        <v>397</v>
      </c>
      <c r="G54" s="676" t="s">
        <v>395</v>
      </c>
      <c r="H54" s="7" t="s">
        <v>394</v>
      </c>
      <c r="I54" s="256"/>
      <c r="J54" s="256"/>
      <c r="K54" s="614">
        <v>1409091</v>
      </c>
      <c r="L54" s="615" t="s">
        <v>768</v>
      </c>
      <c r="M54" s="615" t="s">
        <v>46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>x</v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94"/>
      <c r="AB54" s="211"/>
      <c r="AC54" s="211"/>
    </row>
    <row r="55" spans="1:30" s="606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4</v>
      </c>
      <c r="C55" s="184">
        <f t="shared" si="4"/>
        <v>40644</v>
      </c>
      <c r="D55" s="184" t="s">
        <v>661</v>
      </c>
      <c r="E55" s="184">
        <v>40644</v>
      </c>
      <c r="F55" s="189" t="s">
        <v>396</v>
      </c>
      <c r="G55" s="676" t="s">
        <v>395</v>
      </c>
      <c r="H55" s="7" t="s">
        <v>394</v>
      </c>
      <c r="I55" s="256"/>
      <c r="J55" s="256"/>
      <c r="K55" s="614">
        <v>140909</v>
      </c>
      <c r="L55" s="615" t="s">
        <v>9</v>
      </c>
      <c r="M55" s="615" t="s">
        <v>46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>x</v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94"/>
      <c r="AB55" s="606">
        <v>4</v>
      </c>
      <c r="AC55" s="211"/>
    </row>
    <row r="56" spans="1:30" s="606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4</v>
      </c>
      <c r="C56" s="184">
        <f t="shared" si="4"/>
        <v>40644</v>
      </c>
      <c r="D56" s="184" t="s">
        <v>694</v>
      </c>
      <c r="E56" s="184">
        <v>40644</v>
      </c>
      <c r="F56" s="189" t="s">
        <v>388</v>
      </c>
      <c r="G56" s="676" t="s">
        <v>390</v>
      </c>
      <c r="H56" s="7" t="s">
        <v>391</v>
      </c>
      <c r="I56" s="256">
        <v>50</v>
      </c>
      <c r="J56" s="256">
        <v>23500</v>
      </c>
      <c r="K56" s="614">
        <f>ROUND(I56*J56,0)</f>
        <v>1175000</v>
      </c>
      <c r="L56" s="615" t="s">
        <v>153</v>
      </c>
      <c r="M56" s="615" t="s">
        <v>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>x</v>
      </c>
      <c r="Z56" s="52" t="str">
        <f>IF(AND(B56&lt;=NKC!$N$8,B56&gt;=NKC!$M$8),"x","")</f>
        <v/>
      </c>
      <c r="AA56" s="894"/>
    </row>
    <row r="57" spans="1:30" s="606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4</v>
      </c>
      <c r="C57" s="184">
        <f t="shared" si="4"/>
        <v>40644</v>
      </c>
      <c r="D57" s="184" t="s">
        <v>694</v>
      </c>
      <c r="E57" s="184">
        <v>40644</v>
      </c>
      <c r="F57" s="189" t="s">
        <v>389</v>
      </c>
      <c r="G57" s="676" t="s">
        <v>390</v>
      </c>
      <c r="H57" s="7" t="s">
        <v>391</v>
      </c>
      <c r="I57" s="256"/>
      <c r="J57" s="256"/>
      <c r="K57" s="614">
        <v>117500</v>
      </c>
      <c r="L57" s="615" t="s">
        <v>9</v>
      </c>
      <c r="M57" s="615" t="s">
        <v>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94"/>
      <c r="AB57" s="606">
        <v>4</v>
      </c>
    </row>
    <row r="58" spans="1:30" s="606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4</v>
      </c>
      <c r="C58" s="184">
        <f t="shared" si="4"/>
        <v>40644</v>
      </c>
      <c r="D58" s="184" t="s">
        <v>695</v>
      </c>
      <c r="E58" s="184">
        <v>40644</v>
      </c>
      <c r="F58" s="189" t="s">
        <v>340</v>
      </c>
      <c r="G58" s="676" t="s">
        <v>393</v>
      </c>
      <c r="H58" s="7" t="s">
        <v>392</v>
      </c>
      <c r="I58" s="256">
        <v>48</v>
      </c>
      <c r="J58" s="256">
        <v>42000</v>
      </c>
      <c r="K58" s="614">
        <f>ROUND(I58*J58,0)</f>
        <v>2016000</v>
      </c>
      <c r="L58" s="615" t="s">
        <v>153</v>
      </c>
      <c r="M58" s="615" t="s">
        <v>8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94"/>
    </row>
    <row r="59" spans="1:30" s="606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4</v>
      </c>
      <c r="C59" s="184">
        <f t="shared" si="4"/>
        <v>40644</v>
      </c>
      <c r="D59" s="184" t="s">
        <v>695</v>
      </c>
      <c r="E59" s="184">
        <v>40644</v>
      </c>
      <c r="F59" s="189" t="s">
        <v>341</v>
      </c>
      <c r="G59" s="676" t="s">
        <v>393</v>
      </c>
      <c r="H59" s="7" t="s">
        <v>392</v>
      </c>
      <c r="I59" s="256"/>
      <c r="J59" s="256"/>
      <c r="K59" s="614">
        <v>201600</v>
      </c>
      <c r="L59" s="615" t="s">
        <v>9</v>
      </c>
      <c r="M59" s="615" t="s">
        <v>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94"/>
      <c r="AB59" s="606">
        <v>4</v>
      </c>
    </row>
    <row r="60" spans="1:30" s="606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4</v>
      </c>
      <c r="C60" s="191">
        <f t="shared" si="4"/>
        <v>40644</v>
      </c>
      <c r="D60" s="37" t="s">
        <v>955</v>
      </c>
      <c r="E60" s="794">
        <v>40644</v>
      </c>
      <c r="F60" s="456" t="s">
        <v>388</v>
      </c>
      <c r="G60" s="40"/>
      <c r="H60" s="628" t="s">
        <v>1092</v>
      </c>
      <c r="I60" s="256">
        <v>50</v>
      </c>
      <c r="J60" s="256">
        <v>23500</v>
      </c>
      <c r="K60" s="614">
        <f>ROUND(I60*J60,0)</f>
        <v>1175000</v>
      </c>
      <c r="L60" s="39" t="s">
        <v>157</v>
      </c>
      <c r="M60" s="39" t="s">
        <v>153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>154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>x</v>
      </c>
      <c r="Z60" s="52" t="str">
        <f>IF(AND(B60&lt;=NKC!$N$8,B60&gt;=NKC!$M$8),"x","")</f>
        <v/>
      </c>
      <c r="AA60" s="894"/>
      <c r="AB60" s="198"/>
      <c r="AC60" s="198"/>
      <c r="AD60" s="198"/>
    </row>
    <row r="61" spans="1:30" s="606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4</v>
      </c>
      <c r="C61" s="191">
        <f t="shared" si="4"/>
        <v>40644</v>
      </c>
      <c r="D61" s="37" t="s">
        <v>955</v>
      </c>
      <c r="E61" s="794">
        <v>40644</v>
      </c>
      <c r="F61" s="456" t="s">
        <v>340</v>
      </c>
      <c r="G61" s="40"/>
      <c r="H61" s="628" t="s">
        <v>1092</v>
      </c>
      <c r="I61" s="256">
        <v>20</v>
      </c>
      <c r="J61" s="256">
        <v>42000</v>
      </c>
      <c r="K61" s="614">
        <f>ROUND(I61*J61,0)</f>
        <v>840000</v>
      </c>
      <c r="L61" s="39" t="s">
        <v>157</v>
      </c>
      <c r="M61" s="39" t="s">
        <v>153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>154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94"/>
      <c r="AB61" s="198"/>
      <c r="AC61" s="198"/>
      <c r="AD61" s="198"/>
    </row>
    <row r="62" spans="1:30" s="606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4</v>
      </c>
      <c r="C62" s="184">
        <f t="shared" si="4"/>
        <v>40646</v>
      </c>
      <c r="D62" s="184" t="s">
        <v>662</v>
      </c>
      <c r="E62" s="184">
        <v>40646</v>
      </c>
      <c r="F62" s="189" t="s">
        <v>1080</v>
      </c>
      <c r="G62" s="676" t="s">
        <v>386</v>
      </c>
      <c r="H62" s="7" t="s">
        <v>499</v>
      </c>
      <c r="I62" s="256"/>
      <c r="J62" s="256"/>
      <c r="K62" s="614">
        <v>12234750</v>
      </c>
      <c r="L62" s="615" t="s">
        <v>8</v>
      </c>
      <c r="M62" s="615" t="s">
        <v>46</v>
      </c>
      <c r="N62" s="52" t="str">
        <f>IF(AND('331-CT'!$E$7=TH!H62,OR(L62="331",M62="331")),"331",IF(AND(OR(L62="131",M62="131"),H62='131-CT'!$E$7),"131",""))</f>
        <v>331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>x</v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94"/>
    </row>
    <row r="63" spans="1:30" s="606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4</v>
      </c>
      <c r="C63" s="184">
        <f t="shared" si="4"/>
        <v>40646</v>
      </c>
      <c r="D63" s="184" t="s">
        <v>698</v>
      </c>
      <c r="E63" s="184">
        <v>40646</v>
      </c>
      <c r="F63" s="189" t="s">
        <v>387</v>
      </c>
      <c r="G63" s="676" t="s">
        <v>386</v>
      </c>
      <c r="H63" s="7" t="s">
        <v>499</v>
      </c>
      <c r="I63" s="839">
        <v>2500</v>
      </c>
      <c r="J63" s="256">
        <v>4449</v>
      </c>
      <c r="K63" s="614">
        <f>ROUND(I63*J63,0)</f>
        <v>11122500</v>
      </c>
      <c r="L63" s="615" t="s">
        <v>151</v>
      </c>
      <c r="M63" s="615" t="s">
        <v>8</v>
      </c>
      <c r="N63" s="52" t="str">
        <f>IF(AND('331-CT'!$E$7=TH!H63,OR(L63="331",M63="331")),"331",IF(AND(OR(L63="131",M63="131"),H63='131-CT'!$E$7),"131",""))</f>
        <v>331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>x</v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94"/>
    </row>
    <row r="64" spans="1:30" s="606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4</v>
      </c>
      <c r="C64" s="184">
        <f t="shared" si="4"/>
        <v>40646</v>
      </c>
      <c r="D64" s="184" t="s">
        <v>698</v>
      </c>
      <c r="E64" s="184">
        <v>40646</v>
      </c>
      <c r="F64" s="189" t="s">
        <v>380</v>
      </c>
      <c r="G64" s="676" t="s">
        <v>386</v>
      </c>
      <c r="H64" s="7" t="s">
        <v>499</v>
      </c>
      <c r="I64" s="256"/>
      <c r="J64" s="256"/>
      <c r="K64" s="614">
        <v>1112250</v>
      </c>
      <c r="L64" s="615" t="s">
        <v>9</v>
      </c>
      <c r="M64" s="615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94"/>
      <c r="AB64" s="606">
        <v>4</v>
      </c>
    </row>
    <row r="65" spans="1:30" s="606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4</v>
      </c>
      <c r="C65" s="184">
        <f t="shared" si="4"/>
        <v>40646</v>
      </c>
      <c r="D65" s="184" t="s">
        <v>666</v>
      </c>
      <c r="E65" s="184">
        <v>40646</v>
      </c>
      <c r="F65" s="189" t="s">
        <v>366</v>
      </c>
      <c r="G65" s="616" t="s">
        <v>330</v>
      </c>
      <c r="H65" s="44" t="s">
        <v>363</v>
      </c>
      <c r="I65" s="256"/>
      <c r="J65" s="256"/>
      <c r="K65" s="614">
        <v>50000000</v>
      </c>
      <c r="L65" s="615" t="s">
        <v>46</v>
      </c>
      <c r="M65" s="615" t="s">
        <v>23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94"/>
    </row>
    <row r="66" spans="1:30" s="606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4</v>
      </c>
      <c r="C66" s="184">
        <f t="shared" si="4"/>
        <v>40647</v>
      </c>
      <c r="D66" s="184" t="s">
        <v>664</v>
      </c>
      <c r="E66" s="184">
        <v>40647</v>
      </c>
      <c r="F66" s="189" t="s">
        <v>1080</v>
      </c>
      <c r="G66" s="676" t="s">
        <v>384</v>
      </c>
      <c r="H66" s="7" t="s">
        <v>499</v>
      </c>
      <c r="I66" s="256"/>
      <c r="J66" s="256"/>
      <c r="K66" s="614">
        <v>16841000</v>
      </c>
      <c r="L66" s="615" t="s">
        <v>8</v>
      </c>
      <c r="M66" s="615" t="s">
        <v>46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94"/>
    </row>
    <row r="67" spans="1:30" s="606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4</v>
      </c>
      <c r="C67" s="184">
        <f t="shared" ref="C67:C100" si="5">E67</f>
        <v>40647</v>
      </c>
      <c r="D67" s="184" t="s">
        <v>699</v>
      </c>
      <c r="E67" s="184">
        <v>40647</v>
      </c>
      <c r="F67" s="189" t="s">
        <v>385</v>
      </c>
      <c r="G67" s="676" t="s">
        <v>384</v>
      </c>
      <c r="H67" s="7" t="s">
        <v>499</v>
      </c>
      <c r="I67" s="256">
        <f>600+1900</f>
        <v>2500</v>
      </c>
      <c r="J67" s="256">
        <v>6124</v>
      </c>
      <c r="K67" s="614">
        <f>ROUND(I67*J67,0)</f>
        <v>15310000</v>
      </c>
      <c r="L67" s="615" t="s">
        <v>151</v>
      </c>
      <c r="M67" s="615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94"/>
    </row>
    <row r="68" spans="1:30" s="606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4</v>
      </c>
      <c r="C68" s="184">
        <f t="shared" si="5"/>
        <v>40647</v>
      </c>
      <c r="D68" s="184" t="s">
        <v>699</v>
      </c>
      <c r="E68" s="184">
        <v>40647</v>
      </c>
      <c r="F68" s="189" t="s">
        <v>380</v>
      </c>
      <c r="G68" s="676" t="s">
        <v>384</v>
      </c>
      <c r="H68" s="7" t="s">
        <v>499</v>
      </c>
      <c r="I68" s="256"/>
      <c r="J68" s="256"/>
      <c r="K68" s="614">
        <v>1531000</v>
      </c>
      <c r="L68" s="615" t="s">
        <v>9</v>
      </c>
      <c r="M68" s="615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94"/>
      <c r="AB68" s="606">
        <v>4</v>
      </c>
    </row>
    <row r="69" spans="1:30" s="606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4</v>
      </c>
      <c r="C69" s="184">
        <f t="shared" si="5"/>
        <v>40648</v>
      </c>
      <c r="D69" s="184" t="s">
        <v>665</v>
      </c>
      <c r="E69" s="184">
        <v>40648</v>
      </c>
      <c r="F69" s="189" t="s">
        <v>1080</v>
      </c>
      <c r="G69" s="676" t="s">
        <v>378</v>
      </c>
      <c r="H69" s="7" t="s">
        <v>499</v>
      </c>
      <c r="I69" s="256"/>
      <c r="J69" s="256"/>
      <c r="K69" s="614">
        <v>5945481</v>
      </c>
      <c r="L69" s="615" t="s">
        <v>8</v>
      </c>
      <c r="M69" s="615" t="s">
        <v>46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94"/>
    </row>
    <row r="70" spans="1:30" s="606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4</v>
      </c>
      <c r="C70" s="184">
        <f t="shared" si="5"/>
        <v>40648</v>
      </c>
      <c r="D70" s="184" t="s">
        <v>700</v>
      </c>
      <c r="E70" s="184">
        <v>40648</v>
      </c>
      <c r="F70" s="189" t="s">
        <v>379</v>
      </c>
      <c r="G70" s="676" t="s">
        <v>378</v>
      </c>
      <c r="H70" s="7" t="s">
        <v>499</v>
      </c>
      <c r="I70" s="256">
        <v>130</v>
      </c>
      <c r="J70" s="256">
        <v>24346</v>
      </c>
      <c r="K70" s="614">
        <f>ROUND(I70*J70,0)</f>
        <v>3164980</v>
      </c>
      <c r="L70" s="615" t="s">
        <v>151</v>
      </c>
      <c r="M70" s="615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94"/>
    </row>
    <row r="71" spans="1:30" s="606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4</v>
      </c>
      <c r="C71" s="184">
        <f t="shared" si="5"/>
        <v>40648</v>
      </c>
      <c r="D71" s="184" t="s">
        <v>700</v>
      </c>
      <c r="E71" s="184">
        <v>40648</v>
      </c>
      <c r="F71" s="189" t="s">
        <v>381</v>
      </c>
      <c r="G71" s="676" t="s">
        <v>378</v>
      </c>
      <c r="H71" s="7" t="s">
        <v>499</v>
      </c>
      <c r="I71" s="256">
        <v>60</v>
      </c>
      <c r="J71" s="256">
        <v>14079</v>
      </c>
      <c r="K71" s="614">
        <f>ROUND(I71*J71,0)</f>
        <v>844740</v>
      </c>
      <c r="L71" s="615" t="s">
        <v>151</v>
      </c>
      <c r="M71" s="615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94"/>
    </row>
    <row r="72" spans="1:30" s="606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5"/>
        <v>40648</v>
      </c>
      <c r="D72" s="184" t="s">
        <v>700</v>
      </c>
      <c r="E72" s="184">
        <v>40648</v>
      </c>
      <c r="F72" s="189" t="s">
        <v>382</v>
      </c>
      <c r="G72" s="676" t="s">
        <v>378</v>
      </c>
      <c r="H72" s="7" t="s">
        <v>499</v>
      </c>
      <c r="I72" s="256">
        <v>50</v>
      </c>
      <c r="J72" s="256">
        <v>27901</v>
      </c>
      <c r="K72" s="614">
        <f>ROUND(I72*J72,0)</f>
        <v>1395050</v>
      </c>
      <c r="L72" s="615" t="s">
        <v>151</v>
      </c>
      <c r="M72" s="615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94"/>
    </row>
    <row r="73" spans="1:30" s="606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5"/>
        <v>40648</v>
      </c>
      <c r="D73" s="184" t="s">
        <v>700</v>
      </c>
      <c r="E73" s="184">
        <v>40648</v>
      </c>
      <c r="F73" s="189" t="s">
        <v>380</v>
      </c>
      <c r="G73" s="676" t="s">
        <v>378</v>
      </c>
      <c r="H73" s="7" t="s">
        <v>499</v>
      </c>
      <c r="I73" s="256"/>
      <c r="J73" s="256"/>
      <c r="K73" s="614">
        <v>540711</v>
      </c>
      <c r="L73" s="615" t="s">
        <v>9</v>
      </c>
      <c r="M73" s="615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94"/>
      <c r="AB73" s="606">
        <v>4</v>
      </c>
    </row>
    <row r="74" spans="1:30" s="606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5"/>
        <v>40649</v>
      </c>
      <c r="D74" s="184" t="s">
        <v>667</v>
      </c>
      <c r="E74" s="184">
        <v>40649</v>
      </c>
      <c r="F74" s="189" t="s">
        <v>663</v>
      </c>
      <c r="G74" s="676" t="s">
        <v>373</v>
      </c>
      <c r="H74" s="7" t="s">
        <v>371</v>
      </c>
      <c r="I74" s="256">
        <v>20</v>
      </c>
      <c r="J74" s="256">
        <v>40000</v>
      </c>
      <c r="K74" s="614">
        <f>800000+1380000</f>
        <v>2180000</v>
      </c>
      <c r="L74" s="615" t="s">
        <v>157</v>
      </c>
      <c r="M74" s="615" t="s">
        <v>46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>x</v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>154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94"/>
    </row>
    <row r="75" spans="1:30" s="606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5"/>
        <v>40649</v>
      </c>
      <c r="D75" s="184" t="s">
        <v>667</v>
      </c>
      <c r="E75" s="184">
        <v>40649</v>
      </c>
      <c r="F75" s="189" t="s">
        <v>342</v>
      </c>
      <c r="G75" s="676" t="s">
        <v>373</v>
      </c>
      <c r="H75" s="7" t="s">
        <v>371</v>
      </c>
      <c r="I75" s="256"/>
      <c r="J75" s="256"/>
      <c r="K75" s="614">
        <v>218000</v>
      </c>
      <c r="L75" s="615" t="s">
        <v>9</v>
      </c>
      <c r="M75" s="615" t="s">
        <v>46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>x</v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94"/>
      <c r="AB75" s="606">
        <v>4</v>
      </c>
    </row>
    <row r="76" spans="1:30" s="606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4</v>
      </c>
      <c r="C76" s="37">
        <f t="shared" si="5"/>
        <v>40652</v>
      </c>
      <c r="D76" s="184" t="s">
        <v>668</v>
      </c>
      <c r="E76" s="37">
        <v>40652</v>
      </c>
      <c r="F76" s="40" t="s">
        <v>443</v>
      </c>
      <c r="G76" s="495" t="s">
        <v>447</v>
      </c>
      <c r="H76" s="45" t="s">
        <v>446</v>
      </c>
      <c r="I76" s="256"/>
      <c r="J76" s="256"/>
      <c r="K76" s="38">
        <v>1000000</v>
      </c>
      <c r="L76" s="39" t="s">
        <v>58</v>
      </c>
      <c r="M76" s="615" t="s">
        <v>46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>x</v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94"/>
      <c r="AB76" s="211"/>
      <c r="AC76" s="211"/>
      <c r="AD76" s="211"/>
    </row>
    <row r="77" spans="1:30" s="606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37">
        <f t="shared" si="5"/>
        <v>40652</v>
      </c>
      <c r="D77" s="184" t="s">
        <v>668</v>
      </c>
      <c r="E77" s="37">
        <v>40652</v>
      </c>
      <c r="F77" s="40" t="s">
        <v>444</v>
      </c>
      <c r="G77" s="495" t="s">
        <v>447</v>
      </c>
      <c r="H77" s="45"/>
      <c r="I77" s="256"/>
      <c r="J77" s="256"/>
      <c r="K77" s="38">
        <v>1000000</v>
      </c>
      <c r="L77" s="39" t="s">
        <v>75</v>
      </c>
      <c r="M77" s="615" t="s">
        <v>58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>642</v>
      </c>
      <c r="V77" s="52" t="str">
        <f>IF(OR(TH!L77=TH!$V$7,M77=TH!$V$7),"x","")</f>
        <v>x</v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94"/>
      <c r="AB77" s="211"/>
      <c r="AC77" s="211"/>
      <c r="AD77" s="211"/>
    </row>
    <row r="78" spans="1:30" s="606" customFormat="1" ht="15.75" customHeight="1">
      <c r="A78" s="204" t="str">
        <f>IF(B78&lt;&gt;"",IF(AND(B78&gt;=_TM1,B78&lt;=_TM2,OR(TH!L78="1111",TH!M78="1111")),TH!D78,""),"")</f>
        <v/>
      </c>
      <c r="B78" s="712">
        <f t="shared" si="3"/>
        <v>4</v>
      </c>
      <c r="C78" s="713">
        <f t="shared" si="5"/>
        <v>40655</v>
      </c>
      <c r="D78" s="713" t="s">
        <v>333</v>
      </c>
      <c r="E78" s="713">
        <v>40655</v>
      </c>
      <c r="F78" s="714" t="s">
        <v>335</v>
      </c>
      <c r="G78" s="715" t="s">
        <v>330</v>
      </c>
      <c r="H78" s="50" t="s">
        <v>732</v>
      </c>
      <c r="I78" s="254"/>
      <c r="J78" s="254"/>
      <c r="K78" s="716">
        <v>28175740</v>
      </c>
      <c r="L78" s="717" t="s">
        <v>23</v>
      </c>
      <c r="M78" s="717" t="s">
        <v>259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94"/>
      <c r="AB78" s="718"/>
      <c r="AC78" s="718"/>
      <c r="AD78" s="718"/>
    </row>
    <row r="79" spans="1:30" s="606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5"/>
        <v>40656</v>
      </c>
      <c r="D79" s="184" t="s">
        <v>669</v>
      </c>
      <c r="E79" s="184">
        <v>40656</v>
      </c>
      <c r="F79" s="189" t="s">
        <v>374</v>
      </c>
      <c r="G79" s="676" t="s">
        <v>375</v>
      </c>
      <c r="H79" s="7" t="s">
        <v>377</v>
      </c>
      <c r="I79" s="256">
        <v>100</v>
      </c>
      <c r="J79" s="256">
        <v>23000</v>
      </c>
      <c r="K79" s="614">
        <f>ROUND(I79*J79,0)</f>
        <v>2300000</v>
      </c>
      <c r="L79" s="615" t="s">
        <v>157</v>
      </c>
      <c r="M79" s="615" t="s">
        <v>46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>x</v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>154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94"/>
    </row>
    <row r="80" spans="1:30" s="606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4</v>
      </c>
      <c r="C80" s="184">
        <f t="shared" si="5"/>
        <v>40656</v>
      </c>
      <c r="D80" s="184" t="s">
        <v>669</v>
      </c>
      <c r="E80" s="184">
        <v>40656</v>
      </c>
      <c r="F80" s="189" t="s">
        <v>376</v>
      </c>
      <c r="G80" s="676" t="s">
        <v>375</v>
      </c>
      <c r="H80" s="7" t="s">
        <v>377</v>
      </c>
      <c r="I80" s="256"/>
      <c r="J80" s="256"/>
      <c r="K80" s="614">
        <v>230000</v>
      </c>
      <c r="L80" s="615" t="s">
        <v>9</v>
      </c>
      <c r="M80" s="615" t="s">
        <v>46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>x</v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94"/>
      <c r="AB80" s="606">
        <v>4</v>
      </c>
    </row>
    <row r="81" spans="1:30" s="606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4</v>
      </c>
      <c r="C81" s="184">
        <f t="shared" si="5"/>
        <v>40658</v>
      </c>
      <c r="D81" s="184" t="s">
        <v>333</v>
      </c>
      <c r="E81" s="184">
        <v>40658</v>
      </c>
      <c r="F81" s="189" t="s">
        <v>364</v>
      </c>
      <c r="G81" s="616" t="s">
        <v>330</v>
      </c>
      <c r="H81" s="44"/>
      <c r="I81" s="256"/>
      <c r="J81" s="256"/>
      <c r="K81" s="614">
        <v>271892</v>
      </c>
      <c r="L81" s="615" t="s">
        <v>23</v>
      </c>
      <c r="M81" s="615" t="s">
        <v>39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94"/>
    </row>
    <row r="82" spans="1:30" s="606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4</v>
      </c>
      <c r="C82" s="37">
        <f t="shared" si="5"/>
        <v>40658</v>
      </c>
      <c r="D82" s="184" t="s">
        <v>701</v>
      </c>
      <c r="E82" s="37">
        <v>40658</v>
      </c>
      <c r="F82" s="189" t="s">
        <v>478</v>
      </c>
      <c r="G82" s="495" t="s">
        <v>477</v>
      </c>
      <c r="H82" s="7" t="s">
        <v>499</v>
      </c>
      <c r="I82" s="259">
        <v>3010</v>
      </c>
      <c r="J82" s="256">
        <v>4592</v>
      </c>
      <c r="K82" s="614">
        <f t="shared" ref="K82:K87" si="6">ROUND(I82*J82,0)</f>
        <v>13821920</v>
      </c>
      <c r="L82" s="39" t="s">
        <v>151</v>
      </c>
      <c r="M82" s="615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94"/>
      <c r="AB82" s="211"/>
      <c r="AC82" s="211"/>
      <c r="AD82" s="211"/>
    </row>
    <row r="83" spans="1:30" s="606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4</v>
      </c>
      <c r="C83" s="37">
        <f t="shared" si="5"/>
        <v>40658</v>
      </c>
      <c r="D83" s="184" t="s">
        <v>701</v>
      </c>
      <c r="E83" s="37">
        <v>40658</v>
      </c>
      <c r="F83" s="189" t="s">
        <v>479</v>
      </c>
      <c r="G83" s="495" t="s">
        <v>477</v>
      </c>
      <c r="H83" s="7" t="s">
        <v>499</v>
      </c>
      <c r="I83" s="256">
        <v>3010</v>
      </c>
      <c r="J83" s="259">
        <v>6026</v>
      </c>
      <c r="K83" s="614">
        <f t="shared" si="6"/>
        <v>18138260</v>
      </c>
      <c r="L83" s="39" t="s">
        <v>151</v>
      </c>
      <c r="M83" s="615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94"/>
      <c r="AB83" s="211"/>
      <c r="AC83" s="211"/>
      <c r="AD83" s="211"/>
    </row>
    <row r="84" spans="1:30" s="606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4</v>
      </c>
      <c r="C84" s="37">
        <f t="shared" si="5"/>
        <v>40658</v>
      </c>
      <c r="D84" s="184" t="s">
        <v>701</v>
      </c>
      <c r="E84" s="37">
        <v>40658</v>
      </c>
      <c r="F84" s="189" t="s">
        <v>480</v>
      </c>
      <c r="G84" s="495" t="s">
        <v>477</v>
      </c>
      <c r="H84" s="7" t="s">
        <v>499</v>
      </c>
      <c r="I84" s="256">
        <v>235</v>
      </c>
      <c r="J84" s="259">
        <v>16125</v>
      </c>
      <c r="K84" s="614">
        <f t="shared" si="6"/>
        <v>3789375</v>
      </c>
      <c r="L84" s="39" t="s">
        <v>151</v>
      </c>
      <c r="M84" s="615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94"/>
      <c r="AB84" s="211"/>
      <c r="AC84" s="211"/>
      <c r="AD84" s="211"/>
    </row>
    <row r="85" spans="1:30" s="718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4</v>
      </c>
      <c r="C85" s="37">
        <f t="shared" si="5"/>
        <v>40658</v>
      </c>
      <c r="D85" s="184" t="s">
        <v>701</v>
      </c>
      <c r="E85" s="37">
        <v>40658</v>
      </c>
      <c r="F85" s="189" t="s">
        <v>481</v>
      </c>
      <c r="G85" s="495" t="s">
        <v>477</v>
      </c>
      <c r="H85" s="7" t="s">
        <v>499</v>
      </c>
      <c r="I85" s="256">
        <v>1500</v>
      </c>
      <c r="J85" s="259">
        <v>25200</v>
      </c>
      <c r="K85" s="614">
        <f t="shared" si="6"/>
        <v>37800000</v>
      </c>
      <c r="L85" s="39" t="s">
        <v>151</v>
      </c>
      <c r="M85" s="615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94"/>
      <c r="AB85" s="211"/>
      <c r="AC85" s="211"/>
      <c r="AD85" s="211"/>
    </row>
    <row r="86" spans="1:30" s="606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4</v>
      </c>
      <c r="C86" s="37">
        <f t="shared" si="5"/>
        <v>40658</v>
      </c>
      <c r="D86" s="184" t="s">
        <v>701</v>
      </c>
      <c r="E86" s="37">
        <v>40658</v>
      </c>
      <c r="F86" s="189" t="s">
        <v>482</v>
      </c>
      <c r="G86" s="495" t="s">
        <v>477</v>
      </c>
      <c r="H86" s="7" t="s">
        <v>499</v>
      </c>
      <c r="I86" s="256">
        <v>447</v>
      </c>
      <c r="J86" s="259">
        <v>27720</v>
      </c>
      <c r="K86" s="614">
        <f t="shared" si="6"/>
        <v>12390840</v>
      </c>
      <c r="L86" s="39" t="s">
        <v>151</v>
      </c>
      <c r="M86" s="615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94"/>
      <c r="AB86" s="211"/>
      <c r="AC86" s="211"/>
      <c r="AD86" s="211"/>
    </row>
    <row r="87" spans="1:30" s="606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4</v>
      </c>
      <c r="C87" s="37">
        <f t="shared" si="5"/>
        <v>40658</v>
      </c>
      <c r="D87" s="184" t="s">
        <v>701</v>
      </c>
      <c r="E87" s="37">
        <v>40658</v>
      </c>
      <c r="F87" s="189" t="s">
        <v>483</v>
      </c>
      <c r="G87" s="495" t="s">
        <v>477</v>
      </c>
      <c r="H87" s="7" t="s">
        <v>499</v>
      </c>
      <c r="I87" s="256">
        <v>52</v>
      </c>
      <c r="J87" s="259">
        <v>35390</v>
      </c>
      <c r="K87" s="614">
        <f t="shared" si="6"/>
        <v>1840280</v>
      </c>
      <c r="L87" s="39" t="s">
        <v>151</v>
      </c>
      <c r="M87" s="615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94"/>
      <c r="AB87" s="211"/>
      <c r="AC87" s="211"/>
      <c r="AD87" s="211"/>
    </row>
    <row r="88" spans="1:30" s="606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4</v>
      </c>
      <c r="C88" s="37">
        <f t="shared" si="5"/>
        <v>40658</v>
      </c>
      <c r="D88" s="184" t="s">
        <v>701</v>
      </c>
      <c r="E88" s="37">
        <v>40658</v>
      </c>
      <c r="F88" s="189" t="s">
        <v>380</v>
      </c>
      <c r="G88" s="495" t="s">
        <v>477</v>
      </c>
      <c r="H88" s="7" t="s">
        <v>499</v>
      </c>
      <c r="I88" s="256"/>
      <c r="J88" s="259"/>
      <c r="K88" s="38">
        <v>8778068</v>
      </c>
      <c r="L88" s="39" t="s">
        <v>9</v>
      </c>
      <c r="M88" s="615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94"/>
      <c r="AB88" s="211">
        <v>5</v>
      </c>
      <c r="AC88" s="211"/>
      <c r="AD88" s="211"/>
    </row>
    <row r="89" spans="1:30" s="606" customFormat="1" ht="15.75" customHeight="1">
      <c r="A89" s="204" t="str">
        <f>IF(B89&lt;&gt;"",IF(AND(B89&gt;=_TM1,B89&lt;=_TM2,OR(TH!L89="1111",TH!M89="1111")),TH!D89,""),"")</f>
        <v/>
      </c>
      <c r="B89" s="36">
        <f t="shared" ref="B89:B152" si="7">IF(C89&lt;&gt;"",MONTH(C89),"")</f>
        <v>4</v>
      </c>
      <c r="C89" s="191">
        <f t="shared" si="5"/>
        <v>40660</v>
      </c>
      <c r="D89" s="37" t="s">
        <v>956</v>
      </c>
      <c r="E89" s="794">
        <v>40660</v>
      </c>
      <c r="F89" s="456" t="s">
        <v>475</v>
      </c>
      <c r="G89" s="40"/>
      <c r="H89" s="628" t="s">
        <v>1092</v>
      </c>
      <c r="I89" s="256">
        <v>5000</v>
      </c>
      <c r="J89" s="256">
        <v>220</v>
      </c>
      <c r="K89" s="614">
        <f>ROUND(I89*J89,0)</f>
        <v>1100000</v>
      </c>
      <c r="L89" s="39" t="s">
        <v>157</v>
      </c>
      <c r="M89" s="39" t="s">
        <v>153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154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94"/>
      <c r="AB89" s="198"/>
      <c r="AC89" s="198"/>
      <c r="AD89" s="198"/>
    </row>
    <row r="90" spans="1:30" s="606" customFormat="1" ht="15.75" customHeight="1">
      <c r="A90" s="204" t="str">
        <f>IF(B90&lt;&gt;"",IF(AND(B90&gt;=_TM1,B90&lt;=_TM2,OR(TH!L90="1111",TH!M90="1111")),TH!D90,""),"")</f>
        <v/>
      </c>
      <c r="B90" s="36">
        <f t="shared" si="7"/>
        <v>4</v>
      </c>
      <c r="C90" s="37">
        <f t="shared" si="5"/>
        <v>40661</v>
      </c>
      <c r="D90" s="184" t="s">
        <v>702</v>
      </c>
      <c r="E90" s="37">
        <v>40661</v>
      </c>
      <c r="F90" s="189" t="s">
        <v>484</v>
      </c>
      <c r="G90" s="495" t="s">
        <v>486</v>
      </c>
      <c r="H90" s="7" t="s">
        <v>499</v>
      </c>
      <c r="I90" s="256">
        <v>230</v>
      </c>
      <c r="J90" s="259">
        <v>19112</v>
      </c>
      <c r="K90" s="614">
        <f>ROUND(I90*J90,0)</f>
        <v>4395760</v>
      </c>
      <c r="L90" s="39" t="s">
        <v>151</v>
      </c>
      <c r="M90" s="615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94"/>
      <c r="AB90" s="211"/>
      <c r="AC90" s="211"/>
      <c r="AD90" s="211"/>
    </row>
    <row r="91" spans="1:30" s="606" customFormat="1" ht="15.75" customHeight="1">
      <c r="A91" s="204" t="str">
        <f>IF(B91&lt;&gt;"",IF(AND(B91&gt;=_TM1,B91&lt;=_TM2,OR(TH!L91="1111",TH!M91="1111")),TH!D91,""),"")</f>
        <v/>
      </c>
      <c r="B91" s="36">
        <f t="shared" si="7"/>
        <v>4</v>
      </c>
      <c r="C91" s="37">
        <f t="shared" si="5"/>
        <v>40661</v>
      </c>
      <c r="D91" s="184" t="s">
        <v>702</v>
      </c>
      <c r="E91" s="37">
        <v>40661</v>
      </c>
      <c r="F91" s="189" t="s">
        <v>485</v>
      </c>
      <c r="G91" s="495" t="s">
        <v>486</v>
      </c>
      <c r="H91" s="7" t="s">
        <v>499</v>
      </c>
      <c r="I91" s="256">
        <v>95</v>
      </c>
      <c r="J91" s="259">
        <v>32025</v>
      </c>
      <c r="K91" s="614">
        <f>ROUND(I91*J91,0)</f>
        <v>3042375</v>
      </c>
      <c r="L91" s="39" t="s">
        <v>151</v>
      </c>
      <c r="M91" s="615" t="s">
        <v>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94"/>
      <c r="AB91" s="211"/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7"/>
        <v>4</v>
      </c>
      <c r="C92" s="37">
        <f t="shared" si="5"/>
        <v>40661</v>
      </c>
      <c r="D92" s="184" t="s">
        <v>702</v>
      </c>
      <c r="E92" s="37">
        <v>40661</v>
      </c>
      <c r="F92" s="189" t="s">
        <v>380</v>
      </c>
      <c r="G92" s="495" t="s">
        <v>486</v>
      </c>
      <c r="H92" s="7" t="s">
        <v>499</v>
      </c>
      <c r="I92" s="256"/>
      <c r="J92" s="259"/>
      <c r="K92" s="38">
        <v>743814</v>
      </c>
      <c r="L92" s="39" t="s">
        <v>9</v>
      </c>
      <c r="M92" s="615" t="s">
        <v>8</v>
      </c>
      <c r="N92" s="52" t="str">
        <f>IF(AND('331-CT'!$E$7=TH!H92,OR(L92="331",M92="331")),"331",IF(AND(OR(L92="131",M92="131"),H92='131-CT'!$E$7),"131",""))</f>
        <v>331</v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94"/>
      <c r="AB92" s="211">
        <v>5</v>
      </c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7"/>
        <v>4</v>
      </c>
      <c r="C93" s="37">
        <f t="shared" si="5"/>
        <v>40661</v>
      </c>
      <c r="D93" s="184" t="s">
        <v>703</v>
      </c>
      <c r="E93" s="37">
        <v>40661</v>
      </c>
      <c r="F93" s="189" t="s">
        <v>488</v>
      </c>
      <c r="G93" s="495" t="s">
        <v>487</v>
      </c>
      <c r="H93" s="7" t="s">
        <v>499</v>
      </c>
      <c r="I93" s="256">
        <v>90</v>
      </c>
      <c r="J93" s="259">
        <v>16173</v>
      </c>
      <c r="K93" s="614">
        <f>ROUND(I93*J93,0)</f>
        <v>1455570</v>
      </c>
      <c r="L93" s="39" t="s">
        <v>151</v>
      </c>
      <c r="M93" s="615" t="s">
        <v>8</v>
      </c>
      <c r="N93" s="52" t="str">
        <f>IF(AND('331-CT'!$E$7=TH!H93,OR(L93="331",M93="331")),"331",IF(AND(OR(L93="131",M93="131"),H93='131-CT'!$E$7),"131",""))</f>
        <v>331</v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94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7"/>
        <v>4</v>
      </c>
      <c r="C94" s="37">
        <f t="shared" si="5"/>
        <v>40661</v>
      </c>
      <c r="D94" s="184" t="s">
        <v>703</v>
      </c>
      <c r="E94" s="37">
        <v>40661</v>
      </c>
      <c r="F94" s="189" t="s">
        <v>489</v>
      </c>
      <c r="G94" s="495" t="s">
        <v>487</v>
      </c>
      <c r="H94" s="7" t="s">
        <v>499</v>
      </c>
      <c r="I94" s="256">
        <v>275</v>
      </c>
      <c r="J94" s="259">
        <v>16925</v>
      </c>
      <c r="K94" s="614">
        <f>ROUND(I94*J94,0)</f>
        <v>4654375</v>
      </c>
      <c r="L94" s="39" t="s">
        <v>151</v>
      </c>
      <c r="M94" s="615" t="s">
        <v>8</v>
      </c>
      <c r="N94" s="52" t="str">
        <f>IF(AND('331-CT'!$E$7=TH!H94,OR(L94="331",M94="331")),"331",IF(AND(OR(L94="131",M94="131"),H94='131-CT'!$E$7),"131",""))</f>
        <v>331</v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94"/>
    </row>
    <row r="95" spans="1:30" s="880" customFormat="1" ht="15.75" customHeight="1">
      <c r="A95" s="204" t="str">
        <f>IF(B95&lt;&gt;"",IF(AND(B95&gt;=_TM1,B95&lt;=_TM2,OR(TH!L95="1111",TH!M95="1111")),TH!D95,""),"")</f>
        <v/>
      </c>
      <c r="B95" s="36">
        <f t="shared" si="7"/>
        <v>4</v>
      </c>
      <c r="C95" s="37">
        <f t="shared" si="5"/>
        <v>40661</v>
      </c>
      <c r="D95" s="184" t="s">
        <v>703</v>
      </c>
      <c r="E95" s="37">
        <v>40661</v>
      </c>
      <c r="F95" s="884" t="s">
        <v>490</v>
      </c>
      <c r="G95" s="495" t="s">
        <v>487</v>
      </c>
      <c r="H95" s="7" t="s">
        <v>499</v>
      </c>
      <c r="I95" s="258">
        <v>185</v>
      </c>
      <c r="J95" s="259">
        <v>17427</v>
      </c>
      <c r="K95" s="614">
        <f>ROUND(I95*J95,0)</f>
        <v>3223995</v>
      </c>
      <c r="L95" s="39" t="s">
        <v>151</v>
      </c>
      <c r="M95" s="615" t="s">
        <v>8</v>
      </c>
      <c r="N95" s="52" t="str">
        <f>IF(AND('331-CT'!$E$7=TH!H95,OR(L95="331",M95="331")),"331",IF(AND(OR(L95="131",M95="131"),H95='131-CT'!$E$7),"131",""))</f>
        <v>331</v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94"/>
      <c r="AB95" s="606"/>
      <c r="AC95" s="606"/>
      <c r="AD95" s="606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7"/>
        <v>4</v>
      </c>
      <c r="C96" s="37">
        <f t="shared" si="5"/>
        <v>40661</v>
      </c>
      <c r="D96" s="184" t="s">
        <v>703</v>
      </c>
      <c r="E96" s="37">
        <v>40661</v>
      </c>
      <c r="F96" s="189" t="s">
        <v>491</v>
      </c>
      <c r="G96" s="495" t="s">
        <v>487</v>
      </c>
      <c r="H96" s="7" t="s">
        <v>499</v>
      </c>
      <c r="I96" s="258">
        <v>640</v>
      </c>
      <c r="J96" s="259">
        <v>22554</v>
      </c>
      <c r="K96" s="614">
        <f>ROUND(I96*J96,0)</f>
        <v>14434560</v>
      </c>
      <c r="L96" s="39" t="s">
        <v>151</v>
      </c>
      <c r="M96" s="615" t="s">
        <v>8</v>
      </c>
      <c r="N96" s="52" t="str">
        <f>IF(AND('331-CT'!$E$7=TH!H96,OR(L96="331",M96="331")),"331",IF(AND(OR(L96="131",M96="131"),H96='131-CT'!$E$7),"131",""))</f>
        <v>331</v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94"/>
      <c r="AB96" s="606"/>
      <c r="AC96" s="606"/>
      <c r="AD96" s="606"/>
    </row>
    <row r="97" spans="1:30" s="606" customFormat="1" ht="15.75" customHeight="1">
      <c r="A97" s="204" t="str">
        <f>IF(B97&lt;&gt;"",IF(AND(B97&gt;=_TM1,B97&lt;=_TM2,OR(TH!L97="1111",TH!M97="1111")),TH!D97,""),"")</f>
        <v/>
      </c>
      <c r="B97" s="36">
        <f t="shared" si="7"/>
        <v>4</v>
      </c>
      <c r="C97" s="37">
        <f t="shared" si="5"/>
        <v>40661</v>
      </c>
      <c r="D97" s="184" t="s">
        <v>703</v>
      </c>
      <c r="E97" s="37">
        <v>40661</v>
      </c>
      <c r="F97" s="189" t="s">
        <v>492</v>
      </c>
      <c r="G97" s="495" t="s">
        <v>487</v>
      </c>
      <c r="H97" s="7" t="s">
        <v>499</v>
      </c>
      <c r="I97" s="256">
        <v>415</v>
      </c>
      <c r="J97" s="259">
        <v>23716</v>
      </c>
      <c r="K97" s="614">
        <f>ROUND(I97*J97,0)</f>
        <v>9842140</v>
      </c>
      <c r="L97" s="39" t="s">
        <v>151</v>
      </c>
      <c r="M97" s="615" t="s">
        <v>8</v>
      </c>
      <c r="N97" s="52" t="str">
        <f>IF(AND('331-CT'!$E$7=TH!H97,OR(L97="331",M97="331")),"331",IF(AND(OR(L97="131",M97="131"),H97='131-CT'!$E$7),"131",""))</f>
        <v>331</v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94"/>
    </row>
    <row r="98" spans="1:30" s="606" customFormat="1" ht="15.75" customHeight="1">
      <c r="A98" s="204" t="str">
        <f>IF(B98&lt;&gt;"",IF(AND(B98&gt;=_TM1,B98&lt;=_TM2,OR(TH!L98="1111",TH!M98="1111")),TH!D98,""),"")</f>
        <v/>
      </c>
      <c r="B98" s="36">
        <f t="shared" si="7"/>
        <v>4</v>
      </c>
      <c r="C98" s="37">
        <f t="shared" si="5"/>
        <v>40661</v>
      </c>
      <c r="D98" s="184" t="s">
        <v>703</v>
      </c>
      <c r="E98" s="37">
        <v>40661</v>
      </c>
      <c r="F98" s="189" t="s">
        <v>380</v>
      </c>
      <c r="G98" s="495" t="s">
        <v>487</v>
      </c>
      <c r="H98" s="7" t="s">
        <v>499</v>
      </c>
      <c r="I98" s="259"/>
      <c r="J98" s="259"/>
      <c r="K98" s="38">
        <v>3361064</v>
      </c>
      <c r="L98" s="39" t="s">
        <v>9</v>
      </c>
      <c r="M98" s="615" t="s">
        <v>8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94"/>
      <c r="AB98" s="211">
        <v>5</v>
      </c>
      <c r="AC98" s="211"/>
      <c r="AD98" s="211"/>
    </row>
    <row r="99" spans="1:30" s="606" customFormat="1" ht="15.75" customHeight="1">
      <c r="A99" s="204" t="str">
        <f>IF(B99&lt;&gt;"",IF(AND(B99&gt;=_TM1,B99&lt;=_TM2,OR(TH!L99="1111",TH!M99="1111")),TH!D99,""),"")</f>
        <v/>
      </c>
      <c r="B99" s="36">
        <f t="shared" si="7"/>
        <v>5</v>
      </c>
      <c r="C99" s="720">
        <f t="shared" si="5"/>
        <v>40664</v>
      </c>
      <c r="D99" s="720" t="s">
        <v>337</v>
      </c>
      <c r="E99" s="725">
        <v>40664</v>
      </c>
      <c r="F99" s="721" t="s">
        <v>782</v>
      </c>
      <c r="G99" s="722"/>
      <c r="H99" s="628"/>
      <c r="I99" s="494"/>
      <c r="J99" s="494"/>
      <c r="K99" s="723">
        <v>750000</v>
      </c>
      <c r="L99" s="724" t="s">
        <v>157</v>
      </c>
      <c r="M99" s="724" t="s">
        <v>260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>154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94"/>
    </row>
    <row r="100" spans="1:30" s="606" customFormat="1" ht="15.75" customHeight="1">
      <c r="A100" s="204" t="str">
        <f>IF(B100&lt;&gt;"",IF(AND(B100&gt;=_TM1,B100&lt;=_TM2,OR(TH!L100="1111",TH!M100="1111")),TH!D100,""),"")</f>
        <v/>
      </c>
      <c r="B100" s="36">
        <f t="shared" si="7"/>
        <v>5</v>
      </c>
      <c r="C100" s="720">
        <f t="shared" si="5"/>
        <v>40664</v>
      </c>
      <c r="D100" s="720" t="s">
        <v>337</v>
      </c>
      <c r="E100" s="725">
        <v>40664</v>
      </c>
      <c r="F100" s="721" t="s">
        <v>783</v>
      </c>
      <c r="G100" s="722"/>
      <c r="H100" s="628"/>
      <c r="I100" s="494"/>
      <c r="J100" s="494"/>
      <c r="K100" s="723">
        <v>3164845</v>
      </c>
      <c r="L100" s="724" t="s">
        <v>157</v>
      </c>
      <c r="M100" s="724" t="s">
        <v>768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>154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94"/>
    </row>
    <row r="101" spans="1:30" s="606" customFormat="1" ht="15.75" customHeight="1">
      <c r="A101" s="204" t="str">
        <f>IF(B101&lt;&gt;"",IF(AND(B101&gt;=_TM1,B101&lt;=_TM2,OR(TH!L101="1111",TH!M101="1111")),TH!D101,""),"")</f>
        <v/>
      </c>
      <c r="B101" s="36">
        <f t="shared" si="7"/>
        <v>5</v>
      </c>
      <c r="C101" s="37">
        <v>40664</v>
      </c>
      <c r="D101" s="184" t="s">
        <v>670</v>
      </c>
      <c r="E101" s="37">
        <v>40660</v>
      </c>
      <c r="F101" s="40" t="s">
        <v>367</v>
      </c>
      <c r="G101" s="495" t="s">
        <v>393</v>
      </c>
      <c r="H101" s="45" t="s">
        <v>474</v>
      </c>
      <c r="I101" s="256"/>
      <c r="J101" s="256"/>
      <c r="K101" s="614">
        <v>2762067</v>
      </c>
      <c r="L101" s="39" t="s">
        <v>8</v>
      </c>
      <c r="M101" s="615" t="s">
        <v>46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94"/>
    </row>
    <row r="102" spans="1:30" s="606" customFormat="1" ht="15.75" customHeight="1">
      <c r="A102" s="204" t="str">
        <f>IF(B102&lt;&gt;"",IF(AND(B102&gt;=_TM1,B102&lt;=_TM2,OR(TH!L102="1111",TH!M102="1111")),TH!D102,""),"")</f>
        <v/>
      </c>
      <c r="B102" s="36">
        <f t="shared" si="7"/>
        <v>5</v>
      </c>
      <c r="C102" s="37">
        <v>40664</v>
      </c>
      <c r="D102" s="184" t="s">
        <v>696</v>
      </c>
      <c r="E102" s="37">
        <v>40660</v>
      </c>
      <c r="F102" s="40" t="s">
        <v>475</v>
      </c>
      <c r="G102" s="495" t="s">
        <v>393</v>
      </c>
      <c r="H102" s="45" t="s">
        <v>474</v>
      </c>
      <c r="I102" s="256">
        <v>11413.5</v>
      </c>
      <c r="J102" s="256">
        <v>220</v>
      </c>
      <c r="K102" s="614">
        <f>ROUND(I102*J102,0)</f>
        <v>2510970</v>
      </c>
      <c r="L102" s="39" t="s">
        <v>153</v>
      </c>
      <c r="M102" s="615" t="s">
        <v>8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94"/>
    </row>
    <row r="103" spans="1:30" s="606" customFormat="1" ht="15.75" customHeight="1">
      <c r="A103" s="204" t="str">
        <f>IF(B103&lt;&gt;"",IF(AND(B103&gt;=_TM1,B103&lt;=_TM2,OR(TH!L103="1111",TH!M103="1111")),TH!D103,""),"")</f>
        <v/>
      </c>
      <c r="B103" s="36">
        <f t="shared" si="7"/>
        <v>5</v>
      </c>
      <c r="C103" s="37">
        <v>40664</v>
      </c>
      <c r="D103" s="184" t="s">
        <v>696</v>
      </c>
      <c r="E103" s="37">
        <v>40660</v>
      </c>
      <c r="F103" s="40" t="s">
        <v>476</v>
      </c>
      <c r="G103" s="495" t="s">
        <v>393</v>
      </c>
      <c r="H103" s="45" t="s">
        <v>474</v>
      </c>
      <c r="I103" s="256"/>
      <c r="J103" s="256"/>
      <c r="K103" s="38">
        <v>251097</v>
      </c>
      <c r="L103" s="39" t="s">
        <v>9</v>
      </c>
      <c r="M103" s="615" t="s">
        <v>8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94"/>
      <c r="AB103" s="606">
        <v>5</v>
      </c>
    </row>
    <row r="104" spans="1:30" s="606" customFormat="1" ht="15.75" customHeight="1">
      <c r="A104" s="204" t="str">
        <f>IF(B104&lt;&gt;"",IF(AND(B104&gt;=_TM1,B104&lt;=_TM2,OR(TH!L104="1111",TH!M104="1111")),TH!D104,""),"")</f>
        <v/>
      </c>
      <c r="B104" s="871">
        <f t="shared" si="7"/>
        <v>5</v>
      </c>
      <c r="C104" s="872">
        <f t="shared" ref="C104:C135" si="8">E104</f>
        <v>40667</v>
      </c>
      <c r="D104" s="873" t="s">
        <v>703</v>
      </c>
      <c r="E104" s="872">
        <v>40667</v>
      </c>
      <c r="F104" s="881" t="s">
        <v>1432</v>
      </c>
      <c r="G104" s="874" t="s">
        <v>1431</v>
      </c>
      <c r="H104" s="875" t="s">
        <v>499</v>
      </c>
      <c r="I104" s="876">
        <v>70</v>
      </c>
      <c r="J104" s="877">
        <v>16925</v>
      </c>
      <c r="K104" s="866">
        <f>ROUND(I104*J104,0)</f>
        <v>1184750</v>
      </c>
      <c r="L104" s="854" t="s">
        <v>151</v>
      </c>
      <c r="M104" s="878" t="s">
        <v>8</v>
      </c>
      <c r="N104" s="52" t="str">
        <f>IF(AND('331-CT'!$E$7=TH!H104,OR(L104="331",M104="331")),"331",IF(AND(OR(L104="131",M104="131"),H104='131-CT'!$E$7),"131",""))</f>
        <v>331</v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94"/>
      <c r="AB104" s="879"/>
      <c r="AC104" s="879"/>
      <c r="AD104" s="879"/>
    </row>
    <row r="105" spans="1:30" s="606" customFormat="1" ht="15.75" customHeight="1">
      <c r="A105" s="204" t="str">
        <f>IF(B105&lt;&gt;"",IF(AND(B105&gt;=_TM1,B105&lt;=_TM2,OR(TH!L105="1111",TH!M105="1111")),TH!D105,""),"")</f>
        <v/>
      </c>
      <c r="B105" s="36">
        <f t="shared" si="7"/>
        <v>5</v>
      </c>
      <c r="C105" s="37">
        <f t="shared" si="8"/>
        <v>40667</v>
      </c>
      <c r="D105" s="184" t="s">
        <v>703</v>
      </c>
      <c r="E105" s="37">
        <v>40667</v>
      </c>
      <c r="F105" s="189" t="s">
        <v>380</v>
      </c>
      <c r="G105" s="495" t="s">
        <v>1431</v>
      </c>
      <c r="H105" s="7" t="s">
        <v>499</v>
      </c>
      <c r="I105" s="259"/>
      <c r="J105" s="259"/>
      <c r="K105" s="38">
        <v>118475</v>
      </c>
      <c r="L105" s="39" t="s">
        <v>9</v>
      </c>
      <c r="M105" s="615" t="s">
        <v>8</v>
      </c>
      <c r="N105" s="52" t="str">
        <f>IF(AND('331-CT'!$E$7=TH!H105,OR(L105="331",M105="331")),"331",IF(AND(OR(L105="131",M105="131"),H105='131-CT'!$E$7),"131",""))</f>
        <v>331</v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94"/>
      <c r="AB105" s="606">
        <v>5</v>
      </c>
      <c r="AC105" s="211"/>
      <c r="AD105" s="211"/>
    </row>
    <row r="106" spans="1:30" s="606" customFormat="1" ht="15.75" customHeight="1">
      <c r="A106" s="204" t="str">
        <f>IF(B106&lt;&gt;"",IF(AND(B106&gt;=_TM1,B106&lt;=_TM2,OR(TH!L106="1111",TH!M106="1111")),TH!D106,""),"")</f>
        <v/>
      </c>
      <c r="B106" s="36">
        <f t="shared" si="7"/>
        <v>5</v>
      </c>
      <c r="C106" s="191">
        <f t="shared" si="8"/>
        <v>40668</v>
      </c>
      <c r="D106" s="720" t="s">
        <v>1091</v>
      </c>
      <c r="E106" s="835">
        <v>40668</v>
      </c>
      <c r="F106" s="189" t="s">
        <v>496</v>
      </c>
      <c r="G106" s="722"/>
      <c r="H106" s="628" t="s">
        <v>1092</v>
      </c>
      <c r="I106" s="494">
        <v>98</v>
      </c>
      <c r="J106" s="494">
        <v>16462</v>
      </c>
      <c r="K106" s="614">
        <f t="shared" ref="K106:K114" si="9">ROUND(I106*J106,0)</f>
        <v>1613276</v>
      </c>
      <c r="L106" s="39" t="s">
        <v>157</v>
      </c>
      <c r="M106" s="724" t="s">
        <v>151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>154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94"/>
      <c r="AB106" s="198"/>
      <c r="AC106" s="198"/>
      <c r="AD106" s="198"/>
    </row>
    <row r="107" spans="1:30" s="606" customFormat="1" ht="15.75" customHeight="1">
      <c r="A107" s="204" t="str">
        <f>IF(B107&lt;&gt;"",IF(AND(B107&gt;=_TM1,B107&lt;=_TM2,OR(TH!L107="1111",TH!M107="1111")),TH!D107,""),"")</f>
        <v/>
      </c>
      <c r="B107" s="36">
        <f t="shared" si="7"/>
        <v>5</v>
      </c>
      <c r="C107" s="191">
        <f t="shared" si="8"/>
        <v>40668</v>
      </c>
      <c r="D107" s="720" t="s">
        <v>1091</v>
      </c>
      <c r="E107" s="835">
        <v>40668</v>
      </c>
      <c r="F107" s="189" t="s">
        <v>402</v>
      </c>
      <c r="G107" s="722"/>
      <c r="H107" s="628" t="s">
        <v>1092</v>
      </c>
      <c r="I107" s="494">
        <v>90</v>
      </c>
      <c r="J107" s="494">
        <v>24325</v>
      </c>
      <c r="K107" s="614">
        <f t="shared" si="9"/>
        <v>2189250</v>
      </c>
      <c r="L107" s="39" t="s">
        <v>157</v>
      </c>
      <c r="M107" s="724" t="s">
        <v>151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>154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94"/>
      <c r="AB107" s="198"/>
      <c r="AC107" s="198"/>
      <c r="AD107" s="198"/>
    </row>
    <row r="108" spans="1:30" s="606" customFormat="1" ht="15.75" customHeight="1">
      <c r="A108" s="204" t="str">
        <f>IF(B108&lt;&gt;"",IF(AND(B108&gt;=_TM1,B108&lt;=_TM2,OR(TH!L108="1111",TH!M108="1111")),TH!D108,""),"")</f>
        <v/>
      </c>
      <c r="B108" s="36">
        <f t="shared" si="7"/>
        <v>5</v>
      </c>
      <c r="C108" s="191">
        <f t="shared" si="8"/>
        <v>40668</v>
      </c>
      <c r="D108" s="720" t="s">
        <v>1091</v>
      </c>
      <c r="E108" s="835">
        <v>40668</v>
      </c>
      <c r="F108" s="298" t="s">
        <v>480</v>
      </c>
      <c r="G108" s="722"/>
      <c r="H108" s="628" t="s">
        <v>1092</v>
      </c>
      <c r="I108" s="494">
        <v>209</v>
      </c>
      <c r="J108" s="494">
        <v>16125</v>
      </c>
      <c r="K108" s="614">
        <f t="shared" si="9"/>
        <v>3370125</v>
      </c>
      <c r="L108" s="39" t="s">
        <v>157</v>
      </c>
      <c r="M108" s="724" t="s">
        <v>151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154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94"/>
      <c r="AB108" s="198"/>
      <c r="AC108" s="198"/>
      <c r="AD108" s="198"/>
    </row>
    <row r="109" spans="1:30" s="606" customFormat="1" ht="15.75" customHeight="1">
      <c r="A109" s="204" t="str">
        <f>IF(B109&lt;&gt;"",IF(AND(B109&gt;=_TM1,B109&lt;=_TM2,OR(TH!L109="1111",TH!M109="1111")),TH!D109,""),"")</f>
        <v/>
      </c>
      <c r="B109" s="36">
        <f t="shared" si="7"/>
        <v>5</v>
      </c>
      <c r="C109" s="191">
        <f t="shared" si="8"/>
        <v>40668</v>
      </c>
      <c r="D109" s="720" t="s">
        <v>1091</v>
      </c>
      <c r="E109" s="835">
        <v>40668</v>
      </c>
      <c r="F109" s="189" t="s">
        <v>523</v>
      </c>
      <c r="G109" s="722"/>
      <c r="H109" s="628" t="s">
        <v>1092</v>
      </c>
      <c r="I109" s="494">
        <v>283</v>
      </c>
      <c r="J109" s="494">
        <v>7268</v>
      </c>
      <c r="K109" s="614">
        <f t="shared" si="9"/>
        <v>2056844</v>
      </c>
      <c r="L109" s="39" t="s">
        <v>157</v>
      </c>
      <c r="M109" s="724" t="s">
        <v>151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>154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94"/>
      <c r="AB109" s="198"/>
      <c r="AC109" s="198"/>
      <c r="AD109" s="198"/>
    </row>
    <row r="110" spans="1:30" s="606" customFormat="1" ht="15.75" customHeight="1">
      <c r="A110" s="204" t="str">
        <f>IF(B110&lt;&gt;"",IF(AND(B110&gt;=_TM1,B110&lt;=_TM2,OR(TH!L110="1111",TH!M110="1111")),TH!D110,""),"")</f>
        <v/>
      </c>
      <c r="B110" s="36">
        <f t="shared" si="7"/>
        <v>5</v>
      </c>
      <c r="C110" s="191">
        <f t="shared" si="8"/>
        <v>40668</v>
      </c>
      <c r="D110" s="720" t="s">
        <v>1091</v>
      </c>
      <c r="E110" s="835">
        <v>40668</v>
      </c>
      <c r="F110" s="189" t="s">
        <v>502</v>
      </c>
      <c r="G110" s="722"/>
      <c r="H110" s="628" t="s">
        <v>1092</v>
      </c>
      <c r="I110" s="494">
        <v>494</v>
      </c>
      <c r="J110" s="494">
        <v>5612</v>
      </c>
      <c r="K110" s="614">
        <f t="shared" si="9"/>
        <v>2772328</v>
      </c>
      <c r="L110" s="39" t="s">
        <v>157</v>
      </c>
      <c r="M110" s="724" t="s">
        <v>151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154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94"/>
      <c r="AB110" s="198"/>
      <c r="AC110" s="198"/>
      <c r="AD110" s="198"/>
    </row>
    <row r="111" spans="1:30" s="606" customFormat="1" ht="15.75" customHeight="1">
      <c r="A111" s="204" t="str">
        <f>IF(B111&lt;&gt;"",IF(AND(B111&gt;=_TM1,B111&lt;=_TM2,OR(TH!L111="1111",TH!M111="1111")),TH!D111,""),"")</f>
        <v/>
      </c>
      <c r="B111" s="36">
        <f t="shared" si="7"/>
        <v>5</v>
      </c>
      <c r="C111" s="191">
        <f t="shared" si="8"/>
        <v>40668</v>
      </c>
      <c r="D111" s="720" t="s">
        <v>1091</v>
      </c>
      <c r="E111" s="835">
        <v>40668</v>
      </c>
      <c r="F111" s="189" t="s">
        <v>503</v>
      </c>
      <c r="G111" s="722"/>
      <c r="H111" s="628" t="s">
        <v>1092</v>
      </c>
      <c r="I111" s="494">
        <v>398</v>
      </c>
      <c r="J111" s="494">
        <v>5831</v>
      </c>
      <c r="K111" s="614">
        <f t="shared" si="9"/>
        <v>2320738</v>
      </c>
      <c r="L111" s="39" t="s">
        <v>157</v>
      </c>
      <c r="M111" s="724" t="s">
        <v>151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>154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94"/>
      <c r="AB111" s="198"/>
      <c r="AC111" s="198"/>
      <c r="AD111" s="198"/>
    </row>
    <row r="112" spans="1:30" s="606" customFormat="1" ht="15.75" customHeight="1">
      <c r="A112" s="204" t="str">
        <f>IF(B112&lt;&gt;"",IF(AND(B112&gt;=_TM1,B112&lt;=_TM2,OR(TH!L112="1111",TH!M112="1111")),TH!D112,""),"")</f>
        <v/>
      </c>
      <c r="B112" s="36">
        <f t="shared" si="7"/>
        <v>5</v>
      </c>
      <c r="C112" s="191">
        <f t="shared" si="8"/>
        <v>40668</v>
      </c>
      <c r="D112" s="720" t="s">
        <v>1091</v>
      </c>
      <c r="E112" s="835">
        <v>40668</v>
      </c>
      <c r="F112" s="189" t="s">
        <v>508</v>
      </c>
      <c r="G112" s="722"/>
      <c r="H112" s="628" t="s">
        <v>1092</v>
      </c>
      <c r="I112" s="494">
        <v>100</v>
      </c>
      <c r="J112" s="494">
        <v>12122</v>
      </c>
      <c r="K112" s="614">
        <f t="shared" si="9"/>
        <v>1212200</v>
      </c>
      <c r="L112" s="39" t="s">
        <v>157</v>
      </c>
      <c r="M112" s="724" t="s">
        <v>151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>154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94"/>
      <c r="AB112" s="198"/>
      <c r="AC112" s="198"/>
      <c r="AD112" s="198"/>
    </row>
    <row r="113" spans="1:30" s="606" customFormat="1" ht="15.75" customHeight="1">
      <c r="A113" s="204" t="str">
        <f>IF(B113&lt;&gt;"",IF(AND(B113&gt;=_TM1,B113&lt;=_TM2,OR(TH!L113="1111",TH!M113="1111")),TH!D113,""),"")</f>
        <v/>
      </c>
      <c r="B113" s="36">
        <f t="shared" si="7"/>
        <v>5</v>
      </c>
      <c r="C113" s="191">
        <f t="shared" si="8"/>
        <v>40668</v>
      </c>
      <c r="D113" s="720" t="s">
        <v>1091</v>
      </c>
      <c r="E113" s="835">
        <v>40668</v>
      </c>
      <c r="F113" s="189" t="s">
        <v>485</v>
      </c>
      <c r="G113" s="722"/>
      <c r="H113" s="628" t="s">
        <v>1092</v>
      </c>
      <c r="I113" s="494">
        <v>95</v>
      </c>
      <c r="J113" s="494">
        <v>32025</v>
      </c>
      <c r="K113" s="614">
        <f t="shared" si="9"/>
        <v>3042375</v>
      </c>
      <c r="L113" s="39" t="s">
        <v>157</v>
      </c>
      <c r="M113" s="724" t="s">
        <v>151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>154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94"/>
      <c r="AB113" s="198"/>
      <c r="AC113" s="198"/>
      <c r="AD113" s="198"/>
    </row>
    <row r="114" spans="1:30" s="606" customFormat="1" ht="15.75" customHeight="1">
      <c r="A114" s="204" t="str">
        <f>IF(B114&lt;&gt;"",IF(AND(B114&gt;=_TM1,B114&lt;=_TM2,OR(TH!L114="1111",TH!M114="1111")),TH!D114,""),"")</f>
        <v/>
      </c>
      <c r="B114" s="36">
        <f t="shared" si="7"/>
        <v>5</v>
      </c>
      <c r="C114" s="191">
        <f t="shared" si="8"/>
        <v>40668</v>
      </c>
      <c r="D114" s="720" t="s">
        <v>1091</v>
      </c>
      <c r="E114" s="835">
        <v>40668</v>
      </c>
      <c r="F114" s="189" t="s">
        <v>501</v>
      </c>
      <c r="G114" s="722"/>
      <c r="H114" s="628" t="s">
        <v>1092</v>
      </c>
      <c r="I114" s="494">
        <v>206</v>
      </c>
      <c r="J114" s="494">
        <v>13498</v>
      </c>
      <c r="K114" s="614">
        <f t="shared" si="9"/>
        <v>2780588</v>
      </c>
      <c r="L114" s="39" t="s">
        <v>157</v>
      </c>
      <c r="M114" s="724" t="s">
        <v>151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>154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94"/>
      <c r="AB114" s="198"/>
      <c r="AC114" s="198"/>
      <c r="AD114" s="198"/>
    </row>
    <row r="115" spans="1:30" ht="15.75" customHeight="1">
      <c r="A115" s="204" t="str">
        <f>IF(B115&lt;&gt;"",IF(AND(B115&gt;=_TM1,B115&lt;=_TM2,OR(TH!L115="1111",TH!M115="1111")),TH!D115,""),"")</f>
        <v/>
      </c>
      <c r="B115" s="712">
        <f t="shared" si="7"/>
        <v>5</v>
      </c>
      <c r="C115" s="713">
        <f t="shared" si="8"/>
        <v>40669</v>
      </c>
      <c r="D115" s="713" t="s">
        <v>334</v>
      </c>
      <c r="E115" s="713">
        <v>40669</v>
      </c>
      <c r="F115" s="714" t="s">
        <v>368</v>
      </c>
      <c r="G115" s="715" t="s">
        <v>330</v>
      </c>
      <c r="H115" s="50" t="s">
        <v>732</v>
      </c>
      <c r="I115" s="254"/>
      <c r="J115" s="254"/>
      <c r="K115" s="716">
        <v>28175740</v>
      </c>
      <c r="L115" s="717" t="s">
        <v>259</v>
      </c>
      <c r="M115" s="717" t="s">
        <v>23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94"/>
      <c r="AB115" s="718"/>
      <c r="AC115" s="718"/>
      <c r="AD115" s="718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7"/>
        <v>5</v>
      </c>
      <c r="C116" s="184">
        <f t="shared" si="8"/>
        <v>40669</v>
      </c>
      <c r="D116" s="184" t="s">
        <v>814</v>
      </c>
      <c r="E116" s="184">
        <v>40669</v>
      </c>
      <c r="F116" s="189" t="s">
        <v>366</v>
      </c>
      <c r="G116" s="616" t="s">
        <v>330</v>
      </c>
      <c r="H116" s="44" t="s">
        <v>363</v>
      </c>
      <c r="I116" s="256"/>
      <c r="J116" s="256"/>
      <c r="K116" s="614">
        <v>10000000</v>
      </c>
      <c r="L116" s="615" t="s">
        <v>46</v>
      </c>
      <c r="M116" s="615" t="s">
        <v>23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>x</v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94"/>
      <c r="AB116" s="606"/>
      <c r="AC116" s="606"/>
      <c r="AD116" s="606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7"/>
        <v>5</v>
      </c>
      <c r="C117" s="191">
        <f t="shared" si="8"/>
        <v>40670</v>
      </c>
      <c r="D117" s="720" t="s">
        <v>1093</v>
      </c>
      <c r="E117" s="835">
        <v>40670</v>
      </c>
      <c r="F117" s="189" t="s">
        <v>400</v>
      </c>
      <c r="G117" s="722"/>
      <c r="H117" s="628" t="s">
        <v>1092</v>
      </c>
      <c r="I117" s="494">
        <v>50</v>
      </c>
      <c r="J117" s="494">
        <v>10830</v>
      </c>
      <c r="K117" s="614">
        <f t="shared" ref="K117:K125" si="10">ROUND(I117*J117,0)</f>
        <v>541500</v>
      </c>
      <c r="L117" s="39" t="s">
        <v>157</v>
      </c>
      <c r="M117" s="724" t="s">
        <v>151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>154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94"/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7"/>
        <v>5</v>
      </c>
      <c r="C118" s="191">
        <f t="shared" si="8"/>
        <v>40670</v>
      </c>
      <c r="D118" s="720" t="s">
        <v>1093</v>
      </c>
      <c r="E118" s="835">
        <v>40670</v>
      </c>
      <c r="F118" s="189" t="s">
        <v>387</v>
      </c>
      <c r="G118" s="722"/>
      <c r="H118" s="628" t="s">
        <v>1092</v>
      </c>
      <c r="I118" s="862">
        <v>75</v>
      </c>
      <c r="J118" s="256">
        <v>4449</v>
      </c>
      <c r="K118" s="614">
        <f t="shared" si="10"/>
        <v>333675</v>
      </c>
      <c r="L118" s="39" t="s">
        <v>157</v>
      </c>
      <c r="M118" s="724" t="s">
        <v>151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154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>x</v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94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7"/>
        <v>5</v>
      </c>
      <c r="C119" s="191">
        <f t="shared" si="8"/>
        <v>40670</v>
      </c>
      <c r="D119" s="720" t="s">
        <v>1093</v>
      </c>
      <c r="E119" s="835">
        <v>40670</v>
      </c>
      <c r="F119" s="298" t="s">
        <v>480</v>
      </c>
      <c r="G119" s="498"/>
      <c r="H119" s="628" t="s">
        <v>1092</v>
      </c>
      <c r="I119" s="256">
        <v>7</v>
      </c>
      <c r="J119" s="256">
        <v>16125</v>
      </c>
      <c r="K119" s="614">
        <f t="shared" si="10"/>
        <v>112875</v>
      </c>
      <c r="L119" s="39" t="s">
        <v>157</v>
      </c>
      <c r="M119" s="724" t="s">
        <v>151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154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94"/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7"/>
        <v>5</v>
      </c>
      <c r="C120" s="191">
        <f t="shared" si="8"/>
        <v>40670</v>
      </c>
      <c r="D120" s="720" t="s">
        <v>1093</v>
      </c>
      <c r="E120" s="835">
        <v>40670</v>
      </c>
      <c r="F120" s="298" t="s">
        <v>480</v>
      </c>
      <c r="G120" s="498"/>
      <c r="H120" s="628" t="s">
        <v>1092</v>
      </c>
      <c r="I120" s="256">
        <v>7</v>
      </c>
      <c r="J120" s="256">
        <v>16125</v>
      </c>
      <c r="K120" s="614">
        <f t="shared" si="10"/>
        <v>112875</v>
      </c>
      <c r="L120" s="39" t="s">
        <v>157</v>
      </c>
      <c r="M120" s="724" t="s">
        <v>151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>154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94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7"/>
        <v>5</v>
      </c>
      <c r="C121" s="191">
        <f t="shared" si="8"/>
        <v>40670</v>
      </c>
      <c r="D121" s="720" t="s">
        <v>1093</v>
      </c>
      <c r="E121" s="835">
        <v>40670</v>
      </c>
      <c r="F121" s="189" t="s">
        <v>497</v>
      </c>
      <c r="G121" s="616"/>
      <c r="H121" s="628" t="s">
        <v>1092</v>
      </c>
      <c r="I121" s="256">
        <v>250</v>
      </c>
      <c r="J121" s="256">
        <v>11587</v>
      </c>
      <c r="K121" s="614">
        <f t="shared" si="10"/>
        <v>2896750</v>
      </c>
      <c r="L121" s="39" t="s">
        <v>157</v>
      </c>
      <c r="M121" s="724" t="s">
        <v>151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>154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94"/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7"/>
        <v>5</v>
      </c>
      <c r="C122" s="191">
        <f t="shared" si="8"/>
        <v>40670</v>
      </c>
      <c r="D122" s="720" t="s">
        <v>1093</v>
      </c>
      <c r="E122" s="835">
        <v>40670</v>
      </c>
      <c r="F122" s="298" t="s">
        <v>382</v>
      </c>
      <c r="G122" s="616"/>
      <c r="H122" s="628" t="s">
        <v>1092</v>
      </c>
      <c r="I122" s="772">
        <v>45</v>
      </c>
      <c r="J122" s="256">
        <v>27901</v>
      </c>
      <c r="K122" s="614">
        <f t="shared" si="10"/>
        <v>1255545</v>
      </c>
      <c r="L122" s="39" t="s">
        <v>157</v>
      </c>
      <c r="M122" s="724" t="s">
        <v>151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>154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94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7"/>
        <v>5</v>
      </c>
      <c r="C123" s="191">
        <f t="shared" si="8"/>
        <v>40670</v>
      </c>
      <c r="D123" s="720" t="s">
        <v>1093</v>
      </c>
      <c r="E123" s="835">
        <v>40670</v>
      </c>
      <c r="F123" s="189" t="s">
        <v>387</v>
      </c>
      <c r="G123" s="616"/>
      <c r="H123" s="628" t="s">
        <v>1092</v>
      </c>
      <c r="I123" s="888">
        <v>45</v>
      </c>
      <c r="J123" s="772">
        <v>4449</v>
      </c>
      <c r="K123" s="614">
        <f t="shared" si="10"/>
        <v>200205</v>
      </c>
      <c r="L123" s="39" t="s">
        <v>157</v>
      </c>
      <c r="M123" s="724" t="s">
        <v>151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>154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>x</v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94"/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7"/>
        <v>5</v>
      </c>
      <c r="C124" s="191">
        <f t="shared" si="8"/>
        <v>40670</v>
      </c>
      <c r="D124" s="720" t="s">
        <v>1093</v>
      </c>
      <c r="E124" s="835">
        <v>40670</v>
      </c>
      <c r="F124" s="189" t="s">
        <v>520</v>
      </c>
      <c r="G124" s="616"/>
      <c r="H124" s="628" t="s">
        <v>1092</v>
      </c>
      <c r="I124" s="772">
        <v>2</v>
      </c>
      <c r="J124" s="256">
        <v>6400</v>
      </c>
      <c r="K124" s="614">
        <f t="shared" si="10"/>
        <v>12800</v>
      </c>
      <c r="L124" s="39" t="s">
        <v>157</v>
      </c>
      <c r="M124" s="724" t="s">
        <v>151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94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7"/>
        <v>5</v>
      </c>
      <c r="C125" s="191">
        <f t="shared" si="8"/>
        <v>40670</v>
      </c>
      <c r="D125" s="720" t="s">
        <v>1093</v>
      </c>
      <c r="E125" s="835">
        <v>40670</v>
      </c>
      <c r="F125" s="189" t="s">
        <v>478</v>
      </c>
      <c r="G125" s="616"/>
      <c r="H125" s="628" t="s">
        <v>1092</v>
      </c>
      <c r="I125" s="772">
        <v>1</v>
      </c>
      <c r="J125" s="256">
        <v>4592</v>
      </c>
      <c r="K125" s="614">
        <f t="shared" si="10"/>
        <v>4592</v>
      </c>
      <c r="L125" s="39" t="s">
        <v>157</v>
      </c>
      <c r="M125" s="724" t="s">
        <v>151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>154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94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7"/>
        <v>5</v>
      </c>
      <c r="C126" s="37">
        <f t="shared" si="8"/>
        <v>40673</v>
      </c>
      <c r="D126" s="184" t="s">
        <v>671</v>
      </c>
      <c r="E126" s="37">
        <v>40673</v>
      </c>
      <c r="F126" s="189" t="s">
        <v>1080</v>
      </c>
      <c r="G126" s="497" t="s">
        <v>500</v>
      </c>
      <c r="H126" s="7" t="s">
        <v>499</v>
      </c>
      <c r="I126" s="579"/>
      <c r="J126" s="259"/>
      <c r="K126" s="38">
        <v>9364190</v>
      </c>
      <c r="L126" s="39" t="s">
        <v>8</v>
      </c>
      <c r="M126" s="615" t="s">
        <v>46</v>
      </c>
      <c r="N126" s="52" t="str">
        <f>IF(AND('331-CT'!$E$7=TH!H126,OR(L126="331",M126="331")),"331",IF(AND(OR(L126="131",M126="131"),H126='131-CT'!$E$7),"131",""))</f>
        <v>331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94"/>
      <c r="AB126" s="211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7"/>
        <v>5</v>
      </c>
      <c r="C127" s="37">
        <f t="shared" si="8"/>
        <v>40673</v>
      </c>
      <c r="D127" s="184" t="s">
        <v>672</v>
      </c>
      <c r="E127" s="37">
        <v>40673</v>
      </c>
      <c r="F127" s="40" t="s">
        <v>504</v>
      </c>
      <c r="G127" s="497" t="s">
        <v>505</v>
      </c>
      <c r="H127" s="7" t="s">
        <v>371</v>
      </c>
      <c r="I127" s="772">
        <v>40</v>
      </c>
      <c r="J127" s="259">
        <v>68000</v>
      </c>
      <c r="K127" s="614">
        <f>ROUND(I127*J127,0)</f>
        <v>2720000</v>
      </c>
      <c r="L127" s="39" t="s">
        <v>157</v>
      </c>
      <c r="M127" s="39" t="s">
        <v>46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154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94"/>
      <c r="AB127" s="211"/>
      <c r="AC127" s="211"/>
      <c r="AD127" s="211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7"/>
        <v>5</v>
      </c>
      <c r="C128" s="37">
        <f t="shared" si="8"/>
        <v>40673</v>
      </c>
      <c r="D128" s="184" t="s">
        <v>672</v>
      </c>
      <c r="E128" s="37">
        <v>40673</v>
      </c>
      <c r="F128" s="40" t="s">
        <v>342</v>
      </c>
      <c r="G128" s="497" t="s">
        <v>505</v>
      </c>
      <c r="H128" s="7" t="s">
        <v>371</v>
      </c>
      <c r="I128" s="772"/>
      <c r="J128" s="259"/>
      <c r="K128" s="38">
        <v>272000</v>
      </c>
      <c r="L128" s="39" t="s">
        <v>9</v>
      </c>
      <c r="M128" s="39" t="s">
        <v>46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94"/>
      <c r="AB128" s="606">
        <v>5</v>
      </c>
      <c r="AC128" s="211"/>
      <c r="AD128" s="211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7"/>
        <v>5</v>
      </c>
      <c r="C129" s="184">
        <f t="shared" si="8"/>
        <v>40673</v>
      </c>
      <c r="D129" s="184" t="s">
        <v>334</v>
      </c>
      <c r="E129" s="184">
        <v>40673</v>
      </c>
      <c r="F129" s="189" t="s">
        <v>367</v>
      </c>
      <c r="G129" s="616" t="s">
        <v>330</v>
      </c>
      <c r="H129" s="7" t="s">
        <v>499</v>
      </c>
      <c r="I129" s="256"/>
      <c r="J129" s="256"/>
      <c r="K129" s="614">
        <v>50000000</v>
      </c>
      <c r="L129" s="615" t="s">
        <v>8</v>
      </c>
      <c r="M129" s="615" t="s">
        <v>23</v>
      </c>
      <c r="N129" s="52" t="str">
        <f>IF(AND('331-CT'!$E$7=TH!H129,OR(L129="331",M129="331")),"331",IF(AND(OR(L129="131",M129="131"),H129='131-CT'!$E$7),"131",""))</f>
        <v>331</v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>x</v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94"/>
      <c r="AB129" s="606"/>
      <c r="AC129" s="606"/>
      <c r="AD129" s="606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7"/>
        <v>5</v>
      </c>
      <c r="C130" s="184">
        <f t="shared" si="8"/>
        <v>40673</v>
      </c>
      <c r="D130" s="184" t="s">
        <v>334</v>
      </c>
      <c r="E130" s="184">
        <v>40673</v>
      </c>
      <c r="F130" s="189" t="s">
        <v>336</v>
      </c>
      <c r="G130" s="616" t="s">
        <v>330</v>
      </c>
      <c r="H130" s="7"/>
      <c r="I130" s="256"/>
      <c r="J130" s="256"/>
      <c r="K130" s="614">
        <v>10000</v>
      </c>
      <c r="L130" s="615" t="s">
        <v>75</v>
      </c>
      <c r="M130" s="615" t="s">
        <v>23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>x</v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>642</v>
      </c>
      <c r="V130" s="52" t="str">
        <f>IF(OR(TH!L130=TH!$V$7,M130=TH!$V$7),"x","")</f>
        <v>x</v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94"/>
      <c r="AB130" s="606"/>
      <c r="AC130" s="606"/>
      <c r="AD130" s="606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7"/>
        <v>5</v>
      </c>
      <c r="C131" s="37">
        <f t="shared" si="8"/>
        <v>40673</v>
      </c>
      <c r="D131" s="184" t="s">
        <v>704</v>
      </c>
      <c r="E131" s="37">
        <v>40673</v>
      </c>
      <c r="F131" s="189" t="s">
        <v>493</v>
      </c>
      <c r="G131" s="497" t="s">
        <v>498</v>
      </c>
      <c r="H131" s="7" t="s">
        <v>499</v>
      </c>
      <c r="I131" s="256">
        <v>202</v>
      </c>
      <c r="J131" s="259">
        <v>22806</v>
      </c>
      <c r="K131" s="614">
        <f>ROUND(I131*J131,0)</f>
        <v>4606812</v>
      </c>
      <c r="L131" s="39" t="s">
        <v>151</v>
      </c>
      <c r="M131" s="615" t="s">
        <v>8</v>
      </c>
      <c r="N131" s="52" t="str">
        <f>IF(AND('331-CT'!$E$7=TH!H131,OR(L131="331",M131="331")),"331",IF(AND(OR(L131="131",M131="131"),H131='131-CT'!$E$7),"131",""))</f>
        <v>331</v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94"/>
      <c r="AB131" s="211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7"/>
        <v>5</v>
      </c>
      <c r="C132" s="37">
        <f t="shared" si="8"/>
        <v>40673</v>
      </c>
      <c r="D132" s="184" t="s">
        <v>704</v>
      </c>
      <c r="E132" s="37">
        <v>40673</v>
      </c>
      <c r="F132" s="189" t="s">
        <v>494</v>
      </c>
      <c r="G132" s="497" t="s">
        <v>498</v>
      </c>
      <c r="H132" s="7" t="s">
        <v>499</v>
      </c>
      <c r="I132" s="256">
        <v>202</v>
      </c>
      <c r="J132" s="259">
        <v>19773</v>
      </c>
      <c r="K132" s="614">
        <f>ROUND(I132*J132,0)</f>
        <v>3994146</v>
      </c>
      <c r="L132" s="39" t="s">
        <v>151</v>
      </c>
      <c r="M132" s="615" t="s">
        <v>8</v>
      </c>
      <c r="N132" s="52" t="str">
        <f>IF(AND('331-CT'!$E$7=TH!H132,OR(L132="331",M132="331")),"331",IF(AND(OR(L132="131",M132="131"),H132='131-CT'!$E$7),"131",""))</f>
        <v>331</v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94"/>
      <c r="AB132" s="211"/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7"/>
        <v>5</v>
      </c>
      <c r="C133" s="37">
        <f t="shared" si="8"/>
        <v>40673</v>
      </c>
      <c r="D133" s="184" t="s">
        <v>704</v>
      </c>
      <c r="E133" s="37">
        <v>40673</v>
      </c>
      <c r="F133" s="189" t="s">
        <v>495</v>
      </c>
      <c r="G133" s="497" t="s">
        <v>498</v>
      </c>
      <c r="H133" s="7" t="s">
        <v>499</v>
      </c>
      <c r="I133" s="256">
        <v>52</v>
      </c>
      <c r="J133" s="259">
        <v>43904</v>
      </c>
      <c r="K133" s="614">
        <f>ROUND(I133*J133,0)</f>
        <v>2283008</v>
      </c>
      <c r="L133" s="39" t="s">
        <v>151</v>
      </c>
      <c r="M133" s="615" t="s">
        <v>8</v>
      </c>
      <c r="N133" s="52" t="str">
        <f>IF(AND('331-CT'!$E$7=TH!H133,OR(L133="331",M133="331")),"331",IF(AND(OR(L133="131",M133="131"),H133='131-CT'!$E$7),"131",""))</f>
        <v>331</v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94"/>
      <c r="AB133" s="211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7"/>
        <v>5</v>
      </c>
      <c r="C134" s="37">
        <f t="shared" si="8"/>
        <v>40673</v>
      </c>
      <c r="D134" s="184" t="s">
        <v>704</v>
      </c>
      <c r="E134" s="37">
        <v>40673</v>
      </c>
      <c r="F134" s="189" t="s">
        <v>497</v>
      </c>
      <c r="G134" s="497" t="s">
        <v>498</v>
      </c>
      <c r="H134" s="7" t="s">
        <v>499</v>
      </c>
      <c r="I134" s="256">
        <v>305</v>
      </c>
      <c r="J134" s="259">
        <v>11587</v>
      </c>
      <c r="K134" s="614">
        <f>ROUND(I134*J134,0)</f>
        <v>3534035</v>
      </c>
      <c r="L134" s="39" t="s">
        <v>151</v>
      </c>
      <c r="M134" s="615" t="s">
        <v>8</v>
      </c>
      <c r="N134" s="52" t="str">
        <f>IF(AND('331-CT'!$E$7=TH!H134,OR(L134="331",M134="331")),"331",IF(AND(OR(L134="131",M134="131"),H134='131-CT'!$E$7),"131",""))</f>
        <v>331</v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94"/>
      <c r="AB134" s="211"/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7"/>
        <v>5</v>
      </c>
      <c r="C135" s="37">
        <f t="shared" si="8"/>
        <v>40673</v>
      </c>
      <c r="D135" s="184" t="s">
        <v>704</v>
      </c>
      <c r="E135" s="37">
        <v>40673</v>
      </c>
      <c r="F135" s="189" t="s">
        <v>496</v>
      </c>
      <c r="G135" s="497" t="s">
        <v>498</v>
      </c>
      <c r="H135" s="7" t="s">
        <v>499</v>
      </c>
      <c r="I135" s="256">
        <v>125</v>
      </c>
      <c r="J135" s="259">
        <v>16462</v>
      </c>
      <c r="K135" s="614">
        <f>ROUND(I135*J135,0)</f>
        <v>2057750</v>
      </c>
      <c r="L135" s="39" t="s">
        <v>151</v>
      </c>
      <c r="M135" s="615" t="s">
        <v>8</v>
      </c>
      <c r="N135" s="52" t="str">
        <f>IF(AND('331-CT'!$E$7=TH!H135,OR(L135="331",M135="331")),"331",IF(AND(OR(L135="131",M135="131"),H135='131-CT'!$E$7),"131",""))</f>
        <v>331</v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94"/>
      <c r="AB135" s="211"/>
      <c r="AC135" s="211"/>
      <c r="AD135" s="211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7"/>
        <v>5</v>
      </c>
      <c r="C136" s="37">
        <f t="shared" ref="C136:C167" si="11">E136</f>
        <v>40673</v>
      </c>
      <c r="D136" s="184" t="s">
        <v>704</v>
      </c>
      <c r="E136" s="37">
        <v>40673</v>
      </c>
      <c r="F136" s="189" t="s">
        <v>380</v>
      </c>
      <c r="G136" s="497" t="s">
        <v>498</v>
      </c>
      <c r="H136" s="7" t="s">
        <v>499</v>
      </c>
      <c r="I136" s="256"/>
      <c r="J136" s="259"/>
      <c r="K136" s="38">
        <v>1647575</v>
      </c>
      <c r="L136" s="39" t="s">
        <v>9</v>
      </c>
      <c r="M136" s="615" t="s">
        <v>8</v>
      </c>
      <c r="N136" s="52" t="str">
        <f>IF(AND('331-CT'!$E$7=TH!H136,OR(L136="331",M136="331")),"331",IF(AND(OR(L136="131",M136="131"),H136='131-CT'!$E$7),"131",""))</f>
        <v>331</v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94"/>
      <c r="AB136" s="606">
        <v>5</v>
      </c>
      <c r="AC136" s="211"/>
      <c r="AD136" s="211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7"/>
        <v>5</v>
      </c>
      <c r="C137" s="37">
        <f t="shared" si="11"/>
        <v>40673</v>
      </c>
      <c r="D137" s="184" t="s">
        <v>705</v>
      </c>
      <c r="E137" s="37">
        <v>40673</v>
      </c>
      <c r="F137" s="189" t="s">
        <v>501</v>
      </c>
      <c r="G137" s="497" t="s">
        <v>500</v>
      </c>
      <c r="H137" s="7" t="s">
        <v>499</v>
      </c>
      <c r="I137" s="258">
        <v>250</v>
      </c>
      <c r="J137" s="259">
        <v>13498</v>
      </c>
      <c r="K137" s="614">
        <f>ROUND(I137*J137,0)</f>
        <v>3374500</v>
      </c>
      <c r="L137" s="39" t="s">
        <v>151</v>
      </c>
      <c r="M137" s="615" t="s">
        <v>8</v>
      </c>
      <c r="N137" s="52" t="str">
        <f>IF(AND('331-CT'!$E$7=TH!H137,OR(L137="331",M137="331")),"331",IF(AND(OR(L137="131",M137="131"),H137='131-CT'!$E$7),"131",""))</f>
        <v>331</v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94"/>
      <c r="AB137" s="606"/>
      <c r="AC137" s="606"/>
      <c r="AD137" s="606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7"/>
        <v>5</v>
      </c>
      <c r="C138" s="37">
        <f t="shared" si="11"/>
        <v>40673</v>
      </c>
      <c r="D138" s="184" t="s">
        <v>705</v>
      </c>
      <c r="E138" s="37">
        <v>40673</v>
      </c>
      <c r="F138" s="189" t="s">
        <v>502</v>
      </c>
      <c r="G138" s="497" t="s">
        <v>500</v>
      </c>
      <c r="H138" s="7" t="s">
        <v>499</v>
      </c>
      <c r="I138" s="258">
        <v>500</v>
      </c>
      <c r="J138" s="259">
        <v>5612</v>
      </c>
      <c r="K138" s="614">
        <f>ROUND(I138*J138,0)</f>
        <v>2806000</v>
      </c>
      <c r="L138" s="39" t="s">
        <v>151</v>
      </c>
      <c r="M138" s="615" t="s">
        <v>8</v>
      </c>
      <c r="N138" s="52" t="str">
        <f>IF(AND('331-CT'!$E$7=TH!H138,OR(L138="331",M138="331")),"331",IF(AND(OR(L138="131",M138="131"),H138='131-CT'!$E$7),"131",""))</f>
        <v>331</v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94"/>
      <c r="AB138" s="606"/>
      <c r="AC138" s="606"/>
      <c r="AD138" s="606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7"/>
        <v>5</v>
      </c>
      <c r="C139" s="37">
        <f t="shared" si="11"/>
        <v>40673</v>
      </c>
      <c r="D139" s="184" t="s">
        <v>705</v>
      </c>
      <c r="E139" s="37">
        <v>40673</v>
      </c>
      <c r="F139" s="189" t="s">
        <v>503</v>
      </c>
      <c r="G139" s="497" t="s">
        <v>500</v>
      </c>
      <c r="H139" s="7" t="s">
        <v>499</v>
      </c>
      <c r="I139" s="256">
        <v>400</v>
      </c>
      <c r="J139" s="259">
        <v>5831</v>
      </c>
      <c r="K139" s="614">
        <f>ROUND(I139*J139,0)</f>
        <v>2332400</v>
      </c>
      <c r="L139" s="39" t="s">
        <v>151</v>
      </c>
      <c r="M139" s="615" t="s">
        <v>8</v>
      </c>
      <c r="N139" s="52" t="str">
        <f>IF(AND('331-CT'!$E$7=TH!H139,OR(L139="331",M139="331")),"331",IF(AND(OR(L139="131",M139="131"),H139='131-CT'!$E$7),"131",""))</f>
        <v>331</v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94"/>
      <c r="AB139" s="606"/>
      <c r="AC139" s="606"/>
      <c r="AD139" s="606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7"/>
        <v>5</v>
      </c>
      <c r="C140" s="37">
        <f t="shared" si="11"/>
        <v>40673</v>
      </c>
      <c r="D140" s="184" t="s">
        <v>705</v>
      </c>
      <c r="E140" s="37">
        <v>40673</v>
      </c>
      <c r="F140" s="189" t="s">
        <v>380</v>
      </c>
      <c r="G140" s="497" t="s">
        <v>500</v>
      </c>
      <c r="H140" s="7" t="s">
        <v>499</v>
      </c>
      <c r="I140" s="259"/>
      <c r="J140" s="259"/>
      <c r="K140" s="38">
        <v>851290</v>
      </c>
      <c r="L140" s="39" t="s">
        <v>9</v>
      </c>
      <c r="M140" s="615" t="s">
        <v>8</v>
      </c>
      <c r="N140" s="52" t="str">
        <f>IF(AND('331-CT'!$E$7=TH!H140,OR(L140="331",M140="331")),"331",IF(AND(OR(L140="131",M140="131"),H140='131-CT'!$E$7),"131",""))</f>
        <v>331</v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94"/>
      <c r="AB140" s="606">
        <v>5</v>
      </c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7"/>
        <v>5</v>
      </c>
      <c r="C141" s="37">
        <f t="shared" si="11"/>
        <v>40675</v>
      </c>
      <c r="D141" s="184" t="s">
        <v>673</v>
      </c>
      <c r="E141" s="37">
        <v>40675</v>
      </c>
      <c r="F141" s="40" t="s">
        <v>448</v>
      </c>
      <c r="G141" s="495" t="s">
        <v>450</v>
      </c>
      <c r="H141" s="45" t="s">
        <v>451</v>
      </c>
      <c r="I141" s="256"/>
      <c r="J141" s="256"/>
      <c r="K141" s="38">
        <v>774520</v>
      </c>
      <c r="L141" s="39" t="s">
        <v>157</v>
      </c>
      <c r="M141" s="615" t="s">
        <v>46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>154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94"/>
      <c r="AB141" s="211"/>
      <c r="AC141" s="211"/>
      <c r="AD141" s="211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7"/>
        <v>5</v>
      </c>
      <c r="C142" s="37">
        <f t="shared" si="11"/>
        <v>40675</v>
      </c>
      <c r="D142" s="184" t="s">
        <v>673</v>
      </c>
      <c r="E142" s="37">
        <v>40675</v>
      </c>
      <c r="F142" s="40" t="s">
        <v>449</v>
      </c>
      <c r="G142" s="495" t="s">
        <v>450</v>
      </c>
      <c r="H142" s="45" t="s">
        <v>451</v>
      </c>
      <c r="I142" s="256"/>
      <c r="J142" s="256"/>
      <c r="K142" s="38">
        <v>77452</v>
      </c>
      <c r="L142" s="39" t="s">
        <v>9</v>
      </c>
      <c r="M142" s="615" t="s">
        <v>46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94"/>
      <c r="AB142" s="606">
        <v>5</v>
      </c>
      <c r="AC142" s="211"/>
      <c r="AD142" s="211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7"/>
        <v>5</v>
      </c>
      <c r="C143" s="191">
        <f t="shared" si="11"/>
        <v>40675</v>
      </c>
      <c r="D143" s="720" t="s">
        <v>1094</v>
      </c>
      <c r="E143" s="184">
        <v>40675</v>
      </c>
      <c r="F143" s="189" t="s">
        <v>520</v>
      </c>
      <c r="G143" s="616"/>
      <c r="H143" s="628" t="s">
        <v>1092</v>
      </c>
      <c r="I143" s="256">
        <v>199</v>
      </c>
      <c r="J143" s="256">
        <v>6400</v>
      </c>
      <c r="K143" s="614">
        <f t="shared" ref="K143:K151" si="12">ROUND(I143*J143,0)</f>
        <v>1273600</v>
      </c>
      <c r="L143" s="39" t="s">
        <v>157</v>
      </c>
      <c r="M143" s="724" t="s">
        <v>151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154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94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7"/>
        <v>5</v>
      </c>
      <c r="C144" s="191">
        <f t="shared" si="11"/>
        <v>40675</v>
      </c>
      <c r="D144" s="720" t="s">
        <v>1094</v>
      </c>
      <c r="E144" s="184">
        <v>40675</v>
      </c>
      <c r="F144" s="189" t="s">
        <v>509</v>
      </c>
      <c r="G144" s="616"/>
      <c r="H144" s="628" t="s">
        <v>1092</v>
      </c>
      <c r="I144" s="256">
        <v>20</v>
      </c>
      <c r="J144" s="256">
        <v>14784</v>
      </c>
      <c r="K144" s="614">
        <f t="shared" si="12"/>
        <v>295680</v>
      </c>
      <c r="L144" s="39" t="s">
        <v>157</v>
      </c>
      <c r="M144" s="724" t="s">
        <v>151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154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94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7"/>
        <v>5</v>
      </c>
      <c r="C145" s="191">
        <f t="shared" si="11"/>
        <v>40675</v>
      </c>
      <c r="D145" s="720" t="s">
        <v>1094</v>
      </c>
      <c r="E145" s="184">
        <v>40675</v>
      </c>
      <c r="F145" s="189" t="s">
        <v>502</v>
      </c>
      <c r="G145" s="498"/>
      <c r="H145" s="628" t="s">
        <v>1092</v>
      </c>
      <c r="I145" s="259">
        <v>1</v>
      </c>
      <c r="J145" s="259">
        <v>5612</v>
      </c>
      <c r="K145" s="614">
        <f t="shared" si="12"/>
        <v>5612</v>
      </c>
      <c r="L145" s="39" t="s">
        <v>157</v>
      </c>
      <c r="M145" s="724" t="s">
        <v>151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>154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94"/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7"/>
        <v>5</v>
      </c>
      <c r="C146" s="191">
        <f t="shared" si="11"/>
        <v>40675</v>
      </c>
      <c r="D146" s="720" t="s">
        <v>1094</v>
      </c>
      <c r="E146" s="184">
        <v>40675</v>
      </c>
      <c r="F146" s="298" t="s">
        <v>387</v>
      </c>
      <c r="G146" s="498"/>
      <c r="H146" s="628" t="s">
        <v>1092</v>
      </c>
      <c r="I146" s="863">
        <v>4</v>
      </c>
      <c r="J146" s="256">
        <v>4449</v>
      </c>
      <c r="K146" s="614">
        <f t="shared" si="12"/>
        <v>17796</v>
      </c>
      <c r="L146" s="39" t="s">
        <v>157</v>
      </c>
      <c r="M146" s="724" t="s">
        <v>151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154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>x</v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94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7"/>
        <v>5</v>
      </c>
      <c r="C147" s="191">
        <f t="shared" si="11"/>
        <v>40675</v>
      </c>
      <c r="D147" s="720" t="s">
        <v>1094</v>
      </c>
      <c r="E147" s="184">
        <v>40675</v>
      </c>
      <c r="F147" s="189" t="s">
        <v>387</v>
      </c>
      <c r="G147" s="616"/>
      <c r="H147" s="628" t="s">
        <v>1092</v>
      </c>
      <c r="I147" s="839">
        <v>1</v>
      </c>
      <c r="J147" s="256">
        <v>4449</v>
      </c>
      <c r="K147" s="614">
        <f t="shared" si="12"/>
        <v>4449</v>
      </c>
      <c r="L147" s="39" t="s">
        <v>157</v>
      </c>
      <c r="M147" s="724" t="s">
        <v>151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>154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>x</v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94"/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7"/>
        <v>5</v>
      </c>
      <c r="C148" s="191">
        <f t="shared" si="11"/>
        <v>40675</v>
      </c>
      <c r="D148" s="720" t="s">
        <v>1094</v>
      </c>
      <c r="E148" s="184">
        <v>40675</v>
      </c>
      <c r="F148" s="189" t="s">
        <v>523</v>
      </c>
      <c r="G148" s="616"/>
      <c r="H148" s="628" t="s">
        <v>1092</v>
      </c>
      <c r="I148" s="256">
        <v>2</v>
      </c>
      <c r="J148" s="256">
        <v>7268</v>
      </c>
      <c r="K148" s="614">
        <f t="shared" si="12"/>
        <v>14536</v>
      </c>
      <c r="L148" s="39" t="s">
        <v>157</v>
      </c>
      <c r="M148" s="724" t="s">
        <v>151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154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4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7"/>
        <v>5</v>
      </c>
      <c r="C149" s="191">
        <f t="shared" si="11"/>
        <v>40675</v>
      </c>
      <c r="D149" s="720" t="s">
        <v>1094</v>
      </c>
      <c r="E149" s="184">
        <v>40675</v>
      </c>
      <c r="F149" s="189" t="s">
        <v>503</v>
      </c>
      <c r="G149" s="616"/>
      <c r="H149" s="628" t="s">
        <v>1092</v>
      </c>
      <c r="I149" s="256">
        <v>2</v>
      </c>
      <c r="J149" s="256">
        <v>5831</v>
      </c>
      <c r="K149" s="614">
        <f t="shared" si="12"/>
        <v>11662</v>
      </c>
      <c r="L149" s="39" t="s">
        <v>157</v>
      </c>
      <c r="M149" s="724" t="s">
        <v>151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>154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4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7"/>
        <v>5</v>
      </c>
      <c r="C150" s="191">
        <f t="shared" si="11"/>
        <v>40675</v>
      </c>
      <c r="D150" s="720" t="s">
        <v>1094</v>
      </c>
      <c r="E150" s="184">
        <v>40675</v>
      </c>
      <c r="F150" s="189" t="s">
        <v>502</v>
      </c>
      <c r="G150" s="498"/>
      <c r="H150" s="628" t="s">
        <v>1092</v>
      </c>
      <c r="I150" s="256">
        <v>5</v>
      </c>
      <c r="J150" s="256">
        <v>5612</v>
      </c>
      <c r="K150" s="614">
        <f t="shared" si="12"/>
        <v>28060</v>
      </c>
      <c r="L150" s="39" t="s">
        <v>157</v>
      </c>
      <c r="M150" s="724" t="s">
        <v>151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>154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4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si="7"/>
        <v>5</v>
      </c>
      <c r="C151" s="191">
        <f t="shared" si="11"/>
        <v>40675</v>
      </c>
      <c r="D151" s="720" t="s">
        <v>1094</v>
      </c>
      <c r="E151" s="184">
        <v>40675</v>
      </c>
      <c r="F151" s="189" t="s">
        <v>489</v>
      </c>
      <c r="G151" s="498"/>
      <c r="H151" s="628" t="s">
        <v>1092</v>
      </c>
      <c r="I151" s="256">
        <v>86</v>
      </c>
      <c r="J151" s="256">
        <v>16925</v>
      </c>
      <c r="K151" s="614">
        <f t="shared" si="12"/>
        <v>1455550</v>
      </c>
      <c r="L151" s="39" t="s">
        <v>157</v>
      </c>
      <c r="M151" s="724" t="s">
        <v>151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154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94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7"/>
        <v>5</v>
      </c>
      <c r="C152" s="37">
        <f t="shared" si="11"/>
        <v>40679</v>
      </c>
      <c r="D152" s="184" t="s">
        <v>674</v>
      </c>
      <c r="E152" s="37">
        <v>40679</v>
      </c>
      <c r="F152" s="40" t="s">
        <v>454</v>
      </c>
      <c r="G152" s="495" t="s">
        <v>452</v>
      </c>
      <c r="H152" s="45" t="s">
        <v>453</v>
      </c>
      <c r="I152" s="256"/>
      <c r="J152" s="256"/>
      <c r="K152" s="38">
        <v>2700000</v>
      </c>
      <c r="L152" s="39" t="s">
        <v>75</v>
      </c>
      <c r="M152" s="615" t="s">
        <v>46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>x</v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>642</v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94"/>
      <c r="AB152" s="211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ref="B153:B216" si="13">IF(C153&lt;&gt;"",MONTH(C153),"")</f>
        <v>5</v>
      </c>
      <c r="C153" s="37">
        <f t="shared" si="11"/>
        <v>40679</v>
      </c>
      <c r="D153" s="184" t="s">
        <v>674</v>
      </c>
      <c r="E153" s="37">
        <v>40679</v>
      </c>
      <c r="F153" s="40" t="s">
        <v>455</v>
      </c>
      <c r="G153" s="495" t="s">
        <v>452</v>
      </c>
      <c r="H153" s="45" t="s">
        <v>453</v>
      </c>
      <c r="I153" s="256"/>
      <c r="J153" s="256"/>
      <c r="K153" s="38">
        <v>270000</v>
      </c>
      <c r="L153" s="39" t="s">
        <v>9</v>
      </c>
      <c r="M153" s="615" t="s">
        <v>46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>x</v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94"/>
      <c r="AB153" s="606">
        <v>5</v>
      </c>
      <c r="AC153" s="211"/>
      <c r="AD153" s="2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13"/>
        <v>5</v>
      </c>
      <c r="C154" s="37">
        <f t="shared" si="11"/>
        <v>40679</v>
      </c>
      <c r="D154" s="184" t="s">
        <v>675</v>
      </c>
      <c r="E154" s="37">
        <v>40679</v>
      </c>
      <c r="F154" s="40" t="s">
        <v>456</v>
      </c>
      <c r="G154" s="495" t="s">
        <v>457</v>
      </c>
      <c r="H154" s="45" t="s">
        <v>363</v>
      </c>
      <c r="I154" s="256"/>
      <c r="J154" s="256"/>
      <c r="K154" s="38">
        <v>2200000</v>
      </c>
      <c r="L154" s="39" t="s">
        <v>79</v>
      </c>
      <c r="M154" s="615" t="s">
        <v>46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94"/>
      <c r="AB154" s="211"/>
      <c r="AC154" s="211"/>
      <c r="AD154" s="211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13"/>
        <v>5</v>
      </c>
      <c r="C155" s="191">
        <f t="shared" si="11"/>
        <v>40679</v>
      </c>
      <c r="D155" s="720" t="s">
        <v>1095</v>
      </c>
      <c r="E155" s="813">
        <v>40679</v>
      </c>
      <c r="F155" s="189" t="s">
        <v>501</v>
      </c>
      <c r="G155" s="498"/>
      <c r="H155" s="628" t="s">
        <v>1092</v>
      </c>
      <c r="I155" s="256">
        <v>4</v>
      </c>
      <c r="J155" s="256">
        <v>13498</v>
      </c>
      <c r="K155" s="614">
        <f t="shared" ref="K155:K162" si="14">ROUND(I155*J155,0)</f>
        <v>53992</v>
      </c>
      <c r="L155" s="39" t="s">
        <v>157</v>
      </c>
      <c r="M155" s="724" t="s">
        <v>151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>154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94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13"/>
        <v>5</v>
      </c>
      <c r="C156" s="191">
        <f t="shared" si="11"/>
        <v>40679</v>
      </c>
      <c r="D156" s="720" t="s">
        <v>1095</v>
      </c>
      <c r="E156" s="813">
        <v>40679</v>
      </c>
      <c r="F156" s="189" t="s">
        <v>501</v>
      </c>
      <c r="G156" s="498"/>
      <c r="H156" s="628" t="s">
        <v>1092</v>
      </c>
      <c r="I156" s="256">
        <v>24</v>
      </c>
      <c r="J156" s="256">
        <v>13498</v>
      </c>
      <c r="K156" s="614">
        <f t="shared" si="14"/>
        <v>323952</v>
      </c>
      <c r="L156" s="39" t="s">
        <v>157</v>
      </c>
      <c r="M156" s="724" t="s">
        <v>151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>154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94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13"/>
        <v>5</v>
      </c>
      <c r="C157" s="191">
        <f t="shared" si="11"/>
        <v>40679</v>
      </c>
      <c r="D157" s="720" t="s">
        <v>1095</v>
      </c>
      <c r="E157" s="813">
        <v>40679</v>
      </c>
      <c r="F157" s="298" t="s">
        <v>482</v>
      </c>
      <c r="G157" s="498"/>
      <c r="H157" s="628" t="s">
        <v>1092</v>
      </c>
      <c r="I157" s="258">
        <v>185</v>
      </c>
      <c r="J157" s="258">
        <v>27720</v>
      </c>
      <c r="K157" s="614">
        <f t="shared" si="14"/>
        <v>5128200</v>
      </c>
      <c r="L157" s="39" t="s">
        <v>157</v>
      </c>
      <c r="M157" s="724" t="s">
        <v>151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>154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94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13"/>
        <v>5</v>
      </c>
      <c r="C158" s="191">
        <f t="shared" si="11"/>
        <v>40679</v>
      </c>
      <c r="D158" s="720" t="s">
        <v>1095</v>
      </c>
      <c r="E158" s="813">
        <v>40679</v>
      </c>
      <c r="F158" s="189" t="s">
        <v>507</v>
      </c>
      <c r="G158" s="616"/>
      <c r="H158" s="628" t="s">
        <v>1092</v>
      </c>
      <c r="I158" s="256">
        <v>2</v>
      </c>
      <c r="J158" s="256">
        <v>8620</v>
      </c>
      <c r="K158" s="614">
        <f t="shared" si="14"/>
        <v>17240</v>
      </c>
      <c r="L158" s="39" t="s">
        <v>157</v>
      </c>
      <c r="M158" s="724" t="s">
        <v>151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>154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94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13"/>
        <v>5</v>
      </c>
      <c r="C159" s="191">
        <f t="shared" si="11"/>
        <v>40679</v>
      </c>
      <c r="D159" s="720" t="s">
        <v>1095</v>
      </c>
      <c r="E159" s="813">
        <v>40679</v>
      </c>
      <c r="F159" s="189" t="s">
        <v>492</v>
      </c>
      <c r="G159" s="498"/>
      <c r="H159" s="628" t="s">
        <v>1092</v>
      </c>
      <c r="I159" s="256">
        <v>5</v>
      </c>
      <c r="J159" s="256">
        <v>23716</v>
      </c>
      <c r="K159" s="614">
        <f t="shared" si="14"/>
        <v>118580</v>
      </c>
      <c r="L159" s="39" t="s">
        <v>157</v>
      </c>
      <c r="M159" s="724" t="s">
        <v>151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154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94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13"/>
        <v>5</v>
      </c>
      <c r="C160" s="191">
        <f t="shared" si="11"/>
        <v>40679</v>
      </c>
      <c r="D160" s="720" t="s">
        <v>1095</v>
      </c>
      <c r="E160" s="813">
        <v>40679</v>
      </c>
      <c r="F160" s="298" t="s">
        <v>482</v>
      </c>
      <c r="G160" s="498"/>
      <c r="H160" s="628" t="s">
        <v>1092</v>
      </c>
      <c r="I160" s="256">
        <v>210</v>
      </c>
      <c r="J160" s="256">
        <v>27720</v>
      </c>
      <c r="K160" s="614">
        <f t="shared" si="14"/>
        <v>5821200</v>
      </c>
      <c r="L160" s="39" t="s">
        <v>157</v>
      </c>
      <c r="M160" s="724" t="s">
        <v>151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154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94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13"/>
        <v>5</v>
      </c>
      <c r="C161" s="191">
        <f t="shared" si="11"/>
        <v>40679</v>
      </c>
      <c r="D161" s="720" t="s">
        <v>1095</v>
      </c>
      <c r="E161" s="813">
        <v>40679</v>
      </c>
      <c r="F161" s="298" t="s">
        <v>481</v>
      </c>
      <c r="G161" s="498"/>
      <c r="H161" s="628" t="s">
        <v>1092</v>
      </c>
      <c r="I161" s="256">
        <v>690</v>
      </c>
      <c r="J161" s="256">
        <v>25200</v>
      </c>
      <c r="K161" s="614">
        <f t="shared" si="14"/>
        <v>17388000</v>
      </c>
      <c r="L161" s="39" t="s">
        <v>157</v>
      </c>
      <c r="M161" s="724" t="s">
        <v>151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>154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94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13"/>
        <v>5</v>
      </c>
      <c r="C162" s="191">
        <f t="shared" si="11"/>
        <v>40679</v>
      </c>
      <c r="D162" s="720" t="s">
        <v>1095</v>
      </c>
      <c r="E162" s="813">
        <v>40679</v>
      </c>
      <c r="F162" s="298" t="s">
        <v>481</v>
      </c>
      <c r="G162" s="498"/>
      <c r="H162" s="628" t="s">
        <v>1092</v>
      </c>
      <c r="I162" s="256">
        <v>564</v>
      </c>
      <c r="J162" s="256">
        <v>25200</v>
      </c>
      <c r="K162" s="614">
        <f t="shared" si="14"/>
        <v>14212800</v>
      </c>
      <c r="L162" s="39" t="s">
        <v>157</v>
      </c>
      <c r="M162" s="724" t="s">
        <v>151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>154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94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13"/>
        <v>5</v>
      </c>
      <c r="C163" s="184">
        <f t="shared" si="11"/>
        <v>40680</v>
      </c>
      <c r="D163" s="184" t="s">
        <v>334</v>
      </c>
      <c r="E163" s="184">
        <v>40680</v>
      </c>
      <c r="F163" s="189" t="s">
        <v>367</v>
      </c>
      <c r="G163" s="616" t="s">
        <v>330</v>
      </c>
      <c r="H163" s="7" t="s">
        <v>499</v>
      </c>
      <c r="I163" s="256"/>
      <c r="J163" s="256"/>
      <c r="K163" s="614">
        <v>50000000</v>
      </c>
      <c r="L163" s="615" t="s">
        <v>8</v>
      </c>
      <c r="M163" s="615" t="s">
        <v>23</v>
      </c>
      <c r="N163" s="52" t="str">
        <f>IF(AND('331-CT'!$E$7=TH!H163,OR(L163="331",M163="331")),"331",IF(AND(OR(L163="131",M163="131"),H163='131-CT'!$E$7),"131",""))</f>
        <v>331</v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>x</v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94"/>
      <c r="AB163" s="606"/>
      <c r="AC163" s="606"/>
      <c r="AD163" s="606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13"/>
        <v>5</v>
      </c>
      <c r="C164" s="184">
        <f t="shared" si="11"/>
        <v>40680</v>
      </c>
      <c r="D164" s="184" t="s">
        <v>334</v>
      </c>
      <c r="E164" s="184">
        <v>40680</v>
      </c>
      <c r="F164" s="189" t="s">
        <v>336</v>
      </c>
      <c r="G164" s="616" t="s">
        <v>330</v>
      </c>
      <c r="H164" s="7"/>
      <c r="I164" s="256"/>
      <c r="J164" s="256"/>
      <c r="K164" s="614">
        <v>10000</v>
      </c>
      <c r="L164" s="615" t="s">
        <v>75</v>
      </c>
      <c r="M164" s="615" t="s">
        <v>23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>x</v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94"/>
      <c r="AB164" s="606"/>
      <c r="AC164" s="606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13"/>
        <v>5</v>
      </c>
      <c r="C165" s="37">
        <f t="shared" si="11"/>
        <v>40681</v>
      </c>
      <c r="D165" s="184" t="s">
        <v>676</v>
      </c>
      <c r="E165" s="37">
        <v>40681</v>
      </c>
      <c r="F165" s="189" t="s">
        <v>1080</v>
      </c>
      <c r="G165" s="497" t="s">
        <v>506</v>
      </c>
      <c r="H165" s="7" t="s">
        <v>499</v>
      </c>
      <c r="I165" s="258"/>
      <c r="J165" s="259"/>
      <c r="K165" s="38">
        <v>14257540</v>
      </c>
      <c r="L165" s="39" t="s">
        <v>8</v>
      </c>
      <c r="M165" s="615" t="s">
        <v>46</v>
      </c>
      <c r="N165" s="52" t="str">
        <f>IF(AND('331-CT'!$E$7=TH!H165,OR(L165="331",M165="331")),"331",IF(AND(OR(L165="131",M165="131"),H165='131-CT'!$E$7),"131",""))</f>
        <v>331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>x</v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94"/>
      <c r="AB165" s="606"/>
      <c r="AC165" s="606"/>
      <c r="AD165" s="606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13"/>
        <v>5</v>
      </c>
      <c r="C166" s="37">
        <f t="shared" si="11"/>
        <v>40681</v>
      </c>
      <c r="D166" s="184" t="s">
        <v>706</v>
      </c>
      <c r="E166" s="37">
        <v>40681</v>
      </c>
      <c r="F166" s="189" t="s">
        <v>507</v>
      </c>
      <c r="G166" s="497" t="s">
        <v>506</v>
      </c>
      <c r="H166" s="7" t="s">
        <v>499</v>
      </c>
      <c r="I166" s="256">
        <v>1020</v>
      </c>
      <c r="J166" s="259">
        <v>8620</v>
      </c>
      <c r="K166" s="614">
        <f>ROUND(I166*J166,0)</f>
        <v>8792400</v>
      </c>
      <c r="L166" s="39" t="s">
        <v>151</v>
      </c>
      <c r="M166" s="615" t="s">
        <v>8</v>
      </c>
      <c r="N166" s="52" t="str">
        <f>IF(AND('331-CT'!$E$7=TH!H166,OR(L166="331",M166="331")),"331",IF(AND(OR(L166="131",M166="131"),H166='131-CT'!$E$7),"131",""))</f>
        <v>331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94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13"/>
        <v>5</v>
      </c>
      <c r="C167" s="37">
        <f t="shared" si="11"/>
        <v>40681</v>
      </c>
      <c r="D167" s="184" t="s">
        <v>706</v>
      </c>
      <c r="E167" s="37">
        <v>40681</v>
      </c>
      <c r="F167" s="189" t="s">
        <v>508</v>
      </c>
      <c r="G167" s="497" t="s">
        <v>506</v>
      </c>
      <c r="H167" s="7" t="s">
        <v>499</v>
      </c>
      <c r="I167" s="258">
        <v>100</v>
      </c>
      <c r="J167" s="259">
        <v>12122</v>
      </c>
      <c r="K167" s="614">
        <f>ROUND(I167*J167,0)</f>
        <v>1212200</v>
      </c>
      <c r="L167" s="39" t="s">
        <v>151</v>
      </c>
      <c r="M167" s="615" t="s">
        <v>8</v>
      </c>
      <c r="N167" s="52" t="str">
        <f>IF(AND('331-CT'!$E$7=TH!H167,OR(L167="331",M167="331")),"331",IF(AND(OR(L167="131",M167="131"),H167='131-CT'!$E$7),"131",""))</f>
        <v>331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94"/>
      <c r="AB167" s="211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13"/>
        <v>5</v>
      </c>
      <c r="C168" s="37">
        <f t="shared" ref="C168:C199" si="15">E168</f>
        <v>40681</v>
      </c>
      <c r="D168" s="184" t="s">
        <v>706</v>
      </c>
      <c r="E168" s="37">
        <v>40681</v>
      </c>
      <c r="F168" s="189" t="s">
        <v>509</v>
      </c>
      <c r="G168" s="497" t="s">
        <v>506</v>
      </c>
      <c r="H168" s="7" t="s">
        <v>499</v>
      </c>
      <c r="I168" s="256">
        <v>200</v>
      </c>
      <c r="J168" s="259">
        <v>14784</v>
      </c>
      <c r="K168" s="614">
        <f>ROUND(I168*J168,0)</f>
        <v>2956800</v>
      </c>
      <c r="L168" s="39" t="s">
        <v>151</v>
      </c>
      <c r="M168" s="615" t="s">
        <v>8</v>
      </c>
      <c r="N168" s="52" t="str">
        <f>IF(AND('331-CT'!$E$7=TH!H168,OR(L168="331",M168="331")),"331",IF(AND(OR(L168="131",M168="131"),H168='131-CT'!$E$7),"131",""))</f>
        <v>331</v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94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13"/>
        <v>5</v>
      </c>
      <c r="C169" s="37">
        <f t="shared" si="15"/>
        <v>40681</v>
      </c>
      <c r="D169" s="184" t="s">
        <v>706</v>
      </c>
      <c r="E169" s="37">
        <v>40681</v>
      </c>
      <c r="F169" s="189" t="s">
        <v>380</v>
      </c>
      <c r="G169" s="497" t="s">
        <v>506</v>
      </c>
      <c r="H169" s="7" t="s">
        <v>499</v>
      </c>
      <c r="I169" s="258"/>
      <c r="J169" s="259"/>
      <c r="K169" s="38">
        <v>1296140</v>
      </c>
      <c r="L169" s="39" t="s">
        <v>9</v>
      </c>
      <c r="M169" s="615" t="s">
        <v>8</v>
      </c>
      <c r="N169" s="52" t="str">
        <f>IF(AND('331-CT'!$E$7=TH!H169,OR(L169="331",M169="331")),"331",IF(AND(OR(L169="131",M169="131"),H169='131-CT'!$E$7),"131",""))</f>
        <v>331</v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94"/>
      <c r="AB169" s="606">
        <v>5</v>
      </c>
      <c r="AC169" s="606"/>
      <c r="AD169" s="606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13"/>
        <v>5</v>
      </c>
      <c r="C170" s="191">
        <f t="shared" si="15"/>
        <v>40681</v>
      </c>
      <c r="D170" s="720" t="s">
        <v>1096</v>
      </c>
      <c r="E170" s="191">
        <v>40681</v>
      </c>
      <c r="F170" s="189" t="s">
        <v>489</v>
      </c>
      <c r="G170" s="498"/>
      <c r="H170" s="628" t="s">
        <v>1092</v>
      </c>
      <c r="I170" s="256">
        <v>181</v>
      </c>
      <c r="J170" s="256">
        <v>16925</v>
      </c>
      <c r="K170" s="614">
        <f t="shared" ref="K170:K178" si="16">ROUND(I170*J170,0)</f>
        <v>3063425</v>
      </c>
      <c r="L170" s="39" t="s">
        <v>157</v>
      </c>
      <c r="M170" s="724" t="s">
        <v>151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154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94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13"/>
        <v>5</v>
      </c>
      <c r="C171" s="191">
        <f t="shared" si="15"/>
        <v>40681</v>
      </c>
      <c r="D171" s="720" t="s">
        <v>1096</v>
      </c>
      <c r="E171" s="191">
        <v>40681</v>
      </c>
      <c r="F171" s="189" t="s">
        <v>387</v>
      </c>
      <c r="G171" s="498"/>
      <c r="H171" s="628" t="s">
        <v>1092</v>
      </c>
      <c r="I171" s="839">
        <v>64</v>
      </c>
      <c r="J171" s="256">
        <v>4449</v>
      </c>
      <c r="K171" s="614">
        <f t="shared" si="16"/>
        <v>284736</v>
      </c>
      <c r="L171" s="39" t="s">
        <v>157</v>
      </c>
      <c r="M171" s="724" t="s">
        <v>151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>154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>x</v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94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13"/>
        <v>5</v>
      </c>
      <c r="C172" s="191">
        <f t="shared" si="15"/>
        <v>40681</v>
      </c>
      <c r="D172" s="720" t="s">
        <v>1096</v>
      </c>
      <c r="E172" s="191">
        <v>40681</v>
      </c>
      <c r="F172" s="298" t="s">
        <v>481</v>
      </c>
      <c r="G172" s="616"/>
      <c r="H172" s="628" t="s">
        <v>1092</v>
      </c>
      <c r="I172" s="256">
        <v>208</v>
      </c>
      <c r="J172" s="256">
        <v>25200</v>
      </c>
      <c r="K172" s="614">
        <f t="shared" si="16"/>
        <v>5241600</v>
      </c>
      <c r="L172" s="39" t="s">
        <v>157</v>
      </c>
      <c r="M172" s="724" t="s">
        <v>151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>154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94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13"/>
        <v>5</v>
      </c>
      <c r="C173" s="191">
        <f t="shared" si="15"/>
        <v>40681</v>
      </c>
      <c r="D173" s="720" t="s">
        <v>1096</v>
      </c>
      <c r="E173" s="191">
        <v>40681</v>
      </c>
      <c r="F173" s="189" t="s">
        <v>517</v>
      </c>
      <c r="G173" s="498"/>
      <c r="H173" s="628" t="s">
        <v>1092</v>
      </c>
      <c r="I173" s="256">
        <v>345</v>
      </c>
      <c r="J173" s="256">
        <v>8013</v>
      </c>
      <c r="K173" s="614">
        <f t="shared" si="16"/>
        <v>2764485</v>
      </c>
      <c r="L173" s="39" t="s">
        <v>157</v>
      </c>
      <c r="M173" s="724" t="s">
        <v>151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>154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94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13"/>
        <v>5</v>
      </c>
      <c r="C174" s="191">
        <f t="shared" si="15"/>
        <v>40681</v>
      </c>
      <c r="D174" s="720" t="s">
        <v>1096</v>
      </c>
      <c r="E174" s="191">
        <v>40681</v>
      </c>
      <c r="F174" s="189" t="s">
        <v>507</v>
      </c>
      <c r="G174" s="498"/>
      <c r="H174" s="628" t="s">
        <v>1092</v>
      </c>
      <c r="I174" s="256">
        <v>4</v>
      </c>
      <c r="J174" s="256">
        <v>8620</v>
      </c>
      <c r="K174" s="614">
        <f t="shared" si="16"/>
        <v>34480</v>
      </c>
      <c r="L174" s="39" t="s">
        <v>157</v>
      </c>
      <c r="M174" s="724" t="s">
        <v>151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>154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94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13"/>
        <v>5</v>
      </c>
      <c r="C175" s="191">
        <f t="shared" si="15"/>
        <v>40681</v>
      </c>
      <c r="D175" s="720" t="s">
        <v>1096</v>
      </c>
      <c r="E175" s="191">
        <v>40681</v>
      </c>
      <c r="F175" s="189" t="s">
        <v>507</v>
      </c>
      <c r="G175" s="616"/>
      <c r="H175" s="628" t="s">
        <v>1092</v>
      </c>
      <c r="I175" s="256">
        <v>67</v>
      </c>
      <c r="J175" s="256">
        <v>8620</v>
      </c>
      <c r="K175" s="614">
        <f t="shared" si="16"/>
        <v>577540</v>
      </c>
      <c r="L175" s="39" t="s">
        <v>157</v>
      </c>
      <c r="M175" s="724" t="s">
        <v>151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>154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94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13"/>
        <v>5</v>
      </c>
      <c r="C176" s="191">
        <f t="shared" si="15"/>
        <v>40681</v>
      </c>
      <c r="D176" s="720" t="s">
        <v>1096</v>
      </c>
      <c r="E176" s="191">
        <v>40681</v>
      </c>
      <c r="F176" s="189" t="s">
        <v>509</v>
      </c>
      <c r="G176" s="616"/>
      <c r="H176" s="628" t="s">
        <v>1092</v>
      </c>
      <c r="I176" s="256">
        <v>27</v>
      </c>
      <c r="J176" s="256">
        <v>14784</v>
      </c>
      <c r="K176" s="614">
        <f t="shared" si="16"/>
        <v>399168</v>
      </c>
      <c r="L176" s="39" t="s">
        <v>157</v>
      </c>
      <c r="M176" s="724" t="s">
        <v>151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>154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94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13"/>
        <v>5</v>
      </c>
      <c r="C177" s="191">
        <f t="shared" si="15"/>
        <v>40681</v>
      </c>
      <c r="D177" s="720" t="s">
        <v>1096</v>
      </c>
      <c r="E177" s="191">
        <v>40681</v>
      </c>
      <c r="F177" s="189" t="s">
        <v>385</v>
      </c>
      <c r="G177" s="616"/>
      <c r="H177" s="628" t="s">
        <v>1092</v>
      </c>
      <c r="I177" s="256">
        <v>16</v>
      </c>
      <c r="J177" s="256">
        <v>6124</v>
      </c>
      <c r="K177" s="614">
        <f t="shared" si="16"/>
        <v>97984</v>
      </c>
      <c r="L177" s="39" t="s">
        <v>157</v>
      </c>
      <c r="M177" s="724" t="s">
        <v>151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>154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94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13"/>
        <v>5</v>
      </c>
      <c r="C178" s="191">
        <f t="shared" si="15"/>
        <v>40681</v>
      </c>
      <c r="D178" s="720" t="s">
        <v>1096</v>
      </c>
      <c r="E178" s="191">
        <v>40681</v>
      </c>
      <c r="F178" s="189" t="s">
        <v>509</v>
      </c>
      <c r="G178" s="616"/>
      <c r="H178" s="628" t="s">
        <v>1092</v>
      </c>
      <c r="I178" s="256">
        <v>127</v>
      </c>
      <c r="J178" s="256">
        <v>14784</v>
      </c>
      <c r="K178" s="614">
        <f t="shared" si="16"/>
        <v>1877568</v>
      </c>
      <c r="L178" s="39" t="s">
        <v>157</v>
      </c>
      <c r="M178" s="724" t="s">
        <v>151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>154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94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13"/>
        <v>5</v>
      </c>
      <c r="C179" s="37">
        <f t="shared" si="15"/>
        <v>40682</v>
      </c>
      <c r="D179" s="184" t="s">
        <v>677</v>
      </c>
      <c r="E179" s="37">
        <v>40682</v>
      </c>
      <c r="F179" s="40" t="s">
        <v>459</v>
      </c>
      <c r="G179" s="495" t="s">
        <v>461</v>
      </c>
      <c r="H179" s="45" t="s">
        <v>458</v>
      </c>
      <c r="I179" s="256"/>
      <c r="J179" s="256"/>
      <c r="K179" s="38">
        <v>18000000</v>
      </c>
      <c r="L179" s="39" t="s">
        <v>161</v>
      </c>
      <c r="M179" s="615" t="s">
        <v>46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>x</v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94"/>
      <c r="AB179" s="211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13"/>
        <v>5</v>
      </c>
      <c r="C180" s="37">
        <f t="shared" si="15"/>
        <v>40682</v>
      </c>
      <c r="D180" s="184" t="s">
        <v>677</v>
      </c>
      <c r="E180" s="37">
        <v>40682</v>
      </c>
      <c r="F180" s="40" t="s">
        <v>460</v>
      </c>
      <c r="G180" s="495" t="s">
        <v>461</v>
      </c>
      <c r="H180" s="45" t="s">
        <v>458</v>
      </c>
      <c r="I180" s="256"/>
      <c r="J180" s="256"/>
      <c r="K180" s="38">
        <v>1800000</v>
      </c>
      <c r="L180" s="39" t="s">
        <v>9</v>
      </c>
      <c r="M180" s="615" t="s">
        <v>46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>x</v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94"/>
      <c r="AB180" s="606">
        <v>5</v>
      </c>
      <c r="AC180" s="211"/>
      <c r="AD180" s="211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13"/>
        <v>5</v>
      </c>
      <c r="C181" s="37">
        <f t="shared" si="15"/>
        <v>40682</v>
      </c>
      <c r="D181" s="184" t="s">
        <v>678</v>
      </c>
      <c r="E181" s="37">
        <v>40682</v>
      </c>
      <c r="F181" s="40" t="s">
        <v>367</v>
      </c>
      <c r="G181" s="497" t="s">
        <v>511</v>
      </c>
      <c r="H181" s="44" t="s">
        <v>510</v>
      </c>
      <c r="I181" s="256"/>
      <c r="J181" s="256"/>
      <c r="K181" s="614">
        <v>1430000</v>
      </c>
      <c r="L181" s="39" t="s">
        <v>8</v>
      </c>
      <c r="M181" s="615" t="s">
        <v>46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>x</v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94"/>
      <c r="AB181" s="606"/>
      <c r="AC181" s="606"/>
      <c r="AD181" s="606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13"/>
        <v>5</v>
      </c>
      <c r="C182" s="37">
        <f t="shared" si="15"/>
        <v>40682</v>
      </c>
      <c r="D182" s="184" t="s">
        <v>1429</v>
      </c>
      <c r="E182" s="37">
        <v>40682</v>
      </c>
      <c r="F182" s="40" t="s">
        <v>475</v>
      </c>
      <c r="G182" s="497" t="s">
        <v>511</v>
      </c>
      <c r="H182" s="44" t="s">
        <v>510</v>
      </c>
      <c r="I182" s="258">
        <v>1</v>
      </c>
      <c r="J182" s="259">
        <v>1300000</v>
      </c>
      <c r="K182" s="614">
        <f>ROUND(I182*J182,0)</f>
        <v>1300000</v>
      </c>
      <c r="L182" s="39" t="s">
        <v>153</v>
      </c>
      <c r="M182" s="3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94"/>
      <c r="AB182" s="606"/>
      <c r="AC182" s="606"/>
      <c r="AD182" s="606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13"/>
        <v>5</v>
      </c>
      <c r="C183" s="37">
        <f t="shared" si="15"/>
        <v>40682</v>
      </c>
      <c r="D183" s="184" t="s">
        <v>1429</v>
      </c>
      <c r="E183" s="37">
        <v>40682</v>
      </c>
      <c r="F183" s="40" t="s">
        <v>512</v>
      </c>
      <c r="G183" s="497" t="s">
        <v>511</v>
      </c>
      <c r="H183" s="44" t="s">
        <v>510</v>
      </c>
      <c r="I183" s="258"/>
      <c r="J183" s="258"/>
      <c r="K183" s="38">
        <v>130000</v>
      </c>
      <c r="L183" s="39" t="s">
        <v>9</v>
      </c>
      <c r="M183" s="3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94"/>
      <c r="AB183" s="606">
        <v>5</v>
      </c>
      <c r="AC183" s="211"/>
      <c r="AD183" s="606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13"/>
        <v>5</v>
      </c>
      <c r="C184" s="191">
        <f t="shared" si="15"/>
        <v>40684</v>
      </c>
      <c r="D184" s="720" t="s">
        <v>1097</v>
      </c>
      <c r="E184" s="184">
        <v>40684</v>
      </c>
      <c r="F184" s="298" t="s">
        <v>387</v>
      </c>
      <c r="G184" s="616"/>
      <c r="H184" s="628" t="s">
        <v>1092</v>
      </c>
      <c r="I184" s="839">
        <v>5</v>
      </c>
      <c r="J184" s="256">
        <v>4449</v>
      </c>
      <c r="K184" s="614">
        <f t="shared" ref="K184:K192" si="17">ROUND(I184*J184,0)</f>
        <v>22245</v>
      </c>
      <c r="L184" s="39" t="s">
        <v>157</v>
      </c>
      <c r="M184" s="724" t="s">
        <v>151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154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>x</v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94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13"/>
        <v>5</v>
      </c>
      <c r="C185" s="191">
        <f t="shared" si="15"/>
        <v>40684</v>
      </c>
      <c r="D185" s="720" t="s">
        <v>1097</v>
      </c>
      <c r="E185" s="184">
        <v>40684</v>
      </c>
      <c r="F185" s="189" t="s">
        <v>507</v>
      </c>
      <c r="G185" s="498"/>
      <c r="H185" s="628" t="s">
        <v>1092</v>
      </c>
      <c r="I185" s="256">
        <v>3</v>
      </c>
      <c r="J185" s="256">
        <v>8620</v>
      </c>
      <c r="K185" s="614">
        <f t="shared" si="17"/>
        <v>25860</v>
      </c>
      <c r="L185" s="39" t="s">
        <v>157</v>
      </c>
      <c r="M185" s="724" t="s">
        <v>151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>154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94"/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13"/>
        <v>5</v>
      </c>
      <c r="C186" s="191">
        <f t="shared" si="15"/>
        <v>40684</v>
      </c>
      <c r="D186" s="720" t="s">
        <v>1097</v>
      </c>
      <c r="E186" s="184">
        <v>40684</v>
      </c>
      <c r="F186" s="298" t="s">
        <v>480</v>
      </c>
      <c r="G186" s="498"/>
      <c r="H186" s="628" t="s">
        <v>1092</v>
      </c>
      <c r="I186" s="256">
        <v>12</v>
      </c>
      <c r="J186" s="256">
        <v>16125</v>
      </c>
      <c r="K186" s="614">
        <f t="shared" si="17"/>
        <v>193500</v>
      </c>
      <c r="L186" s="39" t="s">
        <v>157</v>
      </c>
      <c r="M186" s="724" t="s">
        <v>151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>154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94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13"/>
        <v>5</v>
      </c>
      <c r="C187" s="191">
        <f t="shared" si="15"/>
        <v>40684</v>
      </c>
      <c r="D187" s="720" t="s">
        <v>1097</v>
      </c>
      <c r="E187" s="184">
        <v>40684</v>
      </c>
      <c r="F187" s="189" t="s">
        <v>520</v>
      </c>
      <c r="G187" s="498"/>
      <c r="H187" s="628" t="s">
        <v>1092</v>
      </c>
      <c r="I187" s="256">
        <v>9</v>
      </c>
      <c r="J187" s="256">
        <v>6400</v>
      </c>
      <c r="K187" s="614">
        <f t="shared" si="17"/>
        <v>57600</v>
      </c>
      <c r="L187" s="39" t="s">
        <v>157</v>
      </c>
      <c r="M187" s="724" t="s">
        <v>151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154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94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13"/>
        <v>5</v>
      </c>
      <c r="C188" s="191">
        <f t="shared" si="15"/>
        <v>40684</v>
      </c>
      <c r="D188" s="720" t="s">
        <v>1097</v>
      </c>
      <c r="E188" s="184">
        <v>40684</v>
      </c>
      <c r="F188" s="189" t="s">
        <v>507</v>
      </c>
      <c r="G188" s="498"/>
      <c r="H188" s="628" t="s">
        <v>1092</v>
      </c>
      <c r="I188" s="256">
        <v>8</v>
      </c>
      <c r="J188" s="256">
        <v>8620</v>
      </c>
      <c r="K188" s="614">
        <f t="shared" si="17"/>
        <v>68960</v>
      </c>
      <c r="L188" s="39" t="s">
        <v>157</v>
      </c>
      <c r="M188" s="724" t="s">
        <v>151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154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94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13"/>
        <v>5</v>
      </c>
      <c r="C189" s="191">
        <f t="shared" si="15"/>
        <v>40684</v>
      </c>
      <c r="D189" s="720" t="s">
        <v>1097</v>
      </c>
      <c r="E189" s="184">
        <v>40684</v>
      </c>
      <c r="F189" s="189" t="s">
        <v>507</v>
      </c>
      <c r="G189" s="495"/>
      <c r="H189" s="628" t="s">
        <v>1092</v>
      </c>
      <c r="I189" s="258">
        <v>7</v>
      </c>
      <c r="J189" s="256">
        <v>8620</v>
      </c>
      <c r="K189" s="614">
        <f t="shared" si="17"/>
        <v>60340</v>
      </c>
      <c r="L189" s="39" t="s">
        <v>157</v>
      </c>
      <c r="M189" s="724" t="s">
        <v>151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>154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94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13"/>
        <v>5</v>
      </c>
      <c r="C190" s="191">
        <f t="shared" si="15"/>
        <v>40684</v>
      </c>
      <c r="D190" s="720" t="s">
        <v>1097</v>
      </c>
      <c r="E190" s="184">
        <v>40684</v>
      </c>
      <c r="F190" s="189" t="s">
        <v>497</v>
      </c>
      <c r="G190" s="495"/>
      <c r="H190" s="628" t="s">
        <v>1092</v>
      </c>
      <c r="I190" s="258">
        <v>13</v>
      </c>
      <c r="J190" s="256">
        <v>11587</v>
      </c>
      <c r="K190" s="614">
        <f t="shared" si="17"/>
        <v>150631</v>
      </c>
      <c r="L190" s="39" t="s">
        <v>157</v>
      </c>
      <c r="M190" s="724" t="s">
        <v>151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>154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94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13"/>
        <v>5</v>
      </c>
      <c r="C191" s="191">
        <f t="shared" si="15"/>
        <v>40684</v>
      </c>
      <c r="D191" s="720" t="s">
        <v>1097</v>
      </c>
      <c r="E191" s="184">
        <v>40684</v>
      </c>
      <c r="F191" s="189" t="s">
        <v>497</v>
      </c>
      <c r="G191" s="616"/>
      <c r="H191" s="628" t="s">
        <v>1092</v>
      </c>
      <c r="I191" s="256">
        <v>5</v>
      </c>
      <c r="J191" s="256">
        <v>11587</v>
      </c>
      <c r="K191" s="614">
        <f t="shared" si="17"/>
        <v>57935</v>
      </c>
      <c r="L191" s="39" t="s">
        <v>157</v>
      </c>
      <c r="M191" s="724" t="s">
        <v>151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>154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94"/>
    </row>
    <row r="192" spans="1:30" s="831" customFormat="1" ht="15.75" customHeight="1">
      <c r="A192" s="204" t="str">
        <f>IF(B192&lt;&gt;"",IF(AND(B192&gt;=_TM1,B192&lt;=_TM2,OR(TH!L192="1111",TH!M192="1111")),TH!D192,""),"")</f>
        <v/>
      </c>
      <c r="B192" s="36">
        <f t="shared" si="13"/>
        <v>5</v>
      </c>
      <c r="C192" s="191">
        <f t="shared" si="15"/>
        <v>40684</v>
      </c>
      <c r="D192" s="720" t="s">
        <v>1097</v>
      </c>
      <c r="E192" s="184">
        <v>40684</v>
      </c>
      <c r="F192" s="189" t="s">
        <v>496</v>
      </c>
      <c r="G192" s="616"/>
      <c r="H192" s="628" t="s">
        <v>1092</v>
      </c>
      <c r="I192" s="256">
        <v>22</v>
      </c>
      <c r="J192" s="256">
        <v>16462</v>
      </c>
      <c r="K192" s="614">
        <f t="shared" si="17"/>
        <v>362164</v>
      </c>
      <c r="L192" s="39" t="s">
        <v>157</v>
      </c>
      <c r="M192" s="724" t="s">
        <v>151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>154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94"/>
      <c r="AB192" s="198"/>
      <c r="AC192" s="198"/>
      <c r="AD192" s="198"/>
    </row>
    <row r="193" spans="1:30" s="831" customFormat="1" ht="15.75" customHeight="1">
      <c r="A193" s="204" t="str">
        <f>IF(B193&lt;&gt;"",IF(AND(B193&gt;=_TM1,B193&lt;=_TM2,OR(TH!L193="1111",TH!M193="1111")),TH!D193,""),"")</f>
        <v/>
      </c>
      <c r="B193" s="36">
        <f t="shared" si="13"/>
        <v>5</v>
      </c>
      <c r="C193" s="37">
        <f t="shared" si="15"/>
        <v>40686</v>
      </c>
      <c r="D193" s="184" t="s">
        <v>679</v>
      </c>
      <c r="E193" s="37">
        <v>40686</v>
      </c>
      <c r="F193" s="40" t="s">
        <v>443</v>
      </c>
      <c r="G193" s="495" t="s">
        <v>445</v>
      </c>
      <c r="H193" s="45" t="s">
        <v>332</v>
      </c>
      <c r="I193" s="256"/>
      <c r="J193" s="256"/>
      <c r="K193" s="38">
        <v>1000000</v>
      </c>
      <c r="L193" s="39" t="s">
        <v>58</v>
      </c>
      <c r="M193" s="615" t="s">
        <v>46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94"/>
      <c r="AB193" s="211"/>
      <c r="AC193" s="211"/>
      <c r="AD193" s="211"/>
    </row>
    <row r="194" spans="1:30" s="831" customFormat="1" ht="15.75" customHeight="1">
      <c r="A194" s="204" t="str">
        <f>IF(B194&lt;&gt;"",IF(AND(B194&gt;=_TM1,B194&lt;=_TM2,OR(TH!L194="1111",TH!M194="1111")),TH!D194,""),"")</f>
        <v/>
      </c>
      <c r="B194" s="36">
        <f t="shared" si="13"/>
        <v>5</v>
      </c>
      <c r="C194" s="37">
        <f t="shared" si="15"/>
        <v>40686</v>
      </c>
      <c r="D194" s="184" t="s">
        <v>679</v>
      </c>
      <c r="E194" s="37">
        <v>40686</v>
      </c>
      <c r="F194" s="40" t="s">
        <v>444</v>
      </c>
      <c r="G194" s="495" t="s">
        <v>445</v>
      </c>
      <c r="H194" s="45"/>
      <c r="I194" s="256"/>
      <c r="J194" s="256"/>
      <c r="K194" s="38">
        <v>1000000</v>
      </c>
      <c r="L194" s="39" t="s">
        <v>75</v>
      </c>
      <c r="M194" s="615" t="s">
        <v>58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>642</v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94"/>
      <c r="AB194" s="211"/>
      <c r="AC194" s="211"/>
      <c r="AD194" s="211"/>
    </row>
    <row r="195" spans="1:30" s="831" customFormat="1" ht="15.75" customHeight="1">
      <c r="A195" s="204" t="str">
        <f>IF(B195&lt;&gt;"",IF(AND(B195&gt;=_TM1,B195&lt;=_TM2,OR(TH!L195="1111",TH!M195="1111")),TH!D195,""),"")</f>
        <v/>
      </c>
      <c r="B195" s="36">
        <f t="shared" si="13"/>
        <v>5</v>
      </c>
      <c r="C195" s="37">
        <f t="shared" si="15"/>
        <v>40686</v>
      </c>
      <c r="D195" s="184" t="s">
        <v>680</v>
      </c>
      <c r="E195" s="37">
        <v>40686</v>
      </c>
      <c r="F195" s="40" t="s">
        <v>462</v>
      </c>
      <c r="G195" s="495" t="s">
        <v>463</v>
      </c>
      <c r="H195" s="45" t="s">
        <v>464</v>
      </c>
      <c r="I195" s="258"/>
      <c r="J195" s="256"/>
      <c r="K195" s="38">
        <v>27000000</v>
      </c>
      <c r="L195" s="39" t="s">
        <v>161</v>
      </c>
      <c r="M195" s="615" t="s">
        <v>46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>x</v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94"/>
      <c r="AB195" s="211"/>
      <c r="AC195" s="211"/>
      <c r="AD195" s="211"/>
    </row>
    <row r="196" spans="1:30" s="831" customFormat="1" ht="15.75" customHeight="1">
      <c r="A196" s="204" t="str">
        <f>IF(B196&lt;&gt;"",IF(AND(B196&gt;=_TM1,B196&lt;=_TM2,OR(TH!L196="1111",TH!M196="1111")),TH!D196,""),"")</f>
        <v/>
      </c>
      <c r="B196" s="36">
        <f t="shared" si="13"/>
        <v>5</v>
      </c>
      <c r="C196" s="191">
        <f t="shared" si="15"/>
        <v>40687</v>
      </c>
      <c r="D196" s="720" t="s">
        <v>1098</v>
      </c>
      <c r="E196" s="184">
        <v>40687</v>
      </c>
      <c r="F196" s="189" t="s">
        <v>385</v>
      </c>
      <c r="G196" s="616"/>
      <c r="H196" s="628" t="s">
        <v>1092</v>
      </c>
      <c r="I196" s="256">
        <v>245</v>
      </c>
      <c r="J196" s="256">
        <v>6124</v>
      </c>
      <c r="K196" s="614">
        <f t="shared" ref="K196:K204" si="18">ROUND(I196*J196,0)</f>
        <v>1500380</v>
      </c>
      <c r="L196" s="39" t="s">
        <v>157</v>
      </c>
      <c r="M196" s="724" t="s">
        <v>151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>154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94"/>
      <c r="AB196" s="198"/>
      <c r="AC196" s="198"/>
      <c r="AD196" s="198"/>
    </row>
    <row r="197" spans="1:30" s="831" customFormat="1" ht="15.75" customHeight="1">
      <c r="A197" s="204" t="str">
        <f>IF(B197&lt;&gt;"",IF(AND(B197&gt;=_TM1,B197&lt;=_TM2,OR(TH!L197="1111",TH!M197="1111")),TH!D197,""),"")</f>
        <v/>
      </c>
      <c r="B197" s="36">
        <f t="shared" si="13"/>
        <v>5</v>
      </c>
      <c r="C197" s="191">
        <f t="shared" si="15"/>
        <v>40687</v>
      </c>
      <c r="D197" s="720" t="s">
        <v>1098</v>
      </c>
      <c r="E197" s="184">
        <v>40687</v>
      </c>
      <c r="F197" s="189" t="s">
        <v>491</v>
      </c>
      <c r="G197" s="498"/>
      <c r="H197" s="628" t="s">
        <v>1092</v>
      </c>
      <c r="I197" s="256">
        <v>431</v>
      </c>
      <c r="J197" s="256">
        <v>22554</v>
      </c>
      <c r="K197" s="614">
        <f t="shared" si="18"/>
        <v>9720774</v>
      </c>
      <c r="L197" s="39" t="s">
        <v>157</v>
      </c>
      <c r="M197" s="724" t="s">
        <v>151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>154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94"/>
      <c r="AB197" s="198"/>
      <c r="AC197" s="198"/>
      <c r="AD197" s="198"/>
    </row>
    <row r="198" spans="1:30" s="831" customFormat="1" ht="15.75" customHeight="1">
      <c r="A198" s="204" t="str">
        <f>IF(B198&lt;&gt;"",IF(AND(B198&gt;=_TM1,B198&lt;=_TM2,OR(TH!L198="1111",TH!M198="1111")),TH!D198,""),"")</f>
        <v/>
      </c>
      <c r="B198" s="36">
        <f t="shared" si="13"/>
        <v>5</v>
      </c>
      <c r="C198" s="191">
        <f t="shared" si="15"/>
        <v>40687</v>
      </c>
      <c r="D198" s="720" t="s">
        <v>1098</v>
      </c>
      <c r="E198" s="184">
        <v>40687</v>
      </c>
      <c r="F198" s="189" t="s">
        <v>509</v>
      </c>
      <c r="G198" s="498"/>
      <c r="H198" s="628" t="s">
        <v>1092</v>
      </c>
      <c r="I198" s="256">
        <v>22</v>
      </c>
      <c r="J198" s="256">
        <v>14784</v>
      </c>
      <c r="K198" s="614">
        <f t="shared" si="18"/>
        <v>325248</v>
      </c>
      <c r="L198" s="39" t="s">
        <v>157</v>
      </c>
      <c r="M198" s="724" t="s">
        <v>151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>154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94"/>
      <c r="AB198" s="198"/>
      <c r="AC198" s="198"/>
      <c r="AD198" s="198"/>
    </row>
    <row r="199" spans="1:30" s="831" customFormat="1" ht="15.75" customHeight="1">
      <c r="A199" s="204" t="str">
        <f>IF(B199&lt;&gt;"",IF(AND(B199&gt;=_TM1,B199&lt;=_TM2,OR(TH!L199="1111",TH!M199="1111")),TH!D199,""),"")</f>
        <v/>
      </c>
      <c r="B199" s="36">
        <f t="shared" si="13"/>
        <v>5</v>
      </c>
      <c r="C199" s="191">
        <f t="shared" si="15"/>
        <v>40687</v>
      </c>
      <c r="D199" s="720" t="s">
        <v>1098</v>
      </c>
      <c r="E199" s="184">
        <v>40687</v>
      </c>
      <c r="F199" s="189" t="s">
        <v>509</v>
      </c>
      <c r="G199" s="616"/>
      <c r="H199" s="628" t="s">
        <v>1092</v>
      </c>
      <c r="I199" s="256">
        <v>4</v>
      </c>
      <c r="J199" s="256">
        <v>14784</v>
      </c>
      <c r="K199" s="614">
        <f t="shared" si="18"/>
        <v>59136</v>
      </c>
      <c r="L199" s="39" t="s">
        <v>157</v>
      </c>
      <c r="M199" s="724" t="s">
        <v>151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>154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94"/>
      <c r="AB199" s="198"/>
      <c r="AC199" s="198"/>
      <c r="AD199" s="198"/>
    </row>
    <row r="200" spans="1:30" s="831" customFormat="1" ht="15.75" customHeight="1">
      <c r="A200" s="204" t="str">
        <f>IF(B200&lt;&gt;"",IF(AND(B200&gt;=_TM1,B200&lt;=_TM2,OR(TH!L200="1111",TH!M200="1111")),TH!D200,""),"")</f>
        <v/>
      </c>
      <c r="B200" s="36">
        <f t="shared" si="13"/>
        <v>5</v>
      </c>
      <c r="C200" s="191">
        <f t="shared" ref="C200:C231" si="19">E200</f>
        <v>40687</v>
      </c>
      <c r="D200" s="720" t="s">
        <v>1098</v>
      </c>
      <c r="E200" s="184">
        <v>40687</v>
      </c>
      <c r="F200" s="189" t="s">
        <v>501</v>
      </c>
      <c r="G200" s="616"/>
      <c r="H200" s="628" t="s">
        <v>1092</v>
      </c>
      <c r="I200" s="256">
        <v>2</v>
      </c>
      <c r="J200" s="256">
        <v>13498</v>
      </c>
      <c r="K200" s="614">
        <f t="shared" si="18"/>
        <v>26996</v>
      </c>
      <c r="L200" s="39" t="s">
        <v>157</v>
      </c>
      <c r="M200" s="724" t="s">
        <v>151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154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94"/>
      <c r="AB200" s="198"/>
      <c r="AC200" s="198"/>
      <c r="AD200" s="198"/>
    </row>
    <row r="201" spans="1:30" s="831" customFormat="1" ht="15.75" customHeight="1">
      <c r="A201" s="204" t="str">
        <f>IF(B201&lt;&gt;"",IF(AND(B201&gt;=_TM1,B201&lt;=_TM2,OR(TH!L201="1111",TH!M201="1111")),TH!D201,""),"")</f>
        <v/>
      </c>
      <c r="B201" s="36">
        <f t="shared" si="13"/>
        <v>5</v>
      </c>
      <c r="C201" s="191">
        <f t="shared" si="19"/>
        <v>40687</v>
      </c>
      <c r="D201" s="720" t="s">
        <v>1098</v>
      </c>
      <c r="E201" s="184">
        <v>40687</v>
      </c>
      <c r="F201" s="189" t="s">
        <v>501</v>
      </c>
      <c r="G201" s="616"/>
      <c r="H201" s="628" t="s">
        <v>1092</v>
      </c>
      <c r="I201" s="256">
        <v>3</v>
      </c>
      <c r="J201" s="256">
        <v>13498</v>
      </c>
      <c r="K201" s="614">
        <f t="shared" si="18"/>
        <v>40494</v>
      </c>
      <c r="L201" s="39" t="s">
        <v>157</v>
      </c>
      <c r="M201" s="724" t="s">
        <v>151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>154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94"/>
      <c r="AB201" s="198"/>
      <c r="AC201" s="198"/>
      <c r="AD201" s="198"/>
    </row>
    <row r="202" spans="1:30" s="831" customFormat="1" ht="15.75" customHeight="1">
      <c r="A202" s="204" t="str">
        <f>IF(B202&lt;&gt;"",IF(AND(B202&gt;=_TM1,B202&lt;=_TM2,OR(TH!L202="1111",TH!M202="1111")),TH!D202,""),"")</f>
        <v/>
      </c>
      <c r="B202" s="36">
        <f t="shared" si="13"/>
        <v>5</v>
      </c>
      <c r="C202" s="191">
        <f t="shared" si="19"/>
        <v>40687</v>
      </c>
      <c r="D202" s="720" t="s">
        <v>1098</v>
      </c>
      <c r="E202" s="184">
        <v>40687</v>
      </c>
      <c r="F202" s="189" t="s">
        <v>501</v>
      </c>
      <c r="G202" s="616"/>
      <c r="H202" s="628" t="s">
        <v>1092</v>
      </c>
      <c r="I202" s="256">
        <v>1</v>
      </c>
      <c r="J202" s="256">
        <v>13498</v>
      </c>
      <c r="K202" s="614">
        <f t="shared" si="18"/>
        <v>13498</v>
      </c>
      <c r="L202" s="39" t="s">
        <v>157</v>
      </c>
      <c r="M202" s="724" t="s">
        <v>151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>154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94"/>
      <c r="AB202" s="198"/>
      <c r="AC202" s="198"/>
      <c r="AD202" s="198"/>
    </row>
    <row r="203" spans="1:30" s="831" customFormat="1" ht="15.75" customHeight="1">
      <c r="A203" s="204" t="str">
        <f>IF(B203&lt;&gt;"",IF(AND(B203&gt;=_TM1,B203&lt;=_TM2,OR(TH!L203="1111",TH!M203="1111")),TH!D203,""),"")</f>
        <v/>
      </c>
      <c r="B203" s="36">
        <f t="shared" si="13"/>
        <v>5</v>
      </c>
      <c r="C203" s="191">
        <f t="shared" si="19"/>
        <v>40687</v>
      </c>
      <c r="D203" s="720" t="s">
        <v>1098</v>
      </c>
      <c r="E203" s="184">
        <v>40687</v>
      </c>
      <c r="F203" s="189" t="s">
        <v>517</v>
      </c>
      <c r="G203" s="616"/>
      <c r="H203" s="628" t="s">
        <v>1092</v>
      </c>
      <c r="I203" s="256">
        <v>5</v>
      </c>
      <c r="J203" s="256">
        <v>8013</v>
      </c>
      <c r="K203" s="614">
        <f t="shared" si="18"/>
        <v>40065</v>
      </c>
      <c r="L203" s="39" t="s">
        <v>157</v>
      </c>
      <c r="M203" s="724" t="s">
        <v>151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>154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94"/>
      <c r="AB203" s="198"/>
      <c r="AC203" s="198"/>
      <c r="AD203" s="198"/>
    </row>
    <row r="204" spans="1:30" s="831" customFormat="1" ht="15.75" customHeight="1">
      <c r="A204" s="204" t="str">
        <f>IF(B204&lt;&gt;"",IF(AND(B204&gt;=_TM1,B204&lt;=_TM2,OR(TH!L204="1111",TH!M204="1111")),TH!D204,""),"")</f>
        <v/>
      </c>
      <c r="B204" s="36">
        <f t="shared" si="13"/>
        <v>5</v>
      </c>
      <c r="C204" s="191">
        <f t="shared" si="19"/>
        <v>40687</v>
      </c>
      <c r="D204" s="720" t="s">
        <v>1098</v>
      </c>
      <c r="E204" s="184">
        <v>40687</v>
      </c>
      <c r="F204" s="189" t="s">
        <v>514</v>
      </c>
      <c r="G204" s="498"/>
      <c r="H204" s="628" t="s">
        <v>1092</v>
      </c>
      <c r="I204" s="256">
        <v>346</v>
      </c>
      <c r="J204" s="256">
        <v>15246</v>
      </c>
      <c r="K204" s="614">
        <f t="shared" si="18"/>
        <v>5275116</v>
      </c>
      <c r="L204" s="39" t="s">
        <v>157</v>
      </c>
      <c r="M204" s="724" t="s">
        <v>151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>154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94"/>
      <c r="AB204" s="198"/>
      <c r="AC204" s="198"/>
      <c r="AD204" s="198"/>
    </row>
    <row r="205" spans="1:30" s="831" customFormat="1" ht="15.75" customHeight="1">
      <c r="A205" s="204" t="str">
        <f>IF(B205&lt;&gt;"",IF(AND(B205&gt;=_TM1,B205&lt;=_TM2,OR(TH!L205="1111",TH!M205="1111")),TH!D205,""),"")</f>
        <v/>
      </c>
      <c r="B205" s="36">
        <f t="shared" si="13"/>
        <v>5</v>
      </c>
      <c r="C205" s="184">
        <f t="shared" si="19"/>
        <v>40688</v>
      </c>
      <c r="D205" s="184" t="s">
        <v>333</v>
      </c>
      <c r="E205" s="184">
        <v>40688</v>
      </c>
      <c r="F205" s="189" t="s">
        <v>364</v>
      </c>
      <c r="G205" s="616" t="s">
        <v>330</v>
      </c>
      <c r="H205" s="44"/>
      <c r="I205" s="256"/>
      <c r="J205" s="256"/>
      <c r="K205" s="614">
        <v>278305</v>
      </c>
      <c r="L205" s="615" t="s">
        <v>23</v>
      </c>
      <c r="M205" s="615" t="s">
        <v>39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94"/>
      <c r="AB205" s="606"/>
      <c r="AC205" s="606"/>
      <c r="AD205" s="211"/>
    </row>
    <row r="206" spans="1:30" s="831" customFormat="1" ht="15.75" customHeight="1">
      <c r="A206" s="204" t="str">
        <f>IF(B206&lt;&gt;"",IF(AND(B206&gt;=_TM1,B206&lt;=_TM2,OR(TH!L206="1111",TH!M206="1111")),TH!D206,""),"")</f>
        <v/>
      </c>
      <c r="B206" s="36">
        <f t="shared" si="13"/>
        <v>5</v>
      </c>
      <c r="C206" s="37">
        <f t="shared" si="19"/>
        <v>40688</v>
      </c>
      <c r="D206" s="184" t="s">
        <v>707</v>
      </c>
      <c r="E206" s="37">
        <v>40688</v>
      </c>
      <c r="F206" s="189" t="s">
        <v>514</v>
      </c>
      <c r="G206" s="497" t="s">
        <v>513</v>
      </c>
      <c r="H206" s="7" t="s">
        <v>499</v>
      </c>
      <c r="I206" s="256">
        <v>346</v>
      </c>
      <c r="J206" s="259">
        <v>15246</v>
      </c>
      <c r="K206" s="614">
        <f>ROUND(I206*J206,0)</f>
        <v>5275116</v>
      </c>
      <c r="L206" s="39" t="s">
        <v>151</v>
      </c>
      <c r="M206" s="615" t="s">
        <v>8</v>
      </c>
      <c r="N206" s="52" t="str">
        <f>IF(AND('331-CT'!$E$7=TH!H206,OR(L206="331",M206="331")),"331",IF(AND(OR(L206="131",M206="131"),H206='131-CT'!$E$7),"131",""))</f>
        <v>331</v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94"/>
      <c r="AB206" s="606"/>
      <c r="AC206" s="606"/>
      <c r="AD206" s="606"/>
    </row>
    <row r="207" spans="1:30" s="831" customFormat="1" ht="15.75" customHeight="1">
      <c r="A207" s="204" t="str">
        <f>IF(B207&lt;&gt;"",IF(AND(B207&gt;=_TM1,B207&lt;=_TM2,OR(TH!L207="1111",TH!M207="1111")),TH!D207,""),"")</f>
        <v/>
      </c>
      <c r="B207" s="36">
        <f t="shared" si="13"/>
        <v>5</v>
      </c>
      <c r="C207" s="37">
        <f t="shared" si="19"/>
        <v>40688</v>
      </c>
      <c r="D207" s="184" t="s">
        <v>707</v>
      </c>
      <c r="E207" s="37">
        <v>40688</v>
      </c>
      <c r="F207" s="189" t="s">
        <v>490</v>
      </c>
      <c r="G207" s="497" t="s">
        <v>513</v>
      </c>
      <c r="H207" s="7" t="s">
        <v>499</v>
      </c>
      <c r="I207" s="256">
        <v>643</v>
      </c>
      <c r="J207" s="256">
        <v>17427</v>
      </c>
      <c r="K207" s="614">
        <f>ROUND(I207*J207,0)</f>
        <v>11205561</v>
      </c>
      <c r="L207" s="39" t="s">
        <v>151</v>
      </c>
      <c r="M207" s="615" t="s">
        <v>8</v>
      </c>
      <c r="N207" s="52" t="str">
        <f>IF(AND('331-CT'!$E$7=TH!H207,OR(L207="331",M207="331")),"331",IF(AND(OR(L207="131",M207="131"),H207='131-CT'!$E$7),"131",""))</f>
        <v>331</v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94"/>
      <c r="AB207" s="211"/>
      <c r="AC207" s="211"/>
      <c r="AD207" s="606"/>
    </row>
    <row r="208" spans="1:30" s="831" customFormat="1" ht="15.75" customHeight="1">
      <c r="A208" s="204" t="str">
        <f>IF(B208&lt;&gt;"",IF(AND(B208&gt;=_TM1,B208&lt;=_TM2,OR(TH!L208="1111",TH!M208="1111")),TH!D208,""),"")</f>
        <v/>
      </c>
      <c r="B208" s="36">
        <f t="shared" si="13"/>
        <v>5</v>
      </c>
      <c r="C208" s="37">
        <f t="shared" si="19"/>
        <v>40688</v>
      </c>
      <c r="D208" s="184" t="s">
        <v>707</v>
      </c>
      <c r="E208" s="37">
        <v>40688</v>
      </c>
      <c r="F208" s="189" t="s">
        <v>515</v>
      </c>
      <c r="G208" s="497" t="s">
        <v>513</v>
      </c>
      <c r="H208" s="7" t="s">
        <v>499</v>
      </c>
      <c r="I208" s="256">
        <v>110</v>
      </c>
      <c r="J208" s="256">
        <v>19316</v>
      </c>
      <c r="K208" s="614">
        <f>ROUND(I208*J208,0)</f>
        <v>2124760</v>
      </c>
      <c r="L208" s="39" t="s">
        <v>151</v>
      </c>
      <c r="M208" s="615" t="s">
        <v>8</v>
      </c>
      <c r="N208" s="52" t="str">
        <f>IF(AND('331-CT'!$E$7=TH!H208,OR(L208="331",M208="331")),"331",IF(AND(OR(L208="131",M208="131"),H208='131-CT'!$E$7),"131",""))</f>
        <v>331</v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94"/>
      <c r="AB208" s="606"/>
      <c r="AC208" s="606"/>
      <c r="AD208" s="606"/>
    </row>
    <row r="209" spans="1:30" s="831" customFormat="1" ht="15.75" customHeight="1">
      <c r="A209" s="204" t="str">
        <f>IF(B209&lt;&gt;"",IF(AND(B209&gt;=_TM1,B209&lt;=_TM2,OR(TH!L209="1111",TH!M209="1111")),TH!D209,""),"")</f>
        <v/>
      </c>
      <c r="B209" s="36">
        <f t="shared" si="13"/>
        <v>5</v>
      </c>
      <c r="C209" s="37">
        <f t="shared" si="19"/>
        <v>40688</v>
      </c>
      <c r="D209" s="184" t="s">
        <v>707</v>
      </c>
      <c r="E209" s="37">
        <v>40688</v>
      </c>
      <c r="F209" s="189" t="s">
        <v>497</v>
      </c>
      <c r="G209" s="497" t="s">
        <v>513</v>
      </c>
      <c r="H209" s="7" t="s">
        <v>499</v>
      </c>
      <c r="I209" s="256">
        <v>293</v>
      </c>
      <c r="J209" s="256">
        <v>11587</v>
      </c>
      <c r="K209" s="614">
        <f>ROUND(I209*J209,0)</f>
        <v>3394991</v>
      </c>
      <c r="L209" s="39" t="s">
        <v>151</v>
      </c>
      <c r="M209" s="615" t="s">
        <v>8</v>
      </c>
      <c r="N209" s="52" t="str">
        <f>IF(AND('331-CT'!$E$7=TH!H209,OR(L209="331",M209="331")),"331",IF(AND(OR(L209="131",M209="131"),H209='131-CT'!$E$7),"131",""))</f>
        <v>331</v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94"/>
      <c r="AB209" s="606"/>
      <c r="AC209" s="606"/>
      <c r="AD209" s="606"/>
    </row>
    <row r="210" spans="1:30" s="831" customFormat="1" ht="15.75" customHeight="1">
      <c r="A210" s="204" t="str">
        <f>IF(B210&lt;&gt;"",IF(AND(B210&gt;=_TM1,B210&lt;=_TM2,OR(TH!L210="1111",TH!M210="1111")),TH!D210,""),"")</f>
        <v/>
      </c>
      <c r="B210" s="36">
        <f t="shared" si="13"/>
        <v>5</v>
      </c>
      <c r="C210" s="37">
        <f t="shared" si="19"/>
        <v>40688</v>
      </c>
      <c r="D210" s="184" t="s">
        <v>707</v>
      </c>
      <c r="E210" s="37">
        <v>40688</v>
      </c>
      <c r="F210" s="189" t="s">
        <v>380</v>
      </c>
      <c r="G210" s="497" t="s">
        <v>513</v>
      </c>
      <c r="H210" s="7" t="s">
        <v>499</v>
      </c>
      <c r="I210" s="256"/>
      <c r="J210" s="256"/>
      <c r="K210" s="38">
        <v>2200043</v>
      </c>
      <c r="L210" s="39" t="s">
        <v>9</v>
      </c>
      <c r="M210" s="615" t="s">
        <v>8</v>
      </c>
      <c r="N210" s="52" t="str">
        <f>IF(AND('331-CT'!$E$7=TH!H210,OR(L210="331",M210="331")),"331",IF(AND(OR(L210="131",M210="131"),H210='131-CT'!$E$7),"131",""))</f>
        <v>331</v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94"/>
      <c r="AB210" s="606">
        <v>5</v>
      </c>
      <c r="AC210" s="211"/>
      <c r="AD210" s="606"/>
    </row>
    <row r="211" spans="1:30" s="831" customFormat="1" ht="15.75" customHeight="1">
      <c r="A211" s="204" t="str">
        <f>IF(B211&lt;&gt;"",IF(AND(B211&gt;=_TM1,B211&lt;=_TM2,OR(TH!L211="1111",TH!M211="1111")),TH!D211,""),"")</f>
        <v/>
      </c>
      <c r="B211" s="36">
        <f t="shared" si="13"/>
        <v>5</v>
      </c>
      <c r="C211" s="37">
        <f t="shared" si="19"/>
        <v>40688</v>
      </c>
      <c r="D211" s="184" t="s">
        <v>708</v>
      </c>
      <c r="E211" s="37">
        <v>40688</v>
      </c>
      <c r="F211" s="189" t="s">
        <v>517</v>
      </c>
      <c r="G211" s="497" t="s">
        <v>516</v>
      </c>
      <c r="H211" s="7" t="s">
        <v>499</v>
      </c>
      <c r="I211" s="256">
        <v>490</v>
      </c>
      <c r="J211" s="256">
        <v>8013</v>
      </c>
      <c r="K211" s="614">
        <f t="shared" ref="K211:K217" si="20">ROUND(I211*J211,0)</f>
        <v>3926370</v>
      </c>
      <c r="L211" s="39" t="s">
        <v>151</v>
      </c>
      <c r="M211" s="615" t="s">
        <v>8</v>
      </c>
      <c r="N211" s="52" t="str">
        <f>IF(AND('331-CT'!$E$7=TH!H211,OR(L211="331",M211="331")),"331",IF(AND(OR(L211="131",M211="131"),H211='131-CT'!$E$7),"131",""))</f>
        <v>331</v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94"/>
      <c r="AB211" s="606"/>
      <c r="AC211" s="606"/>
      <c r="AD211" s="606"/>
    </row>
    <row r="212" spans="1:30" s="831" customFormat="1" ht="15.75" customHeight="1">
      <c r="A212" s="204" t="str">
        <f>IF(B212&lt;&gt;"",IF(AND(B212&gt;=_TM1,B212&lt;=_TM2,OR(TH!L212="1111",TH!M212="1111")),TH!D212,""),"")</f>
        <v/>
      </c>
      <c r="B212" s="36">
        <f t="shared" si="13"/>
        <v>5</v>
      </c>
      <c r="C212" s="37">
        <f t="shared" si="19"/>
        <v>40688</v>
      </c>
      <c r="D212" s="184" t="s">
        <v>708</v>
      </c>
      <c r="E212" s="37">
        <v>40688</v>
      </c>
      <c r="F212" s="189" t="s">
        <v>518</v>
      </c>
      <c r="G212" s="497" t="s">
        <v>516</v>
      </c>
      <c r="H212" s="7" t="s">
        <v>499</v>
      </c>
      <c r="I212" s="256">
        <v>840</v>
      </c>
      <c r="J212" s="256">
        <v>10930</v>
      </c>
      <c r="K212" s="614">
        <f t="shared" si="20"/>
        <v>9181200</v>
      </c>
      <c r="L212" s="39" t="s">
        <v>151</v>
      </c>
      <c r="M212" s="615" t="s">
        <v>8</v>
      </c>
      <c r="N212" s="52" t="str">
        <f>IF(AND('331-CT'!$E$7=TH!H212,OR(L212="331",M212="331")),"331",IF(AND(OR(L212="131",M212="131"),H212='131-CT'!$E$7),"131",""))</f>
        <v>331</v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94"/>
      <c r="AB212" s="606"/>
      <c r="AC212" s="606"/>
      <c r="AD212" s="606"/>
    </row>
    <row r="213" spans="1:30" s="831" customFormat="1" ht="15.75" customHeight="1">
      <c r="A213" s="204" t="str">
        <f>IF(B213&lt;&gt;"",IF(AND(B213&gt;=_TM1,B213&lt;=_TM2,OR(TH!L213="1111",TH!M213="1111")),TH!D213,""),"")</f>
        <v/>
      </c>
      <c r="B213" s="36">
        <f t="shared" si="13"/>
        <v>5</v>
      </c>
      <c r="C213" s="37">
        <f t="shared" si="19"/>
        <v>40688</v>
      </c>
      <c r="D213" s="184" t="s">
        <v>708</v>
      </c>
      <c r="E213" s="37">
        <v>40688</v>
      </c>
      <c r="F213" s="189" t="s">
        <v>519</v>
      </c>
      <c r="G213" s="497" t="s">
        <v>516</v>
      </c>
      <c r="H213" s="7" t="s">
        <v>499</v>
      </c>
      <c r="I213" s="256">
        <v>745</v>
      </c>
      <c r="J213" s="256">
        <v>10603</v>
      </c>
      <c r="K213" s="614">
        <f t="shared" si="20"/>
        <v>7899235</v>
      </c>
      <c r="L213" s="39" t="s">
        <v>151</v>
      </c>
      <c r="M213" s="615" t="s">
        <v>8</v>
      </c>
      <c r="N213" s="52" t="str">
        <f>IF(AND('331-CT'!$E$7=TH!H213,OR(L213="331",M213="331")),"331",IF(AND(OR(L213="131",M213="131"),H213='131-CT'!$E$7),"131",""))</f>
        <v>331</v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94"/>
      <c r="AB213" s="606"/>
      <c r="AC213" s="606"/>
      <c r="AD213" s="606"/>
    </row>
    <row r="214" spans="1:30" s="831" customFormat="1" ht="15.75" customHeight="1">
      <c r="A214" s="204" t="str">
        <f>IF(B214&lt;&gt;"",IF(AND(B214&gt;=_TM1,B214&lt;=_TM2,OR(TH!L214="1111",TH!M214="1111")),TH!D214,""),"")</f>
        <v/>
      </c>
      <c r="B214" s="36">
        <f t="shared" si="13"/>
        <v>5</v>
      </c>
      <c r="C214" s="37">
        <f t="shared" si="19"/>
        <v>40688</v>
      </c>
      <c r="D214" s="184" t="s">
        <v>708</v>
      </c>
      <c r="E214" s="37">
        <v>40688</v>
      </c>
      <c r="F214" s="189" t="s">
        <v>520</v>
      </c>
      <c r="G214" s="497" t="s">
        <v>516</v>
      </c>
      <c r="H214" s="7" t="s">
        <v>499</v>
      </c>
      <c r="I214" s="256">
        <v>210</v>
      </c>
      <c r="J214" s="256">
        <v>6400</v>
      </c>
      <c r="K214" s="614">
        <f t="shared" si="20"/>
        <v>1344000</v>
      </c>
      <c r="L214" s="39" t="s">
        <v>151</v>
      </c>
      <c r="M214" s="615" t="s">
        <v>8</v>
      </c>
      <c r="N214" s="52" t="str">
        <f>IF(AND('331-CT'!$E$7=TH!H214,OR(L214="331",M214="331")),"331",IF(AND(OR(L214="131",M214="131"),H214='131-CT'!$E$7),"131",""))</f>
        <v>331</v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94"/>
      <c r="AB214" s="606"/>
      <c r="AC214" s="606"/>
      <c r="AD214" s="606"/>
    </row>
    <row r="215" spans="1:30" s="831" customFormat="1" ht="15.75" customHeight="1">
      <c r="A215" s="204" t="str">
        <f>IF(B215&lt;&gt;"",IF(AND(B215&gt;=_TM1,B215&lt;=_TM2,OR(TH!L215="1111",TH!M215="1111")),TH!D215,""),"")</f>
        <v/>
      </c>
      <c r="B215" s="36">
        <f t="shared" si="13"/>
        <v>5</v>
      </c>
      <c r="C215" s="37">
        <f t="shared" si="19"/>
        <v>40688</v>
      </c>
      <c r="D215" s="184" t="s">
        <v>708</v>
      </c>
      <c r="E215" s="37">
        <v>40688</v>
      </c>
      <c r="F215" s="189" t="s">
        <v>521</v>
      </c>
      <c r="G215" s="497" t="s">
        <v>516</v>
      </c>
      <c r="H215" s="7" t="s">
        <v>499</v>
      </c>
      <c r="I215" s="258">
        <v>58</v>
      </c>
      <c r="J215" s="258">
        <v>26880</v>
      </c>
      <c r="K215" s="614">
        <f t="shared" si="20"/>
        <v>1559040</v>
      </c>
      <c r="L215" s="39" t="s">
        <v>151</v>
      </c>
      <c r="M215" s="615" t="s">
        <v>8</v>
      </c>
      <c r="N215" s="52" t="str">
        <f>IF(AND('331-CT'!$E$7=TH!H215,OR(L215="331",M215="331")),"331",IF(AND(OR(L215="131",M215="131"),H215='131-CT'!$E$7),"131",""))</f>
        <v>331</v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94"/>
      <c r="AB215" s="211"/>
      <c r="AC215" s="211"/>
      <c r="AD215" s="606"/>
    </row>
    <row r="216" spans="1:30" s="831" customFormat="1" ht="15.75" customHeight="1">
      <c r="A216" s="204" t="str">
        <f>IF(B216&lt;&gt;"",IF(AND(B216&gt;=_TM1,B216&lt;=_TM2,OR(TH!L216="1111",TH!M216="1111")),TH!D216,""),"")</f>
        <v/>
      </c>
      <c r="B216" s="36">
        <f t="shared" si="13"/>
        <v>5</v>
      </c>
      <c r="C216" s="37">
        <f t="shared" si="19"/>
        <v>40688</v>
      </c>
      <c r="D216" s="184" t="s">
        <v>708</v>
      </c>
      <c r="E216" s="37">
        <v>40688</v>
      </c>
      <c r="F216" s="189" t="s">
        <v>522</v>
      </c>
      <c r="G216" s="497" t="s">
        <v>516</v>
      </c>
      <c r="H216" s="7" t="s">
        <v>499</v>
      </c>
      <c r="I216" s="258">
        <v>205</v>
      </c>
      <c r="J216" s="258">
        <v>11373</v>
      </c>
      <c r="K216" s="614">
        <f t="shared" si="20"/>
        <v>2331465</v>
      </c>
      <c r="L216" s="39" t="s">
        <v>151</v>
      </c>
      <c r="M216" s="615" t="s">
        <v>8</v>
      </c>
      <c r="N216" s="52" t="str">
        <f>IF(AND('331-CT'!$E$7=TH!H216,OR(L216="331",M216="331")),"331",IF(AND(OR(L216="131",M216="131"),H216='131-CT'!$E$7),"131",""))</f>
        <v>331</v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94"/>
      <c r="AB216" s="606"/>
      <c r="AC216" s="606"/>
      <c r="AD216" s="606"/>
    </row>
    <row r="217" spans="1:30" s="831" customFormat="1" ht="15.75" customHeight="1">
      <c r="A217" s="204" t="str">
        <f>IF(B217&lt;&gt;"",IF(AND(B217&gt;=_TM1,B217&lt;=_TM2,OR(TH!L217="1111",TH!M217="1111")),TH!D217,""),"")</f>
        <v/>
      </c>
      <c r="B217" s="36">
        <f t="shared" ref="B217:B280" si="21">IF(C217&lt;&gt;"",MONTH(C217),"")</f>
        <v>5</v>
      </c>
      <c r="C217" s="37">
        <f t="shared" si="19"/>
        <v>40688</v>
      </c>
      <c r="D217" s="184" t="s">
        <v>708</v>
      </c>
      <c r="E217" s="37">
        <v>40688</v>
      </c>
      <c r="F217" s="189" t="s">
        <v>523</v>
      </c>
      <c r="G217" s="497" t="s">
        <v>516</v>
      </c>
      <c r="H217" s="7" t="s">
        <v>499</v>
      </c>
      <c r="I217" s="256">
        <v>295</v>
      </c>
      <c r="J217" s="256">
        <v>7268</v>
      </c>
      <c r="K217" s="614">
        <f t="shared" si="20"/>
        <v>2144060</v>
      </c>
      <c r="L217" s="39" t="s">
        <v>151</v>
      </c>
      <c r="M217" s="615" t="s">
        <v>8</v>
      </c>
      <c r="N217" s="52" t="str">
        <f>IF(AND('331-CT'!$E$7=TH!H217,OR(L217="331",M217="331")),"331",IF(AND(OR(L217="131",M217="131"),H217='131-CT'!$E$7),"131",""))</f>
        <v>331</v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94"/>
      <c r="AB217" s="211"/>
      <c r="AC217" s="211"/>
      <c r="AD217" s="606"/>
    </row>
    <row r="218" spans="1:30" s="831" customFormat="1" ht="15.75" customHeight="1">
      <c r="A218" s="204" t="str">
        <f>IF(B218&lt;&gt;"",IF(AND(B218&gt;=_TM1,B218&lt;=_TM2,OR(TH!L218="1111",TH!M218="1111")),TH!D218,""),"")</f>
        <v/>
      </c>
      <c r="B218" s="36">
        <f t="shared" si="21"/>
        <v>5</v>
      </c>
      <c r="C218" s="37">
        <f t="shared" si="19"/>
        <v>40688</v>
      </c>
      <c r="D218" s="184" t="s">
        <v>708</v>
      </c>
      <c r="E218" s="37">
        <v>40688</v>
      </c>
      <c r="F218" s="189" t="s">
        <v>380</v>
      </c>
      <c r="G218" s="497" t="s">
        <v>516</v>
      </c>
      <c r="H218" s="7" t="s">
        <v>499</v>
      </c>
      <c r="I218" s="256"/>
      <c r="J218" s="256"/>
      <c r="K218" s="38">
        <v>2838537</v>
      </c>
      <c r="L218" s="39" t="s">
        <v>9</v>
      </c>
      <c r="M218" s="615" t="s">
        <v>8</v>
      </c>
      <c r="N218" s="52" t="str">
        <f>IF(AND('331-CT'!$E$7=TH!H218,OR(L218="331",M218="331")),"331",IF(AND(OR(L218="131",M218="131"),H218='131-CT'!$E$7),"131",""))</f>
        <v>331</v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94"/>
      <c r="AB218" s="606">
        <v>5</v>
      </c>
      <c r="AC218" s="606"/>
      <c r="AD218" s="606"/>
    </row>
    <row r="219" spans="1:30" s="831" customFormat="1" ht="15.75" customHeight="1">
      <c r="A219" s="204" t="str">
        <f>IF(B219&lt;&gt;"",IF(AND(B219&gt;=_TM1,B219&lt;=_TM2,OR(TH!L219="1111",TH!M219="1111")),TH!D219,""),"")</f>
        <v/>
      </c>
      <c r="B219" s="36">
        <f t="shared" si="21"/>
        <v>5</v>
      </c>
      <c r="C219" s="191">
        <f t="shared" si="19"/>
        <v>40688</v>
      </c>
      <c r="D219" s="720" t="s">
        <v>1099</v>
      </c>
      <c r="E219" s="191">
        <v>40688</v>
      </c>
      <c r="F219" s="298" t="s">
        <v>387</v>
      </c>
      <c r="G219" s="498"/>
      <c r="H219" s="628" t="s">
        <v>1092</v>
      </c>
      <c r="I219" s="839">
        <v>239</v>
      </c>
      <c r="J219" s="256">
        <v>4449</v>
      </c>
      <c r="K219" s="614">
        <f t="shared" ref="K219:K227" si="22">ROUND(I219*J219,0)</f>
        <v>1063311</v>
      </c>
      <c r="L219" s="39" t="s">
        <v>157</v>
      </c>
      <c r="M219" s="724" t="s">
        <v>151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>154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>x</v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94"/>
      <c r="AB219" s="198"/>
      <c r="AC219" s="198"/>
      <c r="AD219" s="198"/>
    </row>
    <row r="220" spans="1:30" s="831" customFormat="1" ht="15.75" customHeight="1">
      <c r="A220" s="204" t="str">
        <f>IF(B220&lt;&gt;"",IF(AND(B220&gt;=_TM1,B220&lt;=_TM2,OR(TH!L220="1111",TH!M220="1111")),TH!D220,""),"")</f>
        <v/>
      </c>
      <c r="B220" s="36">
        <f t="shared" si="21"/>
        <v>5</v>
      </c>
      <c r="C220" s="191">
        <f t="shared" si="19"/>
        <v>40688</v>
      </c>
      <c r="D220" s="720" t="s">
        <v>1099</v>
      </c>
      <c r="E220" s="191">
        <v>40688</v>
      </c>
      <c r="F220" s="189" t="s">
        <v>387</v>
      </c>
      <c r="G220" s="498"/>
      <c r="H220" s="628" t="s">
        <v>1092</v>
      </c>
      <c r="I220" s="839">
        <v>51</v>
      </c>
      <c r="J220" s="256">
        <v>4449</v>
      </c>
      <c r="K220" s="614">
        <f t="shared" si="22"/>
        <v>226899</v>
      </c>
      <c r="L220" s="39" t="s">
        <v>157</v>
      </c>
      <c r="M220" s="724" t="s">
        <v>151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>154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>x</v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94"/>
      <c r="AB220" s="198"/>
      <c r="AC220" s="198"/>
      <c r="AD220" s="198"/>
    </row>
    <row r="221" spans="1:30" s="831" customFormat="1" ht="15.75" customHeight="1">
      <c r="A221" s="204" t="str">
        <f>IF(B221&lt;&gt;"",IF(AND(B221&gt;=_TM1,B221&lt;=_TM2,OR(TH!L221="1111",TH!M221="1111")),TH!D221,""),"")</f>
        <v/>
      </c>
      <c r="B221" s="36">
        <f t="shared" si="21"/>
        <v>5</v>
      </c>
      <c r="C221" s="191">
        <f t="shared" si="19"/>
        <v>40688</v>
      </c>
      <c r="D221" s="720" t="s">
        <v>1099</v>
      </c>
      <c r="E221" s="191">
        <v>40688</v>
      </c>
      <c r="F221" s="298" t="s">
        <v>481</v>
      </c>
      <c r="G221" s="498"/>
      <c r="H221" s="628" t="s">
        <v>1092</v>
      </c>
      <c r="I221" s="256">
        <v>12</v>
      </c>
      <c r="J221" s="256">
        <v>25200</v>
      </c>
      <c r="K221" s="614">
        <f t="shared" si="22"/>
        <v>302400</v>
      </c>
      <c r="L221" s="39" t="s">
        <v>157</v>
      </c>
      <c r="M221" s="724" t="s">
        <v>151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>154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94"/>
      <c r="AB221" s="198"/>
      <c r="AC221" s="198"/>
      <c r="AD221" s="198"/>
    </row>
    <row r="222" spans="1:30" s="831" customFormat="1" ht="15.75" customHeight="1">
      <c r="A222" s="204" t="str">
        <f>IF(B222&lt;&gt;"",IF(AND(B222&gt;=_TM1,B222&lt;=_TM2,OR(TH!L222="1111",TH!M222="1111")),TH!D222,""),"")</f>
        <v/>
      </c>
      <c r="B222" s="36">
        <f t="shared" si="21"/>
        <v>5</v>
      </c>
      <c r="C222" s="191">
        <f t="shared" si="19"/>
        <v>40688</v>
      </c>
      <c r="D222" s="720" t="s">
        <v>1099</v>
      </c>
      <c r="E222" s="191">
        <v>40688</v>
      </c>
      <c r="F222" s="189" t="s">
        <v>491</v>
      </c>
      <c r="G222" s="495"/>
      <c r="H222" s="628" t="s">
        <v>1092</v>
      </c>
      <c r="I222" s="258">
        <v>209</v>
      </c>
      <c r="J222" s="256">
        <v>22554</v>
      </c>
      <c r="K222" s="614">
        <f t="shared" si="22"/>
        <v>4713786</v>
      </c>
      <c r="L222" s="39" t="s">
        <v>157</v>
      </c>
      <c r="M222" s="724" t="s">
        <v>151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>154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94"/>
      <c r="AB222" s="198"/>
      <c r="AC222" s="198"/>
      <c r="AD222" s="198"/>
    </row>
    <row r="223" spans="1:30" s="831" customFormat="1" ht="15.75" customHeight="1">
      <c r="A223" s="204" t="str">
        <f>IF(B223&lt;&gt;"",IF(AND(B223&gt;=_TM1,B223&lt;=_TM2,OR(TH!L223="1111",TH!M223="1111")),TH!D223,""),"")</f>
        <v/>
      </c>
      <c r="B223" s="36">
        <f t="shared" si="21"/>
        <v>5</v>
      </c>
      <c r="C223" s="191">
        <f t="shared" si="19"/>
        <v>40688</v>
      </c>
      <c r="D223" s="720" t="s">
        <v>1099</v>
      </c>
      <c r="E223" s="191">
        <v>40688</v>
      </c>
      <c r="F223" s="189" t="s">
        <v>402</v>
      </c>
      <c r="G223" s="495"/>
      <c r="H223" s="628" t="s">
        <v>1092</v>
      </c>
      <c r="I223" s="258">
        <v>52</v>
      </c>
      <c r="J223" s="256">
        <v>24325</v>
      </c>
      <c r="K223" s="614">
        <f t="shared" si="22"/>
        <v>1264900</v>
      </c>
      <c r="L223" s="39" t="s">
        <v>157</v>
      </c>
      <c r="M223" s="724" t="s">
        <v>151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>154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94"/>
      <c r="AB223" s="198"/>
      <c r="AC223" s="198"/>
      <c r="AD223" s="198"/>
    </row>
    <row r="224" spans="1:30" s="831" customFormat="1" ht="15.75" customHeight="1">
      <c r="A224" s="204" t="str">
        <f>IF(B224&lt;&gt;"",IF(AND(B224&gt;=_TM1,B224&lt;=_TM2,OR(TH!L224="1111",TH!M224="1111")),TH!D224,""),"")</f>
        <v/>
      </c>
      <c r="B224" s="36">
        <f t="shared" si="21"/>
        <v>5</v>
      </c>
      <c r="C224" s="191">
        <f t="shared" si="19"/>
        <v>40688</v>
      </c>
      <c r="D224" s="720" t="s">
        <v>1099</v>
      </c>
      <c r="E224" s="191">
        <v>40688</v>
      </c>
      <c r="F224" s="189" t="s">
        <v>492</v>
      </c>
      <c r="G224" s="498"/>
      <c r="H224" s="628" t="s">
        <v>1092</v>
      </c>
      <c r="I224" s="256">
        <v>406</v>
      </c>
      <c r="J224" s="256">
        <v>23716</v>
      </c>
      <c r="K224" s="614">
        <f t="shared" si="22"/>
        <v>9628696</v>
      </c>
      <c r="L224" s="39" t="s">
        <v>157</v>
      </c>
      <c r="M224" s="724" t="s">
        <v>151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>154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94"/>
      <c r="AB224" s="198"/>
      <c r="AC224" s="198"/>
      <c r="AD224" s="198"/>
    </row>
    <row r="225" spans="1:30" s="831" customFormat="1" ht="15.75" customHeight="1">
      <c r="A225" s="204" t="str">
        <f>IF(B225&lt;&gt;"",IF(AND(B225&gt;=_TM1,B225&lt;=_TM2,OR(TH!L225="1111",TH!M225="1111")),TH!D225,""),"")</f>
        <v/>
      </c>
      <c r="B225" s="36">
        <f t="shared" si="21"/>
        <v>5</v>
      </c>
      <c r="C225" s="191">
        <f t="shared" si="19"/>
        <v>40688</v>
      </c>
      <c r="D225" s="720" t="s">
        <v>1099</v>
      </c>
      <c r="E225" s="191">
        <v>40688</v>
      </c>
      <c r="F225" s="298" t="s">
        <v>387</v>
      </c>
      <c r="G225" s="498"/>
      <c r="H225" s="628" t="s">
        <v>1092</v>
      </c>
      <c r="I225" s="839">
        <v>50</v>
      </c>
      <c r="J225" s="256">
        <v>4449</v>
      </c>
      <c r="K225" s="614">
        <f t="shared" si="22"/>
        <v>222450</v>
      </c>
      <c r="L225" s="39" t="s">
        <v>157</v>
      </c>
      <c r="M225" s="724" t="s">
        <v>151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>154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>x</v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94"/>
      <c r="AB225" s="198"/>
      <c r="AC225" s="198"/>
      <c r="AD225" s="198"/>
    </row>
    <row r="226" spans="1:30" s="831" customFormat="1" ht="15.75" customHeight="1">
      <c r="A226" s="204" t="str">
        <f>IF(B226&lt;&gt;"",IF(AND(B226&gt;=_TM1,B226&lt;=_TM2,OR(TH!L226="1111",TH!M226="1111")),TH!D226,""),"")</f>
        <v/>
      </c>
      <c r="B226" s="36">
        <f t="shared" si="21"/>
        <v>5</v>
      </c>
      <c r="C226" s="191">
        <f t="shared" si="19"/>
        <v>40688</v>
      </c>
      <c r="D226" s="720" t="s">
        <v>1099</v>
      </c>
      <c r="E226" s="191">
        <v>40688</v>
      </c>
      <c r="F226" s="189" t="s">
        <v>387</v>
      </c>
      <c r="G226" s="498"/>
      <c r="H226" s="628" t="s">
        <v>1092</v>
      </c>
      <c r="I226" s="864">
        <v>17</v>
      </c>
      <c r="J226" s="256">
        <v>4449</v>
      </c>
      <c r="K226" s="614">
        <f t="shared" si="22"/>
        <v>75633</v>
      </c>
      <c r="L226" s="39" t="s">
        <v>157</v>
      </c>
      <c r="M226" s="724" t="s">
        <v>151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>154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>x</v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94"/>
      <c r="AB226" s="198"/>
      <c r="AC226" s="198"/>
      <c r="AD226" s="198"/>
    </row>
    <row r="227" spans="1:30" s="831" customFormat="1" ht="15.75" customHeight="1">
      <c r="A227" s="204" t="str">
        <f>IF(B227&lt;&gt;"",IF(AND(B227&gt;=_TM1,B227&lt;=_TM2,OR(TH!L227="1111",TH!M227="1111")),TH!D227,""),"")</f>
        <v/>
      </c>
      <c r="B227" s="36">
        <f t="shared" si="21"/>
        <v>5</v>
      </c>
      <c r="C227" s="191">
        <f t="shared" si="19"/>
        <v>40688</v>
      </c>
      <c r="D227" s="720" t="s">
        <v>1099</v>
      </c>
      <c r="E227" s="191">
        <v>40688</v>
      </c>
      <c r="F227" s="189" t="s">
        <v>387</v>
      </c>
      <c r="G227" s="498"/>
      <c r="H227" s="628" t="s">
        <v>1092</v>
      </c>
      <c r="I227" s="839">
        <v>75</v>
      </c>
      <c r="J227" s="256">
        <v>4449</v>
      </c>
      <c r="K227" s="614">
        <f t="shared" si="22"/>
        <v>333675</v>
      </c>
      <c r="L227" s="39" t="s">
        <v>157</v>
      </c>
      <c r="M227" s="724" t="s">
        <v>151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>154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>x</v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94"/>
      <c r="AB227" s="198"/>
      <c r="AC227" s="198"/>
      <c r="AD227" s="198"/>
    </row>
    <row r="228" spans="1:30" s="831" customFormat="1" ht="15.75" customHeight="1">
      <c r="A228" s="204" t="str">
        <f>IF(B228&lt;&gt;"",IF(AND(B228&gt;=_TM1,B228&lt;=_TM2,OR(TH!L228="1111",TH!M228="1111")),TH!D228,""),"")</f>
        <v/>
      </c>
      <c r="B228" s="36">
        <f t="shared" si="21"/>
        <v>5</v>
      </c>
      <c r="C228" s="184">
        <f t="shared" si="19"/>
        <v>40689</v>
      </c>
      <c r="D228" s="184" t="s">
        <v>681</v>
      </c>
      <c r="E228" s="184">
        <v>40689</v>
      </c>
      <c r="F228" s="189" t="s">
        <v>362</v>
      </c>
      <c r="G228" s="616" t="s">
        <v>330</v>
      </c>
      <c r="H228" s="44" t="s">
        <v>363</v>
      </c>
      <c r="I228" s="256"/>
      <c r="J228" s="256"/>
      <c r="K228" s="614">
        <v>5000000</v>
      </c>
      <c r="L228" s="615" t="s">
        <v>23</v>
      </c>
      <c r="M228" s="615" t="s">
        <v>46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>x</v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94"/>
      <c r="AB228" s="606"/>
      <c r="AC228" s="606"/>
      <c r="AD228" s="606"/>
    </row>
    <row r="229" spans="1:30" s="831" customFormat="1" ht="15.75" customHeight="1">
      <c r="A229" s="204" t="str">
        <f>IF(B229&lt;&gt;"",IF(AND(B229&gt;=_TM1,B229&lt;=_TM2,OR(TH!L229="1111",TH!M229="1111")),TH!D229,""),"")</f>
        <v/>
      </c>
      <c r="B229" s="36">
        <f t="shared" si="21"/>
        <v>5</v>
      </c>
      <c r="C229" s="37">
        <f t="shared" si="19"/>
        <v>40689</v>
      </c>
      <c r="D229" s="184" t="s">
        <v>683</v>
      </c>
      <c r="E229" s="37">
        <v>40689</v>
      </c>
      <c r="F229" s="40" t="s">
        <v>465</v>
      </c>
      <c r="G229" s="495" t="s">
        <v>466</v>
      </c>
      <c r="H229" s="45" t="s">
        <v>467</v>
      </c>
      <c r="I229" s="256"/>
      <c r="J229" s="256"/>
      <c r="K229" s="38">
        <v>267000</v>
      </c>
      <c r="L229" s="39" t="s">
        <v>75</v>
      </c>
      <c r="M229" s="615" t="s">
        <v>46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>x</v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>642</v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94"/>
      <c r="AB229" s="211"/>
      <c r="AC229" s="211"/>
      <c r="AD229" s="211"/>
    </row>
    <row r="230" spans="1:30" s="831" customFormat="1" ht="15.75" customHeight="1">
      <c r="A230" s="204" t="str">
        <f>IF(B230&lt;&gt;"",IF(AND(B230&gt;=_TM1,B230&lt;=_TM2,OR(TH!L230="1111",TH!M230="1111")),TH!D230,""),"")</f>
        <v/>
      </c>
      <c r="B230" s="36">
        <f t="shared" si="21"/>
        <v>5</v>
      </c>
      <c r="C230" s="37">
        <f t="shared" si="19"/>
        <v>40689</v>
      </c>
      <c r="D230" s="184" t="s">
        <v>684</v>
      </c>
      <c r="E230" s="37">
        <v>40689</v>
      </c>
      <c r="F230" s="40" t="s">
        <v>468</v>
      </c>
      <c r="G230" s="495" t="s">
        <v>469</v>
      </c>
      <c r="H230" s="45" t="s">
        <v>470</v>
      </c>
      <c r="I230" s="258"/>
      <c r="J230" s="256"/>
      <c r="K230" s="38">
        <v>494235</v>
      </c>
      <c r="L230" s="39" t="s">
        <v>75</v>
      </c>
      <c r="M230" s="615" t="s">
        <v>46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>x</v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>642</v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94"/>
      <c r="AB230" s="606"/>
      <c r="AC230" s="606"/>
      <c r="AD230" s="606"/>
    </row>
    <row r="231" spans="1:30" s="831" customFormat="1" ht="15.75" customHeight="1">
      <c r="A231" s="204" t="str">
        <f>IF(B231&lt;&gt;"",IF(AND(B231&gt;=_TM1,B231&lt;=_TM2,OR(TH!L231="1111",TH!M231="1111")),TH!D231,""),"")</f>
        <v/>
      </c>
      <c r="B231" s="36">
        <f t="shared" si="21"/>
        <v>5</v>
      </c>
      <c r="C231" s="37">
        <f t="shared" si="19"/>
        <v>40689</v>
      </c>
      <c r="D231" s="184" t="s">
        <v>684</v>
      </c>
      <c r="E231" s="37">
        <v>40689</v>
      </c>
      <c r="F231" s="40" t="s">
        <v>471</v>
      </c>
      <c r="G231" s="495" t="s">
        <v>469</v>
      </c>
      <c r="H231" s="45" t="s">
        <v>470</v>
      </c>
      <c r="I231" s="258"/>
      <c r="J231" s="256"/>
      <c r="K231" s="38">
        <v>49425</v>
      </c>
      <c r="L231" s="39" t="s">
        <v>9</v>
      </c>
      <c r="M231" s="615" t="s">
        <v>46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>x</v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94"/>
      <c r="AB231" s="606">
        <v>5</v>
      </c>
      <c r="AC231" s="606"/>
      <c r="AD231" s="606"/>
    </row>
    <row r="232" spans="1:30" s="831" customFormat="1" ht="15.75" customHeight="1">
      <c r="A232" s="204" t="str">
        <f>IF(B232&lt;&gt;"",IF(AND(B232&gt;=_TM1,B232&lt;=_TM2,OR(TH!L232="1111",TH!M232="1111")),TH!D232,""),"")</f>
        <v/>
      </c>
      <c r="B232" s="36">
        <f t="shared" si="21"/>
        <v>5</v>
      </c>
      <c r="C232" s="37">
        <f t="shared" ref="C232:C238" si="23">E232</f>
        <v>40689</v>
      </c>
      <c r="D232" s="184" t="s">
        <v>685</v>
      </c>
      <c r="E232" s="37">
        <v>40689</v>
      </c>
      <c r="F232" s="40" t="s">
        <v>468</v>
      </c>
      <c r="G232" s="495" t="s">
        <v>473</v>
      </c>
      <c r="H232" s="45" t="s">
        <v>472</v>
      </c>
      <c r="I232" s="258"/>
      <c r="J232" s="256"/>
      <c r="K232" s="38">
        <v>467016</v>
      </c>
      <c r="L232" s="39" t="s">
        <v>75</v>
      </c>
      <c r="M232" s="615" t="s">
        <v>46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>x</v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>642</v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94"/>
      <c r="AB232" s="606"/>
      <c r="AC232" s="606"/>
      <c r="AD232" s="606"/>
    </row>
    <row r="233" spans="1:30" s="831" customFormat="1" ht="15.75" customHeight="1">
      <c r="A233" s="204" t="str">
        <f>IF(B233&lt;&gt;"",IF(AND(B233&gt;=_TM1,B233&lt;=_TM2,OR(TH!L233="1111",TH!M233="1111")),TH!D233,""),"")</f>
        <v/>
      </c>
      <c r="B233" s="36">
        <f t="shared" si="21"/>
        <v>5</v>
      </c>
      <c r="C233" s="37">
        <f t="shared" si="23"/>
        <v>40689</v>
      </c>
      <c r="D233" s="184" t="s">
        <v>685</v>
      </c>
      <c r="E233" s="37">
        <v>40689</v>
      </c>
      <c r="F233" s="40" t="s">
        <v>471</v>
      </c>
      <c r="G233" s="495" t="s">
        <v>473</v>
      </c>
      <c r="H233" s="45" t="s">
        <v>472</v>
      </c>
      <c r="I233" s="258"/>
      <c r="J233" s="256"/>
      <c r="K233" s="38">
        <v>46702</v>
      </c>
      <c r="L233" s="39" t="s">
        <v>9</v>
      </c>
      <c r="M233" s="615" t="s">
        <v>46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>x</v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94"/>
      <c r="AB233" s="606">
        <v>5</v>
      </c>
      <c r="AC233" s="606"/>
      <c r="AD233" s="606"/>
    </row>
    <row r="234" spans="1:30" s="831" customFormat="1" ht="15.75" customHeight="1">
      <c r="A234" s="204" t="str">
        <f>IF(B234&lt;&gt;"",IF(AND(B234&gt;=_TM1,B234&lt;=_TM2,OR(TH!L234="1111",TH!M234="1111")),TH!D234,""),"")</f>
        <v/>
      </c>
      <c r="B234" s="36">
        <f t="shared" si="21"/>
        <v>5</v>
      </c>
      <c r="C234" s="37">
        <f t="shared" si="23"/>
        <v>40690</v>
      </c>
      <c r="D234" s="184" t="s">
        <v>686</v>
      </c>
      <c r="E234" s="37">
        <v>40690</v>
      </c>
      <c r="F234" s="40" t="s">
        <v>524</v>
      </c>
      <c r="G234" s="497" t="s">
        <v>525</v>
      </c>
      <c r="H234" s="7" t="s">
        <v>371</v>
      </c>
      <c r="I234" s="256">
        <v>20</v>
      </c>
      <c r="J234" s="256">
        <v>67000</v>
      </c>
      <c r="K234" s="614">
        <f>ROUND(I234*J234,0)</f>
        <v>1340000</v>
      </c>
      <c r="L234" s="39" t="s">
        <v>157</v>
      </c>
      <c r="M234" s="39" t="s">
        <v>46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>154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94"/>
      <c r="AB234" s="211"/>
      <c r="AC234" s="211"/>
      <c r="AD234" s="606"/>
    </row>
    <row r="235" spans="1:30" s="831" customFormat="1" ht="15.75" customHeight="1">
      <c r="A235" s="204" t="str">
        <f>IF(B235&lt;&gt;"",IF(AND(B235&gt;=_TM1,B235&lt;=_TM2,OR(TH!L235="1111",TH!M235="1111")),TH!D235,""),"")</f>
        <v/>
      </c>
      <c r="B235" s="36">
        <f t="shared" si="21"/>
        <v>5</v>
      </c>
      <c r="C235" s="37">
        <f t="shared" si="23"/>
        <v>40690</v>
      </c>
      <c r="D235" s="184" t="s">
        <v>686</v>
      </c>
      <c r="E235" s="37">
        <v>40690</v>
      </c>
      <c r="F235" s="886" t="s">
        <v>526</v>
      </c>
      <c r="G235" s="497" t="s">
        <v>525</v>
      </c>
      <c r="H235" s="7" t="s">
        <v>371</v>
      </c>
      <c r="I235" s="256"/>
      <c r="J235" s="256"/>
      <c r="K235" s="38">
        <v>134000</v>
      </c>
      <c r="L235" s="39" t="s">
        <v>9</v>
      </c>
      <c r="M235" s="39" t="s">
        <v>46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>x</v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94"/>
      <c r="AB235" s="606">
        <v>5</v>
      </c>
      <c r="AC235" s="606"/>
      <c r="AD235" s="606"/>
    </row>
    <row r="236" spans="1:30" s="831" customFormat="1" ht="15.75" customHeight="1">
      <c r="A236" s="204" t="str">
        <f>IF(B236&lt;&gt;"",IF(AND(B236&gt;=_TM1,B236&lt;=_TM2,OR(TH!L236="1111",TH!M236="1111")),TH!D236,""),"")</f>
        <v/>
      </c>
      <c r="B236" s="36">
        <f t="shared" si="21"/>
        <v>5</v>
      </c>
      <c r="C236" s="184">
        <f t="shared" si="23"/>
        <v>40690</v>
      </c>
      <c r="D236" s="184" t="s">
        <v>334</v>
      </c>
      <c r="E236" s="184">
        <v>40690</v>
      </c>
      <c r="F236" s="189" t="s">
        <v>367</v>
      </c>
      <c r="G236" s="616" t="s">
        <v>330</v>
      </c>
      <c r="H236" s="7" t="s">
        <v>499</v>
      </c>
      <c r="I236" s="256"/>
      <c r="J236" s="256"/>
      <c r="K236" s="614">
        <v>41712396</v>
      </c>
      <c r="L236" s="615" t="s">
        <v>8</v>
      </c>
      <c r="M236" s="615" t="s">
        <v>23</v>
      </c>
      <c r="N236" s="52" t="str">
        <f>IF(AND('331-CT'!$E$7=TH!H236,OR(L236="331",M236="331")),"331",IF(AND(OR(L236="131",M236="131"),H236='131-CT'!$E$7),"131",""))</f>
        <v>331</v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94"/>
      <c r="AB236" s="606"/>
      <c r="AC236" s="606"/>
      <c r="AD236" s="606"/>
    </row>
    <row r="237" spans="1:30" s="831" customFormat="1" ht="15.75" customHeight="1">
      <c r="A237" s="204" t="str">
        <f>IF(B237&lt;&gt;"",IF(AND(B237&gt;=_TM1,B237&lt;=_TM2,OR(TH!L237="1111",TH!M237="1111")),TH!D237,""),"")</f>
        <v/>
      </c>
      <c r="B237" s="36">
        <f t="shared" si="21"/>
        <v>5</v>
      </c>
      <c r="C237" s="184">
        <f t="shared" si="23"/>
        <v>40690</v>
      </c>
      <c r="D237" s="184" t="s">
        <v>334</v>
      </c>
      <c r="E237" s="184">
        <v>40690</v>
      </c>
      <c r="F237" s="189" t="s">
        <v>336</v>
      </c>
      <c r="G237" s="616" t="s">
        <v>330</v>
      </c>
      <c r="H237" s="7"/>
      <c r="I237" s="256"/>
      <c r="J237" s="256"/>
      <c r="K237" s="614">
        <v>10000</v>
      </c>
      <c r="L237" s="615" t="s">
        <v>75</v>
      </c>
      <c r="M237" s="615" t="s">
        <v>23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>642</v>
      </c>
      <c r="V237" s="52" t="str">
        <f>IF(OR(TH!L237=TH!$V$7,M237=TH!$V$7),"x","")</f>
        <v>x</v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94"/>
      <c r="AB237" s="606"/>
      <c r="AC237" s="606"/>
      <c r="AD237" s="606"/>
    </row>
    <row r="238" spans="1:30" s="831" customFormat="1" ht="15.75" customHeight="1">
      <c r="A238" s="204" t="str">
        <f>IF(B238&lt;&gt;"",IF(AND(B238&gt;=_TM1,B238&lt;=_TM2,OR(TH!L238="1111",TH!M238="1111")),TH!D238,""),"")</f>
        <v/>
      </c>
      <c r="B238" s="36">
        <f t="shared" si="21"/>
        <v>5</v>
      </c>
      <c r="C238" s="184">
        <f t="shared" si="23"/>
        <v>40690</v>
      </c>
      <c r="D238" s="184" t="s">
        <v>334</v>
      </c>
      <c r="E238" s="184">
        <v>40690</v>
      </c>
      <c r="F238" s="189" t="s">
        <v>336</v>
      </c>
      <c r="G238" s="616" t="s">
        <v>330</v>
      </c>
      <c r="H238" s="7"/>
      <c r="I238" s="256"/>
      <c r="J238" s="256"/>
      <c r="K238" s="614">
        <v>10000</v>
      </c>
      <c r="L238" s="615" t="s">
        <v>75</v>
      </c>
      <c r="M238" s="615" t="s">
        <v>23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>x</v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>642</v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94"/>
      <c r="AB238" s="606"/>
      <c r="AC238" s="606"/>
      <c r="AD238" s="606"/>
    </row>
    <row r="239" spans="1:30" s="831" customFormat="1" ht="15.75" customHeight="1">
      <c r="A239" s="204" t="str">
        <f>IF(B239&lt;&gt;"",IF(AND(B239&gt;=_TM1,B239&lt;=_TM2,OR(TH!L239="1111",TH!M239="1111")),TH!D239,""),"")</f>
        <v/>
      </c>
      <c r="B239" s="36">
        <f t="shared" si="21"/>
        <v>5</v>
      </c>
      <c r="C239" s="191">
        <v>40690</v>
      </c>
      <c r="D239" s="191" t="s">
        <v>957</v>
      </c>
      <c r="E239" s="191">
        <v>40690</v>
      </c>
      <c r="F239" s="192" t="s">
        <v>819</v>
      </c>
      <c r="G239" s="498" t="s">
        <v>586</v>
      </c>
      <c r="H239" s="7" t="s">
        <v>734</v>
      </c>
      <c r="I239" s="258">
        <v>98</v>
      </c>
      <c r="J239" s="258">
        <v>18940</v>
      </c>
      <c r="K239" s="614">
        <v>1856120</v>
      </c>
      <c r="L239" s="194" t="s">
        <v>259</v>
      </c>
      <c r="M239" s="194" t="s">
        <v>167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94"/>
      <c r="AB239" s="833"/>
      <c r="AC239" s="198"/>
      <c r="AD239" s="198"/>
    </row>
    <row r="240" spans="1:30" s="831" customFormat="1" ht="15.75" customHeight="1">
      <c r="A240" s="204" t="str">
        <f>IF(B240&lt;&gt;"",IF(AND(B240&gt;=_TM1,B240&lt;=_TM2,OR(TH!L240="1111",TH!M240="1111")),TH!D240,""),"")</f>
        <v/>
      </c>
      <c r="B240" s="36">
        <f t="shared" si="21"/>
        <v>5</v>
      </c>
      <c r="C240" s="191">
        <v>40690</v>
      </c>
      <c r="D240" s="191" t="s">
        <v>957</v>
      </c>
      <c r="E240" s="191">
        <v>40690</v>
      </c>
      <c r="F240" s="192" t="s">
        <v>820</v>
      </c>
      <c r="G240" s="498" t="s">
        <v>586</v>
      </c>
      <c r="H240" s="7" t="s">
        <v>734</v>
      </c>
      <c r="I240" s="256">
        <v>177</v>
      </c>
      <c r="J240" s="256">
        <v>15550</v>
      </c>
      <c r="K240" s="614">
        <v>2752350</v>
      </c>
      <c r="L240" s="194" t="s">
        <v>259</v>
      </c>
      <c r="M240" s="194" t="s">
        <v>167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94"/>
      <c r="AB240" s="833"/>
      <c r="AC240" s="198"/>
      <c r="AD240" s="198"/>
    </row>
    <row r="241" spans="1:30" s="831" customFormat="1" ht="15.75" customHeight="1">
      <c r="A241" s="204" t="str">
        <f>IF(B241&lt;&gt;"",IF(AND(B241&gt;=_TM1,B241&lt;=_TM2,OR(TH!L241="1111",TH!M241="1111")),TH!D241,""),"")</f>
        <v/>
      </c>
      <c r="B241" s="36">
        <f t="shared" si="21"/>
        <v>5</v>
      </c>
      <c r="C241" s="191">
        <v>40690</v>
      </c>
      <c r="D241" s="191" t="s">
        <v>957</v>
      </c>
      <c r="E241" s="191">
        <v>40690</v>
      </c>
      <c r="F241" s="192" t="s">
        <v>821</v>
      </c>
      <c r="G241" s="498" t="s">
        <v>586</v>
      </c>
      <c r="H241" s="7" t="s">
        <v>734</v>
      </c>
      <c r="I241" s="256">
        <v>205</v>
      </c>
      <c r="J241" s="256">
        <v>19690</v>
      </c>
      <c r="K241" s="614">
        <v>4036450</v>
      </c>
      <c r="L241" s="194" t="s">
        <v>259</v>
      </c>
      <c r="M241" s="194" t="s">
        <v>167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94"/>
      <c r="AB241" s="833"/>
      <c r="AC241" s="198"/>
      <c r="AD241" s="198"/>
    </row>
    <row r="242" spans="1:30" s="831" customFormat="1" ht="15.75" customHeight="1">
      <c r="A242" s="204" t="str">
        <f>IF(B242&lt;&gt;"",IF(AND(B242&gt;=_TM1,B242&lt;=_TM2,OR(TH!L242="1111",TH!M242="1111")),TH!D242,""),"")</f>
        <v/>
      </c>
      <c r="B242" s="36">
        <f t="shared" si="21"/>
        <v>5</v>
      </c>
      <c r="C242" s="191">
        <v>40690</v>
      </c>
      <c r="D242" s="191" t="s">
        <v>957</v>
      </c>
      <c r="E242" s="191">
        <v>40690</v>
      </c>
      <c r="F242" s="838" t="s">
        <v>829</v>
      </c>
      <c r="G242" s="498" t="s">
        <v>586</v>
      </c>
      <c r="H242" s="7" t="s">
        <v>734</v>
      </c>
      <c r="I242" s="256">
        <v>283</v>
      </c>
      <c r="J242" s="256">
        <v>9760</v>
      </c>
      <c r="K242" s="614">
        <v>2762080</v>
      </c>
      <c r="L242" s="194" t="s">
        <v>259</v>
      </c>
      <c r="M242" s="194" t="s">
        <v>167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94"/>
      <c r="AB242" s="833"/>
      <c r="AC242" s="198"/>
      <c r="AD242" s="198"/>
    </row>
    <row r="243" spans="1:30" s="831" customFormat="1" ht="15.75" customHeight="1">
      <c r="A243" s="204" t="str">
        <f>IF(B243&lt;&gt;"",IF(AND(B243&gt;=_TM1,B243&lt;=_TM2,OR(TH!L243="1111",TH!M243="1111")),TH!D243,""),"")</f>
        <v/>
      </c>
      <c r="B243" s="36">
        <f t="shared" si="21"/>
        <v>5</v>
      </c>
      <c r="C243" s="191">
        <v>40690</v>
      </c>
      <c r="D243" s="191" t="s">
        <v>957</v>
      </c>
      <c r="E243" s="191">
        <v>40690</v>
      </c>
      <c r="F243" s="192" t="s">
        <v>822</v>
      </c>
      <c r="G243" s="498" t="s">
        <v>586</v>
      </c>
      <c r="H243" s="7" t="s">
        <v>734</v>
      </c>
      <c r="I243" s="256">
        <v>493</v>
      </c>
      <c r="J243" s="256">
        <v>7160</v>
      </c>
      <c r="K243" s="614">
        <v>3529880</v>
      </c>
      <c r="L243" s="194" t="s">
        <v>259</v>
      </c>
      <c r="M243" s="194" t="s">
        <v>167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94"/>
      <c r="AB243" s="833"/>
      <c r="AC243" s="198"/>
      <c r="AD243" s="198"/>
    </row>
    <row r="244" spans="1:30" s="831" customFormat="1" ht="15.75" customHeight="1">
      <c r="A244" s="204" t="str">
        <f>IF(B244&lt;&gt;"",IF(AND(B244&gt;=_TM1,B244&lt;=_TM2,OR(TH!L244="1111",TH!M244="1111")),TH!D244,""),"")</f>
        <v/>
      </c>
      <c r="B244" s="36">
        <f t="shared" si="21"/>
        <v>5</v>
      </c>
      <c r="C244" s="191">
        <v>40690</v>
      </c>
      <c r="D244" s="191" t="s">
        <v>957</v>
      </c>
      <c r="E244" s="191">
        <v>40690</v>
      </c>
      <c r="F244" s="192" t="s">
        <v>823</v>
      </c>
      <c r="G244" s="498" t="s">
        <v>586</v>
      </c>
      <c r="H244" s="7" t="s">
        <v>734</v>
      </c>
      <c r="I244" s="256">
        <v>398</v>
      </c>
      <c r="J244" s="256">
        <v>7360</v>
      </c>
      <c r="K244" s="614">
        <v>2929280</v>
      </c>
      <c r="L244" s="194" t="s">
        <v>259</v>
      </c>
      <c r="M244" s="194" t="s">
        <v>167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94"/>
      <c r="AB244" s="833"/>
      <c r="AC244" s="198"/>
      <c r="AD244" s="198"/>
    </row>
    <row r="245" spans="1:30" s="831" customFormat="1" ht="15.75" customHeight="1">
      <c r="A245" s="204" t="str">
        <f>IF(B245&lt;&gt;"",IF(AND(B245&gt;=_TM1,B245&lt;=_TM2,OR(TH!L245="1111",TH!M245="1111")),TH!D245,""),"")</f>
        <v/>
      </c>
      <c r="B245" s="36">
        <f t="shared" si="21"/>
        <v>5</v>
      </c>
      <c r="C245" s="191">
        <v>40690</v>
      </c>
      <c r="D245" s="191" t="s">
        <v>957</v>
      </c>
      <c r="E245" s="191">
        <v>40690</v>
      </c>
      <c r="F245" s="192" t="s">
        <v>824</v>
      </c>
      <c r="G245" s="498" t="s">
        <v>586</v>
      </c>
      <c r="H245" s="7" t="s">
        <v>734</v>
      </c>
      <c r="I245" s="256">
        <v>98</v>
      </c>
      <c r="J245" s="256">
        <v>15400</v>
      </c>
      <c r="K245" s="614">
        <v>1509200</v>
      </c>
      <c r="L245" s="194" t="s">
        <v>259</v>
      </c>
      <c r="M245" s="194" t="s">
        <v>167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94"/>
      <c r="AB245" s="833"/>
      <c r="AC245" s="198"/>
      <c r="AD245" s="198"/>
    </row>
    <row r="246" spans="1:30" s="831" customFormat="1" ht="15.75" customHeight="1">
      <c r="A246" s="204" t="str">
        <f>IF(B246&lt;&gt;"",IF(AND(B246&gt;=_TM1,B246&lt;=_TM2,OR(TH!L246="1111",TH!M246="1111")),TH!D246,""),"")</f>
        <v/>
      </c>
      <c r="B246" s="36">
        <f t="shared" si="21"/>
        <v>5</v>
      </c>
      <c r="C246" s="191">
        <v>40690</v>
      </c>
      <c r="D246" s="191" t="s">
        <v>957</v>
      </c>
      <c r="E246" s="191">
        <v>40690</v>
      </c>
      <c r="F246" s="192" t="s">
        <v>740</v>
      </c>
      <c r="G246" s="498" t="s">
        <v>586</v>
      </c>
      <c r="H246" s="7" t="s">
        <v>734</v>
      </c>
      <c r="I246" s="256"/>
      <c r="J246" s="256"/>
      <c r="K246" s="614">
        <v>1937536</v>
      </c>
      <c r="L246" s="194" t="s">
        <v>259</v>
      </c>
      <c r="M246" s="194" t="s">
        <v>731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94"/>
      <c r="AB246" s="833"/>
      <c r="AC246" s="198"/>
      <c r="AD246" s="198"/>
    </row>
    <row r="247" spans="1:30" s="831" customFormat="1" ht="15.75" customHeight="1">
      <c r="A247" s="204" t="str">
        <f>IF(B247&lt;&gt;"",IF(AND(B247&gt;=_TM1,B247&lt;=_TM2,OR(TH!L247="1111",TH!M247="1111")),TH!D247,""),"")</f>
        <v/>
      </c>
      <c r="B247" s="36">
        <f t="shared" si="21"/>
        <v>5</v>
      </c>
      <c r="C247" s="191">
        <v>40690</v>
      </c>
      <c r="D247" s="191" t="s">
        <v>958</v>
      </c>
      <c r="E247" s="191">
        <v>40690</v>
      </c>
      <c r="F247" s="192" t="s">
        <v>827</v>
      </c>
      <c r="G247" s="498" t="s">
        <v>825</v>
      </c>
      <c r="H247" s="7" t="s">
        <v>734</v>
      </c>
      <c r="I247" s="256">
        <v>191</v>
      </c>
      <c r="J247" s="256">
        <v>18480</v>
      </c>
      <c r="K247" s="614">
        <v>3529680</v>
      </c>
      <c r="L247" s="194" t="s">
        <v>259</v>
      </c>
      <c r="M247" s="194" t="s">
        <v>167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94"/>
      <c r="AB247" s="833"/>
      <c r="AC247" s="198"/>
      <c r="AD247" s="198"/>
    </row>
    <row r="248" spans="1:30" s="831" customFormat="1" ht="15.75" customHeight="1">
      <c r="A248" s="204" t="str">
        <f>IF(B248&lt;&gt;"",IF(AND(B248&gt;=_TM1,B248&lt;=_TM2,OR(TH!L248="1111",TH!M248="1111")),TH!D248,""),"")</f>
        <v/>
      </c>
      <c r="B248" s="36">
        <f t="shared" si="21"/>
        <v>5</v>
      </c>
      <c r="C248" s="191">
        <v>40690</v>
      </c>
      <c r="D248" s="191" t="s">
        <v>958</v>
      </c>
      <c r="E248" s="191">
        <v>40690</v>
      </c>
      <c r="F248" s="192" t="s">
        <v>828</v>
      </c>
      <c r="G248" s="498" t="s">
        <v>825</v>
      </c>
      <c r="H248" s="7" t="s">
        <v>734</v>
      </c>
      <c r="I248" s="256">
        <v>206</v>
      </c>
      <c r="J248" s="256">
        <v>15230</v>
      </c>
      <c r="K248" s="614">
        <v>3137380</v>
      </c>
      <c r="L248" s="194" t="s">
        <v>259</v>
      </c>
      <c r="M248" s="194" t="s">
        <v>167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94"/>
      <c r="AB248" s="833"/>
      <c r="AC248" s="198"/>
      <c r="AD248" s="198"/>
    </row>
    <row r="249" spans="1:30" s="831" customFormat="1" ht="15.75" customHeight="1">
      <c r="A249" s="204" t="str">
        <f>IF(B249&lt;&gt;"",IF(AND(B249&gt;=_TM1,B249&lt;=_TM2,OR(TH!L249="1111",TH!M249="1111")),TH!D249,""),"")</f>
        <v/>
      </c>
      <c r="B249" s="36">
        <f t="shared" si="21"/>
        <v>5</v>
      </c>
      <c r="C249" s="191">
        <v>40690</v>
      </c>
      <c r="D249" s="191" t="s">
        <v>958</v>
      </c>
      <c r="E249" s="191">
        <v>40690</v>
      </c>
      <c r="F249" s="192" t="s">
        <v>740</v>
      </c>
      <c r="G249" s="498" t="s">
        <v>825</v>
      </c>
      <c r="H249" s="7" t="s">
        <v>734</v>
      </c>
      <c r="I249" s="256"/>
      <c r="J249" s="256"/>
      <c r="K249" s="614">
        <v>666706</v>
      </c>
      <c r="L249" s="194" t="s">
        <v>259</v>
      </c>
      <c r="M249" s="194" t="s">
        <v>731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94"/>
      <c r="AB249" s="833"/>
      <c r="AC249" s="198"/>
      <c r="AD249" s="198"/>
    </row>
    <row r="250" spans="1:30" s="831" customFormat="1" ht="15.75" customHeight="1">
      <c r="A250" s="204" t="str">
        <f>IF(B250&lt;&gt;"",IF(AND(B250&gt;=_TM1,B250&lt;=_TM2,OR(TH!L250="1111",TH!M250="1111")),TH!D250,""),"")</f>
        <v/>
      </c>
      <c r="B250" s="36">
        <f t="shared" si="21"/>
        <v>5</v>
      </c>
      <c r="C250" s="191">
        <v>40690</v>
      </c>
      <c r="D250" s="191" t="s">
        <v>959</v>
      </c>
      <c r="E250" s="191">
        <v>40690</v>
      </c>
      <c r="F250" s="192" t="s">
        <v>830</v>
      </c>
      <c r="G250" s="498" t="s">
        <v>826</v>
      </c>
      <c r="H250" s="7" t="s">
        <v>733</v>
      </c>
      <c r="I250" s="256">
        <v>50</v>
      </c>
      <c r="J250" s="256">
        <v>13832</v>
      </c>
      <c r="K250" s="614">
        <v>691600</v>
      </c>
      <c r="L250" s="194" t="s">
        <v>259</v>
      </c>
      <c r="M250" s="194" t="s">
        <v>167</v>
      </c>
      <c r="N250" s="52" t="str">
        <f>IF(AND('331-CT'!$E$7=TH!H250,OR(L250="331",M250="331")),"331",IF(AND(OR(L250="131",M250="131"),H250='131-CT'!$E$7),"131",""))</f>
        <v>131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94"/>
      <c r="AB250" s="833"/>
      <c r="AC250" s="198"/>
      <c r="AD250" s="198"/>
    </row>
    <row r="251" spans="1:30" s="831" customFormat="1" ht="15.75" customHeight="1">
      <c r="A251" s="204" t="str">
        <f>IF(B251&lt;&gt;"",IF(AND(B251&gt;=_TM1,B251&lt;=_TM2,OR(TH!L251="1111",TH!M251="1111")),TH!D251,""),"")</f>
        <v/>
      </c>
      <c r="B251" s="36">
        <f t="shared" si="21"/>
        <v>5</v>
      </c>
      <c r="C251" s="191">
        <v>40690</v>
      </c>
      <c r="D251" s="191" t="s">
        <v>959</v>
      </c>
      <c r="E251" s="191">
        <v>40690</v>
      </c>
      <c r="F251" s="192" t="s">
        <v>756</v>
      </c>
      <c r="G251" s="498" t="s">
        <v>826</v>
      </c>
      <c r="H251" s="7" t="s">
        <v>733</v>
      </c>
      <c r="I251" s="256">
        <v>300</v>
      </c>
      <c r="J251" s="256">
        <v>3500</v>
      </c>
      <c r="K251" s="614">
        <v>1050000</v>
      </c>
      <c r="L251" s="194" t="s">
        <v>259</v>
      </c>
      <c r="M251" s="194" t="s">
        <v>167</v>
      </c>
      <c r="N251" s="52" t="str">
        <f>IF(AND('331-CT'!$E$7=TH!H251,OR(L251="331",M251="331")),"331",IF(AND(OR(L251="131",M251="131"),H251='131-CT'!$E$7),"131",""))</f>
        <v>131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94"/>
      <c r="AB251" s="833"/>
      <c r="AC251" s="198"/>
      <c r="AD251" s="198"/>
    </row>
    <row r="252" spans="1:30" s="831" customFormat="1" ht="15.75" customHeight="1">
      <c r="A252" s="204" t="str">
        <f>IF(B252&lt;&gt;"",IF(AND(B252&gt;=_TM1,B252&lt;=_TM2,OR(TH!L252="1111",TH!M252="1111")),TH!D252,""),"")</f>
        <v/>
      </c>
      <c r="B252" s="36">
        <f t="shared" si="21"/>
        <v>5</v>
      </c>
      <c r="C252" s="191">
        <v>40690</v>
      </c>
      <c r="D252" s="191" t="s">
        <v>959</v>
      </c>
      <c r="E252" s="191">
        <v>40690</v>
      </c>
      <c r="F252" s="192" t="s">
        <v>831</v>
      </c>
      <c r="G252" s="498" t="s">
        <v>826</v>
      </c>
      <c r="H252" s="7" t="s">
        <v>733</v>
      </c>
      <c r="I252" s="256">
        <v>7</v>
      </c>
      <c r="J252" s="256">
        <v>19908</v>
      </c>
      <c r="K252" s="614">
        <v>139356</v>
      </c>
      <c r="L252" s="194" t="s">
        <v>259</v>
      </c>
      <c r="M252" s="194" t="s">
        <v>167</v>
      </c>
      <c r="N252" s="52" t="str">
        <f>IF(AND('331-CT'!$E$7=TH!H252,OR(L252="331",M252="331")),"331",IF(AND(OR(L252="131",M252="131"),H252='131-CT'!$E$7),"131",""))</f>
        <v>131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94"/>
      <c r="AB252" s="833"/>
      <c r="AC252" s="198"/>
      <c r="AD252" s="198"/>
    </row>
    <row r="253" spans="1:30" s="831" customFormat="1" ht="15.75" customHeight="1">
      <c r="A253" s="204" t="str">
        <f>IF(B253&lt;&gt;"",IF(AND(B253&gt;=_TM1,B253&lt;=_TM2,OR(TH!L253="1111",TH!M253="1111")),TH!D253,""),"")</f>
        <v/>
      </c>
      <c r="B253" s="36">
        <f t="shared" si="21"/>
        <v>5</v>
      </c>
      <c r="C253" s="191">
        <v>40690</v>
      </c>
      <c r="D253" s="191" t="s">
        <v>959</v>
      </c>
      <c r="E253" s="191">
        <v>40690</v>
      </c>
      <c r="F253" s="192" t="s">
        <v>832</v>
      </c>
      <c r="G253" s="498" t="s">
        <v>826</v>
      </c>
      <c r="H253" s="7" t="s">
        <v>733</v>
      </c>
      <c r="I253" s="256">
        <v>7</v>
      </c>
      <c r="J253" s="256">
        <v>19285</v>
      </c>
      <c r="K253" s="614">
        <v>134995</v>
      </c>
      <c r="L253" s="194" t="s">
        <v>259</v>
      </c>
      <c r="M253" s="194" t="s">
        <v>167</v>
      </c>
      <c r="N253" s="52" t="str">
        <f>IF(AND('331-CT'!$E$7=TH!H253,OR(L253="331",M253="331")),"331",IF(AND(OR(L253="131",M253="131"),H253='131-CT'!$E$7),"131",""))</f>
        <v>131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94"/>
      <c r="AB253" s="833"/>
      <c r="AC253" s="198"/>
      <c r="AD253" s="198"/>
    </row>
    <row r="254" spans="1:30" s="831" customFormat="1" ht="15.75" customHeight="1">
      <c r="A254" s="204" t="str">
        <f>IF(B254&lt;&gt;"",IF(AND(B254&gt;=_TM1,B254&lt;=_TM2,OR(TH!L254="1111",TH!M254="1111")),TH!D254,""),"")</f>
        <v/>
      </c>
      <c r="B254" s="36">
        <f t="shared" si="21"/>
        <v>5</v>
      </c>
      <c r="C254" s="191">
        <v>40690</v>
      </c>
      <c r="D254" s="191" t="s">
        <v>959</v>
      </c>
      <c r="E254" s="191">
        <v>40690</v>
      </c>
      <c r="F254" s="192" t="s">
        <v>830</v>
      </c>
      <c r="G254" s="498" t="s">
        <v>826</v>
      </c>
      <c r="H254" s="7" t="s">
        <v>733</v>
      </c>
      <c r="I254" s="256">
        <v>250</v>
      </c>
      <c r="J254" s="256">
        <v>13832</v>
      </c>
      <c r="K254" s="614">
        <v>3458000</v>
      </c>
      <c r="L254" s="194" t="s">
        <v>259</v>
      </c>
      <c r="M254" s="194" t="s">
        <v>167</v>
      </c>
      <c r="N254" s="52" t="str">
        <f>IF(AND('331-CT'!$E$7=TH!H254,OR(L254="331",M254="331")),"331",IF(AND(OR(L254="131",M254="131"),H254='131-CT'!$E$7),"131",""))</f>
        <v>131</v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94"/>
      <c r="AB254" s="833"/>
      <c r="AC254" s="198"/>
      <c r="AD254" s="198"/>
    </row>
    <row r="255" spans="1:30" s="831" customFormat="1" ht="15.75" customHeight="1">
      <c r="A255" s="204" t="str">
        <f>IF(B255&lt;&gt;"",IF(AND(B255&gt;=_TM1,B255&lt;=_TM2,OR(TH!L255="1111",TH!M255="1111")),TH!D255,""),"")</f>
        <v/>
      </c>
      <c r="B255" s="36">
        <f t="shared" si="21"/>
        <v>5</v>
      </c>
      <c r="C255" s="191">
        <v>40690</v>
      </c>
      <c r="D255" s="191" t="s">
        <v>959</v>
      </c>
      <c r="E255" s="191">
        <v>40690</v>
      </c>
      <c r="F255" s="192" t="s">
        <v>833</v>
      </c>
      <c r="G255" s="498" t="s">
        <v>826</v>
      </c>
      <c r="H255" s="7" t="s">
        <v>733</v>
      </c>
      <c r="I255" s="256">
        <v>90</v>
      </c>
      <c r="J255" s="256">
        <v>15724</v>
      </c>
      <c r="K255" s="614">
        <v>1415160</v>
      </c>
      <c r="L255" s="194" t="s">
        <v>259</v>
      </c>
      <c r="M255" s="194" t="s">
        <v>167</v>
      </c>
      <c r="N255" s="52" t="str">
        <f>IF(AND('331-CT'!$E$7=TH!H255,OR(L255="331",M255="331")),"331",IF(AND(OR(L255="131",M255="131"),H255='131-CT'!$E$7),"131",""))</f>
        <v>131</v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94"/>
      <c r="AB255" s="833"/>
      <c r="AC255" s="198"/>
      <c r="AD255" s="198"/>
    </row>
    <row r="256" spans="1:30" s="831" customFormat="1" ht="15.75" customHeight="1">
      <c r="A256" s="204" t="str">
        <f>IF(B256&lt;&gt;"",IF(AND(B256&gt;=_TM1,B256&lt;=_TM2,OR(TH!L256="1111",TH!M256="1111")),TH!D256,""),"")</f>
        <v/>
      </c>
      <c r="B256" s="36">
        <f t="shared" si="21"/>
        <v>5</v>
      </c>
      <c r="C256" s="191">
        <v>40690</v>
      </c>
      <c r="D256" s="191" t="s">
        <v>959</v>
      </c>
      <c r="E256" s="191">
        <v>40690</v>
      </c>
      <c r="F256" s="192" t="s">
        <v>756</v>
      </c>
      <c r="G256" s="498" t="s">
        <v>826</v>
      </c>
      <c r="H256" s="7" t="s">
        <v>733</v>
      </c>
      <c r="I256" s="256">
        <v>90</v>
      </c>
      <c r="J256" s="256">
        <v>4265</v>
      </c>
      <c r="K256" s="614">
        <v>383850</v>
      </c>
      <c r="L256" s="194" t="s">
        <v>259</v>
      </c>
      <c r="M256" s="194" t="s">
        <v>167</v>
      </c>
      <c r="N256" s="52" t="str">
        <f>IF(AND('331-CT'!$E$7=TH!H256,OR(L256="331",M256="331")),"331",IF(AND(OR(L256="131",M256="131"),H256='131-CT'!$E$7),"131",""))</f>
        <v>131</v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94"/>
      <c r="AB256" s="833"/>
      <c r="AC256" s="198"/>
      <c r="AD256" s="198"/>
    </row>
    <row r="257" spans="1:30" s="831" customFormat="1" ht="15.75" customHeight="1">
      <c r="A257" s="204" t="str">
        <f>IF(B257&lt;&gt;"",IF(AND(B257&gt;=_TM1,B257&lt;=_TM2,OR(TH!L257="1111",TH!M257="1111")),TH!D257,""),"")</f>
        <v/>
      </c>
      <c r="B257" s="36">
        <f t="shared" si="21"/>
        <v>5</v>
      </c>
      <c r="C257" s="191">
        <v>40690</v>
      </c>
      <c r="D257" s="191" t="s">
        <v>959</v>
      </c>
      <c r="E257" s="191">
        <v>40690</v>
      </c>
      <c r="F257" s="192" t="s">
        <v>740</v>
      </c>
      <c r="G257" s="498" t="s">
        <v>826</v>
      </c>
      <c r="H257" s="7" t="s">
        <v>733</v>
      </c>
      <c r="I257" s="256"/>
      <c r="J257" s="256"/>
      <c r="K257" s="614">
        <v>727296</v>
      </c>
      <c r="L257" s="194" t="s">
        <v>259</v>
      </c>
      <c r="M257" s="194" t="s">
        <v>731</v>
      </c>
      <c r="N257" s="52" t="str">
        <f>IF(AND('331-CT'!$E$7=TH!H257,OR(L257="331",M257="331")),"331",IF(AND(OR(L257="131",M257="131"),H257='131-CT'!$E$7),"131",""))</f>
        <v>131</v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94"/>
      <c r="AB257" s="833"/>
      <c r="AC257" s="198"/>
      <c r="AD257" s="198"/>
    </row>
    <row r="258" spans="1:30" s="831" customFormat="1" ht="15.75" customHeight="1">
      <c r="A258" s="204" t="str">
        <f>IF(B258&lt;&gt;"",IF(AND(B258&gt;=_TM1,B258&lt;=_TM2,OR(TH!L258="1111",TH!M258="1111")),TH!D258,""),"")</f>
        <v/>
      </c>
      <c r="B258" s="36">
        <f t="shared" si="21"/>
        <v>5</v>
      </c>
      <c r="C258" s="191">
        <v>40690</v>
      </c>
      <c r="D258" s="191" t="s">
        <v>960</v>
      </c>
      <c r="E258" s="191">
        <v>40690</v>
      </c>
      <c r="F258" s="192" t="s">
        <v>836</v>
      </c>
      <c r="G258" s="498" t="s">
        <v>834</v>
      </c>
      <c r="H258" s="7" t="s">
        <v>733</v>
      </c>
      <c r="I258" s="256">
        <v>2</v>
      </c>
      <c r="J258" s="256">
        <v>8839</v>
      </c>
      <c r="K258" s="614">
        <v>17678</v>
      </c>
      <c r="L258" s="194" t="s">
        <v>259</v>
      </c>
      <c r="M258" s="194" t="s">
        <v>167</v>
      </c>
      <c r="N258" s="52" t="str">
        <f>IF(AND('331-CT'!$E$7=TH!H258,OR(L258="331",M258="331")),"331",IF(AND(OR(L258="131",M258="131"),H258='131-CT'!$E$7),"131",""))</f>
        <v>131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94"/>
      <c r="AB258" s="833"/>
      <c r="AC258" s="198"/>
      <c r="AD258" s="198"/>
    </row>
    <row r="259" spans="1:30" s="831" customFormat="1" ht="15.75" customHeight="1">
      <c r="A259" s="204" t="str">
        <f>IF(B259&lt;&gt;"",IF(AND(B259&gt;=_TM1,B259&lt;=_TM2,OR(TH!L259="1111",TH!M259="1111")),TH!D259,""),"")</f>
        <v/>
      </c>
      <c r="B259" s="36">
        <f t="shared" si="21"/>
        <v>5</v>
      </c>
      <c r="C259" s="191">
        <v>40690</v>
      </c>
      <c r="D259" s="191" t="s">
        <v>960</v>
      </c>
      <c r="E259" s="191">
        <v>40690</v>
      </c>
      <c r="F259" s="192" t="s">
        <v>837</v>
      </c>
      <c r="G259" s="498" t="s">
        <v>834</v>
      </c>
      <c r="H259" s="7" t="s">
        <v>733</v>
      </c>
      <c r="I259" s="256">
        <v>2</v>
      </c>
      <c r="J259" s="256">
        <v>5857</v>
      </c>
      <c r="K259" s="614">
        <v>11714</v>
      </c>
      <c r="L259" s="194" t="s">
        <v>259</v>
      </c>
      <c r="M259" s="194" t="s">
        <v>167</v>
      </c>
      <c r="N259" s="52" t="str">
        <f>IF(AND('331-CT'!$E$7=TH!H259,OR(L259="331",M259="331")),"331",IF(AND(OR(L259="131",M259="131"),H259='131-CT'!$E$7),"131",""))</f>
        <v>131</v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94"/>
      <c r="AB259" s="833"/>
      <c r="AC259" s="198"/>
      <c r="AD259" s="198"/>
    </row>
    <row r="260" spans="1:30" s="831" customFormat="1" ht="15.75" customHeight="1">
      <c r="A260" s="204" t="str">
        <f>IF(B260&lt;&gt;"",IF(AND(B260&gt;=_TM1,B260&lt;=_TM2,OR(TH!L260="1111",TH!M260="1111")),TH!D260,""),"")</f>
        <v/>
      </c>
      <c r="B260" s="36">
        <f t="shared" si="21"/>
        <v>5</v>
      </c>
      <c r="C260" s="191">
        <v>40690</v>
      </c>
      <c r="D260" s="191" t="s">
        <v>960</v>
      </c>
      <c r="E260" s="191">
        <v>40690</v>
      </c>
      <c r="F260" s="192" t="s">
        <v>838</v>
      </c>
      <c r="G260" s="498" t="s">
        <v>834</v>
      </c>
      <c r="H260" s="7" t="s">
        <v>733</v>
      </c>
      <c r="I260" s="256">
        <v>195</v>
      </c>
      <c r="J260" s="256">
        <v>8824</v>
      </c>
      <c r="K260" s="614">
        <v>1720680</v>
      </c>
      <c r="L260" s="194" t="s">
        <v>259</v>
      </c>
      <c r="M260" s="194" t="s">
        <v>167</v>
      </c>
      <c r="N260" s="52" t="str">
        <f>IF(AND('331-CT'!$E$7=TH!H260,OR(L260="331",M260="331")),"331",IF(AND(OR(L260="131",M260="131"),H260='131-CT'!$E$7),"131",""))</f>
        <v>131</v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94"/>
      <c r="AB260" s="833"/>
      <c r="AC260" s="198"/>
      <c r="AD260" s="198"/>
    </row>
    <row r="261" spans="1:30" s="831" customFormat="1" ht="15.75" customHeight="1">
      <c r="A261" s="204" t="str">
        <f>IF(B261&lt;&gt;"",IF(AND(B261&gt;=_TM1,B261&lt;=_TM2,OR(TH!L261="1111",TH!M261="1111")),TH!D261,""),"")</f>
        <v/>
      </c>
      <c r="B261" s="36">
        <f t="shared" si="21"/>
        <v>5</v>
      </c>
      <c r="C261" s="191">
        <v>40690</v>
      </c>
      <c r="D261" s="191" t="s">
        <v>960</v>
      </c>
      <c r="E261" s="191">
        <v>40690</v>
      </c>
      <c r="F261" s="192" t="s">
        <v>839</v>
      </c>
      <c r="G261" s="498" t="s">
        <v>834</v>
      </c>
      <c r="H261" s="7" t="s">
        <v>733</v>
      </c>
      <c r="I261" s="256">
        <v>20</v>
      </c>
      <c r="J261" s="256">
        <v>16023</v>
      </c>
      <c r="K261" s="614">
        <v>320460</v>
      </c>
      <c r="L261" s="194" t="s">
        <v>259</v>
      </c>
      <c r="M261" s="194" t="s">
        <v>167</v>
      </c>
      <c r="N261" s="52" t="str">
        <f>IF(AND('331-CT'!$E$7=TH!H261,OR(L261="331",M261="331")),"331",IF(AND(OR(L261="131",M261="131"),H261='131-CT'!$E$7),"131",""))</f>
        <v>131</v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94"/>
      <c r="AB261" s="833"/>
      <c r="AC261" s="198"/>
      <c r="AD261" s="198"/>
    </row>
    <row r="262" spans="1:30" s="831" customFormat="1" ht="15.75" customHeight="1">
      <c r="A262" s="204" t="str">
        <f>IF(B262&lt;&gt;"",IF(AND(B262&gt;=_TM1,B262&lt;=_TM2,OR(TH!L262="1111",TH!M262="1111")),TH!D262,""),"")</f>
        <v/>
      </c>
      <c r="B262" s="36">
        <f t="shared" si="21"/>
        <v>5</v>
      </c>
      <c r="C262" s="191">
        <v>40690</v>
      </c>
      <c r="D262" s="191" t="s">
        <v>960</v>
      </c>
      <c r="E262" s="191">
        <v>40690</v>
      </c>
      <c r="F262" s="192" t="s">
        <v>840</v>
      </c>
      <c r="G262" s="498" t="s">
        <v>834</v>
      </c>
      <c r="H262" s="7" t="s">
        <v>733</v>
      </c>
      <c r="I262" s="256">
        <v>1</v>
      </c>
      <c r="J262" s="256">
        <v>7358</v>
      </c>
      <c r="K262" s="614">
        <v>7358</v>
      </c>
      <c r="L262" s="194" t="s">
        <v>259</v>
      </c>
      <c r="M262" s="194" t="s">
        <v>167</v>
      </c>
      <c r="N262" s="52" t="str">
        <f>IF(AND('331-CT'!$E$7=TH!H262,OR(L262="331",M262="331")),"331",IF(AND(OR(L262="131",M262="131"),H262='131-CT'!$E$7),"131",""))</f>
        <v>131</v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94"/>
      <c r="AB262" s="833"/>
      <c r="AC262" s="198"/>
      <c r="AD262" s="198"/>
    </row>
    <row r="263" spans="1:30" s="831" customFormat="1" ht="15.75" customHeight="1">
      <c r="A263" s="204" t="str">
        <f>IF(B263&lt;&gt;"",IF(AND(B263&gt;=_TM1,B263&lt;=_TM2,OR(TH!L263="1111",TH!M263="1111")),TH!D263,""),"")</f>
        <v/>
      </c>
      <c r="B263" s="36">
        <f t="shared" si="21"/>
        <v>5</v>
      </c>
      <c r="C263" s="191">
        <v>40690</v>
      </c>
      <c r="D263" s="191" t="s">
        <v>960</v>
      </c>
      <c r="E263" s="191">
        <v>40690</v>
      </c>
      <c r="F263" s="192" t="s">
        <v>841</v>
      </c>
      <c r="G263" s="498" t="s">
        <v>834</v>
      </c>
      <c r="H263" s="7" t="s">
        <v>733</v>
      </c>
      <c r="I263" s="256">
        <v>4</v>
      </c>
      <c r="J263" s="256">
        <v>7429</v>
      </c>
      <c r="K263" s="614">
        <v>29716</v>
      </c>
      <c r="L263" s="194" t="s">
        <v>259</v>
      </c>
      <c r="M263" s="194" t="s">
        <v>167</v>
      </c>
      <c r="N263" s="52" t="str">
        <f>IF(AND('331-CT'!$E$7=TH!H263,OR(L263="331",M263="331")),"331",IF(AND(OR(L263="131",M263="131"),H263='131-CT'!$E$7),"131",""))</f>
        <v>131</v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94"/>
      <c r="AB263" s="833"/>
      <c r="AC263" s="198"/>
      <c r="AD263" s="198"/>
    </row>
    <row r="264" spans="1:30" s="831" customFormat="1" ht="15.75" customHeight="1">
      <c r="A264" s="204" t="str">
        <f>IF(B264&lt;&gt;"",IF(AND(B264&gt;=_TM1,B264&lt;=_TM2,OR(TH!L264="1111",TH!M264="1111")),TH!D264,""),"")</f>
        <v/>
      </c>
      <c r="B264" s="36">
        <f t="shared" si="21"/>
        <v>5</v>
      </c>
      <c r="C264" s="191">
        <v>40690</v>
      </c>
      <c r="D264" s="191" t="s">
        <v>960</v>
      </c>
      <c r="E264" s="191">
        <v>40690</v>
      </c>
      <c r="F264" s="192" t="s">
        <v>842</v>
      </c>
      <c r="G264" s="498" t="s">
        <v>834</v>
      </c>
      <c r="H264" s="7" t="s">
        <v>733</v>
      </c>
      <c r="I264" s="256">
        <v>2</v>
      </c>
      <c r="J264" s="256">
        <v>4823</v>
      </c>
      <c r="K264" s="614">
        <v>9646</v>
      </c>
      <c r="L264" s="194" t="s">
        <v>259</v>
      </c>
      <c r="M264" s="194" t="s">
        <v>167</v>
      </c>
      <c r="N264" s="52" t="str">
        <f>IF(AND('331-CT'!$E$7=TH!H264,OR(L264="331",M264="331")),"331",IF(AND(OR(L264="131",M264="131"),H264='131-CT'!$E$7),"131",""))</f>
        <v>131</v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94"/>
      <c r="AB264" s="833"/>
      <c r="AC264" s="198"/>
      <c r="AD264" s="198"/>
    </row>
    <row r="265" spans="1:30" s="831" customFormat="1" ht="15.75" customHeight="1">
      <c r="A265" s="204" t="str">
        <f>IF(B265&lt;&gt;"",IF(AND(B265&gt;=_TM1,B265&lt;=_TM2,OR(TH!L265="1111",TH!M265="1111")),TH!D265,""),"")</f>
        <v/>
      </c>
      <c r="B265" s="36">
        <f t="shared" si="21"/>
        <v>5</v>
      </c>
      <c r="C265" s="191">
        <v>40690</v>
      </c>
      <c r="D265" s="191" t="s">
        <v>960</v>
      </c>
      <c r="E265" s="191">
        <v>40690</v>
      </c>
      <c r="F265" s="192" t="s">
        <v>843</v>
      </c>
      <c r="G265" s="498" t="s">
        <v>834</v>
      </c>
      <c r="H265" s="7" t="s">
        <v>733</v>
      </c>
      <c r="I265" s="256">
        <v>2</v>
      </c>
      <c r="J265" s="256">
        <v>9141</v>
      </c>
      <c r="K265" s="614">
        <v>18282</v>
      </c>
      <c r="L265" s="194" t="s">
        <v>259</v>
      </c>
      <c r="M265" s="194" t="s">
        <v>167</v>
      </c>
      <c r="N265" s="52" t="str">
        <f>IF(AND('331-CT'!$E$7=TH!H265,OR(L265="331",M265="331")),"331",IF(AND(OR(L265="131",M265="131"),H265='131-CT'!$E$7),"131",""))</f>
        <v>131</v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94"/>
      <c r="AB265" s="833"/>
      <c r="AC265" s="198"/>
      <c r="AD265" s="198"/>
    </row>
    <row r="266" spans="1:30" s="831" customFormat="1" ht="15.75" customHeight="1">
      <c r="A266" s="204" t="str">
        <f>IF(B266&lt;&gt;"",IF(AND(B266&gt;=_TM1,B266&lt;=_TM2,OR(TH!L266="1111",TH!M266="1111")),TH!D266,""),"")</f>
        <v/>
      </c>
      <c r="B266" s="36">
        <f t="shared" si="21"/>
        <v>5</v>
      </c>
      <c r="C266" s="191">
        <v>40690</v>
      </c>
      <c r="D266" s="191" t="s">
        <v>960</v>
      </c>
      <c r="E266" s="191">
        <v>40690</v>
      </c>
      <c r="F266" s="192" t="s">
        <v>835</v>
      </c>
      <c r="G266" s="498" t="s">
        <v>834</v>
      </c>
      <c r="H266" s="7" t="s">
        <v>733</v>
      </c>
      <c r="I266" s="256"/>
      <c r="J266" s="256"/>
      <c r="K266" s="614">
        <f>213553+2</f>
        <v>213555</v>
      </c>
      <c r="L266" s="194" t="s">
        <v>259</v>
      </c>
      <c r="M266" s="194" t="s">
        <v>731</v>
      </c>
      <c r="N266" s="52" t="str">
        <f>IF(AND('331-CT'!$E$7=TH!H266,OR(L266="331",M266="331")),"331",IF(AND(OR(L266="131",M266="131"),H266='131-CT'!$E$7),"131",""))</f>
        <v>131</v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94"/>
      <c r="AB266" s="833"/>
      <c r="AC266" s="198"/>
      <c r="AD266" s="198"/>
    </row>
    <row r="267" spans="1:30" s="831" customFormat="1" ht="15.75" customHeight="1">
      <c r="A267" s="204" t="str">
        <f>IF(B267&lt;&gt;"",IF(AND(B267&gt;=_TM1,B267&lt;=_TM2,OR(TH!L267="1111",TH!M267="1111")),TH!D267,""),"")</f>
        <v/>
      </c>
      <c r="B267" s="36">
        <f t="shared" si="21"/>
        <v>5</v>
      </c>
      <c r="C267" s="191">
        <v>40690</v>
      </c>
      <c r="D267" s="191" t="s">
        <v>961</v>
      </c>
      <c r="E267" s="191">
        <v>40690</v>
      </c>
      <c r="F267" s="192" t="s">
        <v>849</v>
      </c>
      <c r="G267" s="498" t="s">
        <v>844</v>
      </c>
      <c r="H267" s="7" t="s">
        <v>733</v>
      </c>
      <c r="I267" s="256">
        <v>2</v>
      </c>
      <c r="J267" s="256">
        <v>7441</v>
      </c>
      <c r="K267" s="614">
        <v>14882</v>
      </c>
      <c r="L267" s="194" t="s">
        <v>259</v>
      </c>
      <c r="M267" s="194" t="s">
        <v>167</v>
      </c>
      <c r="N267" s="52" t="str">
        <f>IF(AND('331-CT'!$E$7=TH!H267,OR(L267="331",M267="331")),"331",IF(AND(OR(L267="131",M267="131"),H267='131-CT'!$E$7),"131",""))</f>
        <v>131</v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94"/>
      <c r="AB267" s="833"/>
      <c r="AC267" s="198"/>
      <c r="AD267" s="198"/>
    </row>
    <row r="268" spans="1:30" s="831" customFormat="1" ht="15.75" customHeight="1">
      <c r="A268" s="204" t="str">
        <f>IF(B268&lt;&gt;"",IF(AND(B268&gt;=_TM1,B268&lt;=_TM2,OR(TH!L268="1111",TH!M268="1111")),TH!D268,""),"")</f>
        <v/>
      </c>
      <c r="B268" s="36">
        <f t="shared" si="21"/>
        <v>5</v>
      </c>
      <c r="C268" s="191">
        <v>40690</v>
      </c>
      <c r="D268" s="191" t="s">
        <v>961</v>
      </c>
      <c r="E268" s="191">
        <v>40690</v>
      </c>
      <c r="F268" s="192" t="s">
        <v>850</v>
      </c>
      <c r="G268" s="498" t="s">
        <v>844</v>
      </c>
      <c r="H268" s="7" t="s">
        <v>733</v>
      </c>
      <c r="I268" s="256">
        <v>5</v>
      </c>
      <c r="J268" s="256">
        <v>7175</v>
      </c>
      <c r="K268" s="614">
        <v>35875</v>
      </c>
      <c r="L268" s="194" t="s">
        <v>259</v>
      </c>
      <c r="M268" s="194" t="s">
        <v>167</v>
      </c>
      <c r="N268" s="52" t="str">
        <f>IF(AND('331-CT'!$E$7=TH!H268,OR(L268="331",M268="331")),"331",IF(AND(OR(L268="131",M268="131"),H268='131-CT'!$E$7),"131",""))</f>
        <v>131</v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94"/>
      <c r="AB268" s="833"/>
      <c r="AC268" s="198"/>
      <c r="AD268" s="198"/>
    </row>
    <row r="269" spans="1:30" s="831" customFormat="1" ht="15.75" customHeight="1">
      <c r="A269" s="204" t="str">
        <f>IF(B269&lt;&gt;"",IF(AND(B269&gt;=_TM1,B269&lt;=_TM2,OR(TH!L269="1111",TH!M269="1111")),TH!D269,""),"")</f>
        <v/>
      </c>
      <c r="B269" s="36">
        <f t="shared" si="21"/>
        <v>5</v>
      </c>
      <c r="C269" s="191">
        <v>40690</v>
      </c>
      <c r="D269" s="191" t="s">
        <v>961</v>
      </c>
      <c r="E269" s="191">
        <v>40690</v>
      </c>
      <c r="F269" s="192" t="s">
        <v>851</v>
      </c>
      <c r="G269" s="498" t="s">
        <v>844</v>
      </c>
      <c r="H269" s="7" t="s">
        <v>733</v>
      </c>
      <c r="I269" s="256">
        <v>86</v>
      </c>
      <c r="J269" s="256">
        <v>19591</v>
      </c>
      <c r="K269" s="614">
        <v>1684826</v>
      </c>
      <c r="L269" s="194" t="s">
        <v>259</v>
      </c>
      <c r="M269" s="194" t="s">
        <v>167</v>
      </c>
      <c r="N269" s="52" t="str">
        <f>IF(AND('331-CT'!$E$7=TH!H269,OR(L269="331",M269="331")),"331",IF(AND(OR(L269="131",M269="131"),H269='131-CT'!$E$7),"131",""))</f>
        <v>131</v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94"/>
      <c r="AB269" s="833"/>
      <c r="AC269" s="198"/>
      <c r="AD269" s="198"/>
    </row>
    <row r="270" spans="1:30" s="831" customFormat="1" ht="15.75" customHeight="1">
      <c r="A270" s="204" t="str">
        <f>IF(B270&lt;&gt;"",IF(AND(B270&gt;=_TM1,B270&lt;=_TM2,OR(TH!L270="1111",TH!M270="1111")),TH!D270,""),"")</f>
        <v/>
      </c>
      <c r="B270" s="36">
        <f t="shared" si="21"/>
        <v>5</v>
      </c>
      <c r="C270" s="191">
        <v>40690</v>
      </c>
      <c r="D270" s="191" t="s">
        <v>961</v>
      </c>
      <c r="E270" s="191">
        <v>40690</v>
      </c>
      <c r="F270" s="192" t="s">
        <v>848</v>
      </c>
      <c r="G270" s="498" t="s">
        <v>844</v>
      </c>
      <c r="H270" s="7" t="s">
        <v>733</v>
      </c>
      <c r="I270" s="256"/>
      <c r="J270" s="256"/>
      <c r="K270" s="614">
        <f>173558+1</f>
        <v>173559</v>
      </c>
      <c r="L270" s="194" t="s">
        <v>259</v>
      </c>
      <c r="M270" s="194" t="s">
        <v>731</v>
      </c>
      <c r="N270" s="52" t="str">
        <f>IF(AND('331-CT'!$E$7=TH!H270,OR(L270="331",M270="331")),"331",IF(AND(OR(L270="131",M270="131"),H270='131-CT'!$E$7),"131",""))</f>
        <v>131</v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94"/>
      <c r="AB270" s="833"/>
      <c r="AC270" s="198"/>
      <c r="AD270" s="198"/>
    </row>
    <row r="271" spans="1:30" s="831" customFormat="1" ht="15.75" customHeight="1">
      <c r="A271" s="204" t="str">
        <f>IF(B271&lt;&gt;"",IF(AND(B271&gt;=_TM1,B271&lt;=_TM2,OR(TH!L271="1111",TH!M271="1111")),TH!D271,""),"")</f>
        <v/>
      </c>
      <c r="B271" s="36">
        <f t="shared" si="21"/>
        <v>5</v>
      </c>
      <c r="C271" s="191">
        <v>40690</v>
      </c>
      <c r="D271" s="191" t="s">
        <v>964</v>
      </c>
      <c r="E271" s="191">
        <v>40690</v>
      </c>
      <c r="F271" s="192" t="s">
        <v>852</v>
      </c>
      <c r="G271" s="498" t="s">
        <v>845</v>
      </c>
      <c r="H271" s="7" t="s">
        <v>733</v>
      </c>
      <c r="I271" s="256">
        <v>4</v>
      </c>
      <c r="J271" s="256">
        <v>16433</v>
      </c>
      <c r="K271" s="614">
        <v>65732</v>
      </c>
      <c r="L271" s="194" t="s">
        <v>259</v>
      </c>
      <c r="M271" s="194" t="s">
        <v>167</v>
      </c>
      <c r="N271" s="52" t="str">
        <f>IF(AND('331-CT'!$E$7=TH!H271,OR(L271="331",M271="331")),"331",IF(AND(OR(L271="131",M271="131"),H271='131-CT'!$E$7),"131",""))</f>
        <v>131</v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94"/>
      <c r="AB271" s="833"/>
      <c r="AC271" s="198"/>
      <c r="AD271" s="198"/>
    </row>
    <row r="272" spans="1:30" s="831" customFormat="1" ht="15.75" customHeight="1">
      <c r="A272" s="204" t="str">
        <f>IF(B272&lt;&gt;"",IF(AND(B272&gt;=_TM1,B272&lt;=_TM2,OR(TH!L272="1111",TH!M272="1111")),TH!D272,""),"")</f>
        <v/>
      </c>
      <c r="B272" s="36">
        <f t="shared" si="21"/>
        <v>5</v>
      </c>
      <c r="C272" s="191">
        <v>40690</v>
      </c>
      <c r="D272" s="191" t="s">
        <v>964</v>
      </c>
      <c r="E272" s="191">
        <v>40690</v>
      </c>
      <c r="F272" s="192" t="s">
        <v>853</v>
      </c>
      <c r="G272" s="498" t="s">
        <v>845</v>
      </c>
      <c r="H272" s="7" t="s">
        <v>733</v>
      </c>
      <c r="I272" s="256">
        <v>24</v>
      </c>
      <c r="J272" s="256">
        <v>15538</v>
      </c>
      <c r="K272" s="614">
        <v>372912</v>
      </c>
      <c r="L272" s="194" t="s">
        <v>259</v>
      </c>
      <c r="M272" s="194" t="s">
        <v>167</v>
      </c>
      <c r="N272" s="52" t="str">
        <f>IF(AND('331-CT'!$E$7=TH!H272,OR(L272="331",M272="331")),"331",IF(AND(OR(L272="131",M272="131"),H272='131-CT'!$E$7),"131",""))</f>
        <v>131</v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94"/>
      <c r="AB272" s="833"/>
      <c r="AC272" s="198"/>
      <c r="AD272" s="198"/>
    </row>
    <row r="273" spans="1:30" s="831" customFormat="1" ht="15.75" customHeight="1">
      <c r="A273" s="204" t="str">
        <f>IF(B273&lt;&gt;"",IF(AND(B273&gt;=_TM1,B273&lt;=_TM2,OR(TH!L273="1111",TH!M273="1111")),TH!D273,""),"")</f>
        <v/>
      </c>
      <c r="B273" s="36">
        <f t="shared" si="21"/>
        <v>5</v>
      </c>
      <c r="C273" s="191">
        <v>40690</v>
      </c>
      <c r="D273" s="191" t="s">
        <v>964</v>
      </c>
      <c r="E273" s="191">
        <v>40690</v>
      </c>
      <c r="F273" s="838" t="s">
        <v>854</v>
      </c>
      <c r="G273" s="498" t="s">
        <v>845</v>
      </c>
      <c r="H273" s="7" t="s">
        <v>733</v>
      </c>
      <c r="I273" s="256">
        <v>364</v>
      </c>
      <c r="J273" s="256">
        <v>17124</v>
      </c>
      <c r="K273" s="614">
        <v>6233136</v>
      </c>
      <c r="L273" s="194" t="s">
        <v>259</v>
      </c>
      <c r="M273" s="194" t="s">
        <v>167</v>
      </c>
      <c r="N273" s="52" t="str">
        <f>IF(AND('331-CT'!$E$7=TH!H273,OR(L273="331",M273="331")),"331",IF(AND(OR(L273="131",M273="131"),H273='131-CT'!$E$7),"131",""))</f>
        <v>131</v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94"/>
      <c r="AB273" s="833"/>
      <c r="AC273" s="198"/>
      <c r="AD273" s="198"/>
    </row>
    <row r="274" spans="1:30" s="831" customFormat="1" ht="15.75" customHeight="1">
      <c r="A274" s="204" t="str">
        <f>IF(B274&lt;&gt;"",IF(AND(B274&gt;=_TM1,B274&lt;=_TM2,OR(TH!L274="1111",TH!M274="1111")),TH!D274,""),"")</f>
        <v/>
      </c>
      <c r="B274" s="36">
        <f t="shared" si="21"/>
        <v>5</v>
      </c>
      <c r="C274" s="191">
        <v>40690</v>
      </c>
      <c r="D274" s="191" t="s">
        <v>964</v>
      </c>
      <c r="E274" s="191">
        <v>40690</v>
      </c>
      <c r="F274" s="192" t="s">
        <v>855</v>
      </c>
      <c r="G274" s="498" t="s">
        <v>845</v>
      </c>
      <c r="H274" s="7" t="s">
        <v>733</v>
      </c>
      <c r="I274" s="256">
        <v>2</v>
      </c>
      <c r="J274" s="256">
        <v>12738</v>
      </c>
      <c r="K274" s="614">
        <v>25476</v>
      </c>
      <c r="L274" s="194" t="s">
        <v>259</v>
      </c>
      <c r="M274" s="194" t="s">
        <v>167</v>
      </c>
      <c r="N274" s="52" t="str">
        <f>IF(AND('331-CT'!$E$7=TH!H274,OR(L274="331",M274="331")),"331",IF(AND(OR(L274="131",M274="131"),H274='131-CT'!$E$7),"131",""))</f>
        <v>131</v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94"/>
      <c r="AB274" s="198"/>
      <c r="AC274" s="198"/>
      <c r="AD274" s="198"/>
    </row>
    <row r="275" spans="1:30" s="831" customFormat="1" ht="15.75" customHeight="1">
      <c r="A275" s="204" t="str">
        <f>IF(B275&lt;&gt;"",IF(AND(B275&gt;=_TM1,B275&lt;=_TM2,OR(TH!L275="1111",TH!M275="1111")),TH!D275,""),"")</f>
        <v/>
      </c>
      <c r="B275" s="36">
        <f t="shared" si="21"/>
        <v>5</v>
      </c>
      <c r="C275" s="191">
        <v>40690</v>
      </c>
      <c r="D275" s="191" t="s">
        <v>964</v>
      </c>
      <c r="E275" s="191">
        <v>40690</v>
      </c>
      <c r="F275" s="192" t="s">
        <v>856</v>
      </c>
      <c r="G275" s="498" t="s">
        <v>845</v>
      </c>
      <c r="H275" s="7" t="s">
        <v>733</v>
      </c>
      <c r="I275" s="256">
        <v>10</v>
      </c>
      <c r="J275" s="256">
        <v>14997</v>
      </c>
      <c r="K275" s="614">
        <v>149970</v>
      </c>
      <c r="L275" s="194" t="s">
        <v>259</v>
      </c>
      <c r="M275" s="194" t="s">
        <v>167</v>
      </c>
      <c r="N275" s="52" t="str">
        <f>IF(AND('331-CT'!$E$7=TH!H275,OR(L275="331",M275="331")),"331",IF(AND(OR(L275="131",M275="131"),H275='131-CT'!$E$7),"131",""))</f>
        <v>131</v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94"/>
      <c r="AB275" s="198"/>
      <c r="AC275" s="198"/>
      <c r="AD275" s="198"/>
    </row>
    <row r="276" spans="1:30" s="833" customFormat="1" ht="15.75" customHeight="1">
      <c r="A276" s="204" t="str">
        <f>IF(B276&lt;&gt;"",IF(AND(B276&gt;=_TM1,B276&lt;=_TM2,OR(TH!L276="1111",TH!M276="1111")),TH!D276,""),"")</f>
        <v/>
      </c>
      <c r="B276" s="36">
        <f t="shared" si="21"/>
        <v>5</v>
      </c>
      <c r="C276" s="191">
        <v>40690</v>
      </c>
      <c r="D276" s="191" t="s">
        <v>964</v>
      </c>
      <c r="E276" s="191">
        <v>40690</v>
      </c>
      <c r="F276" s="192" t="s">
        <v>857</v>
      </c>
      <c r="G276" s="498" t="s">
        <v>845</v>
      </c>
      <c r="H276" s="7" t="s">
        <v>733</v>
      </c>
      <c r="I276" s="256">
        <v>414</v>
      </c>
      <c r="J276" s="256">
        <v>16852</v>
      </c>
      <c r="K276" s="614">
        <v>6976728</v>
      </c>
      <c r="L276" s="194" t="s">
        <v>259</v>
      </c>
      <c r="M276" s="194" t="s">
        <v>167</v>
      </c>
      <c r="N276" s="52" t="str">
        <f>IF(AND('331-CT'!$E$7=TH!H276,OR(L276="331",M276="331")),"331",IF(AND(OR(L276="131",M276="131"),H276='131-CT'!$E$7),"131",""))</f>
        <v>131</v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94"/>
      <c r="AB276" s="198"/>
      <c r="AC276" s="198"/>
      <c r="AD276" s="198"/>
    </row>
    <row r="277" spans="1:30" ht="15.75" customHeight="1">
      <c r="A277" s="204" t="str">
        <f>IF(B277&lt;&gt;"",IF(AND(B277&gt;=_TM1,B277&lt;=_TM2,OR(TH!L277="1111",TH!M277="1111")),TH!D277,""),"")</f>
        <v/>
      </c>
      <c r="B277" s="36">
        <f t="shared" si="21"/>
        <v>5</v>
      </c>
      <c r="C277" s="191">
        <v>40690</v>
      </c>
      <c r="D277" s="191" t="s">
        <v>964</v>
      </c>
      <c r="E277" s="191">
        <v>40690</v>
      </c>
      <c r="F277" s="192" t="s">
        <v>858</v>
      </c>
      <c r="G277" s="498" t="s">
        <v>845</v>
      </c>
      <c r="H277" s="7" t="s">
        <v>733</v>
      </c>
      <c r="I277" s="256">
        <v>1380</v>
      </c>
      <c r="J277" s="256">
        <v>14135</v>
      </c>
      <c r="K277" s="614">
        <v>19506300</v>
      </c>
      <c r="L277" s="194" t="s">
        <v>259</v>
      </c>
      <c r="M277" s="194" t="s">
        <v>167</v>
      </c>
      <c r="N277" s="52" t="str">
        <f>IF(AND('331-CT'!$E$7=TH!H277,OR(L277="331",M277="331")),"331",IF(AND(OR(L277="131",M277="131"),H277='131-CT'!$E$7),"131",""))</f>
        <v>131</v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94"/>
    </row>
    <row r="278" spans="1:30" ht="15.75" customHeight="1">
      <c r="A278" s="204" t="str">
        <f>IF(B278&lt;&gt;"",IF(AND(B278&gt;=_TM1,B278&lt;=_TM2,OR(TH!L278="1111",TH!M278="1111")),TH!D278,""),"")</f>
        <v/>
      </c>
      <c r="B278" s="36">
        <f t="shared" si="21"/>
        <v>5</v>
      </c>
      <c r="C278" s="191">
        <v>40690</v>
      </c>
      <c r="D278" s="191" t="s">
        <v>964</v>
      </c>
      <c r="E278" s="191">
        <v>40690</v>
      </c>
      <c r="F278" s="192" t="s">
        <v>859</v>
      </c>
      <c r="G278" s="498" t="s">
        <v>845</v>
      </c>
      <c r="H278" s="7" t="s">
        <v>733</v>
      </c>
      <c r="I278" s="256">
        <v>1127</v>
      </c>
      <c r="J278" s="256">
        <v>14920</v>
      </c>
      <c r="K278" s="614">
        <v>16814840</v>
      </c>
      <c r="L278" s="194" t="s">
        <v>259</v>
      </c>
      <c r="M278" s="194" t="s">
        <v>167</v>
      </c>
      <c r="N278" s="52" t="str">
        <f>IF(AND('331-CT'!$E$7=TH!H278,OR(L278="331",M278="331")),"331",IF(AND(OR(L278="131",M278="131"),H278='131-CT'!$E$7),"131",""))</f>
        <v>131</v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94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21"/>
        <v>5</v>
      </c>
      <c r="C279" s="191">
        <v>40690</v>
      </c>
      <c r="D279" s="191" t="s">
        <v>964</v>
      </c>
      <c r="E279" s="191">
        <v>40690</v>
      </c>
      <c r="F279" s="192" t="s">
        <v>835</v>
      </c>
      <c r="G279" s="498" t="s">
        <v>845</v>
      </c>
      <c r="H279" s="7" t="s">
        <v>733</v>
      </c>
      <c r="I279" s="256"/>
      <c r="J279" s="256"/>
      <c r="K279" s="614">
        <v>5014509</v>
      </c>
      <c r="L279" s="194" t="s">
        <v>259</v>
      </c>
      <c r="M279" s="194" t="s">
        <v>731</v>
      </c>
      <c r="N279" s="52" t="str">
        <f>IF(AND('331-CT'!$E$7=TH!H279,OR(L279="331",M279="331")),"331",IF(AND(OR(L279="131",M279="131"),H279='131-CT'!$E$7),"131",""))</f>
        <v>131</v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94"/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si="21"/>
        <v>5</v>
      </c>
      <c r="C280" s="191">
        <v>40690</v>
      </c>
      <c r="D280" s="191" t="s">
        <v>957</v>
      </c>
      <c r="E280" s="191">
        <v>40690</v>
      </c>
      <c r="F280" s="192" t="s">
        <v>819</v>
      </c>
      <c r="G280" s="498" t="s">
        <v>586</v>
      </c>
      <c r="H280" s="7" t="s">
        <v>734</v>
      </c>
      <c r="I280" s="258">
        <v>98</v>
      </c>
      <c r="J280" s="258">
        <v>17821.5</v>
      </c>
      <c r="K280" s="614">
        <f t="shared" ref="K280:K311" si="24">ROUND(I280*J280,0)</f>
        <v>1746507</v>
      </c>
      <c r="L280" s="854" t="s">
        <v>165</v>
      </c>
      <c r="M280" s="854" t="s">
        <v>159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>632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94"/>
      <c r="AB280" s="833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ref="B281:B344" si="25">IF(C281&lt;&gt;"",MONTH(C281),"")</f>
        <v>5</v>
      </c>
      <c r="C281" s="191">
        <v>40690</v>
      </c>
      <c r="D281" s="191" t="s">
        <v>957</v>
      </c>
      <c r="E281" s="191">
        <v>40690</v>
      </c>
      <c r="F281" s="192" t="s">
        <v>820</v>
      </c>
      <c r="G281" s="498" t="s">
        <v>586</v>
      </c>
      <c r="H281" s="7" t="s">
        <v>734</v>
      </c>
      <c r="I281" s="256">
        <v>177</v>
      </c>
      <c r="J281" s="256">
        <v>13728.152542372882</v>
      </c>
      <c r="K281" s="614">
        <f t="shared" si="24"/>
        <v>2429883</v>
      </c>
      <c r="L281" s="854" t="s">
        <v>165</v>
      </c>
      <c r="M281" s="854" t="s">
        <v>159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>632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94"/>
      <c r="AB281" s="833"/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si="25"/>
        <v>5</v>
      </c>
      <c r="C282" s="191">
        <v>40690</v>
      </c>
      <c r="D282" s="191" t="s">
        <v>957</v>
      </c>
      <c r="E282" s="191">
        <v>40690</v>
      </c>
      <c r="F282" s="192" t="s">
        <v>821</v>
      </c>
      <c r="G282" s="498" t="s">
        <v>586</v>
      </c>
      <c r="H282" s="7" t="s">
        <v>734</v>
      </c>
      <c r="I282" s="256">
        <v>205</v>
      </c>
      <c r="J282" s="256">
        <v>17799.141463414635</v>
      </c>
      <c r="K282" s="614">
        <f t="shared" si="24"/>
        <v>3648824</v>
      </c>
      <c r="L282" s="854" t="s">
        <v>165</v>
      </c>
      <c r="M282" s="854" t="s">
        <v>159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>632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94"/>
      <c r="AB282" s="833"/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25"/>
        <v>5</v>
      </c>
      <c r="C283" s="191">
        <v>40690</v>
      </c>
      <c r="D283" s="191" t="s">
        <v>957</v>
      </c>
      <c r="E283" s="191">
        <v>40690</v>
      </c>
      <c r="F283" s="192" t="s">
        <v>829</v>
      </c>
      <c r="G283" s="498" t="s">
        <v>586</v>
      </c>
      <c r="H283" s="7" t="s">
        <v>734</v>
      </c>
      <c r="I283" s="256">
        <v>283</v>
      </c>
      <c r="J283" s="256">
        <v>8627.5088339222621</v>
      </c>
      <c r="K283" s="614">
        <f t="shared" si="24"/>
        <v>2441585</v>
      </c>
      <c r="L283" s="854" t="s">
        <v>165</v>
      </c>
      <c r="M283" s="854" t="s">
        <v>159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>632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94"/>
      <c r="AB283" s="833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si="25"/>
        <v>5</v>
      </c>
      <c r="C284" s="191">
        <v>40690</v>
      </c>
      <c r="D284" s="191" t="s">
        <v>957</v>
      </c>
      <c r="E284" s="191">
        <v>40690</v>
      </c>
      <c r="F284" s="192" t="s">
        <v>822</v>
      </c>
      <c r="G284" s="498" t="s">
        <v>586</v>
      </c>
      <c r="H284" s="7" t="s">
        <v>734</v>
      </c>
      <c r="I284" s="256">
        <v>493</v>
      </c>
      <c r="J284" s="256">
        <v>6982.8945233265722</v>
      </c>
      <c r="K284" s="614">
        <f t="shared" si="24"/>
        <v>3442567</v>
      </c>
      <c r="L284" s="854" t="s">
        <v>165</v>
      </c>
      <c r="M284" s="854" t="s">
        <v>159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>632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94"/>
      <c r="AB284" s="833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25"/>
        <v>5</v>
      </c>
      <c r="C285" s="191">
        <v>40690</v>
      </c>
      <c r="D285" s="191" t="s">
        <v>957</v>
      </c>
      <c r="E285" s="191">
        <v>40690</v>
      </c>
      <c r="F285" s="192" t="s">
        <v>823</v>
      </c>
      <c r="G285" s="498" t="s">
        <v>586</v>
      </c>
      <c r="H285" s="7" t="s">
        <v>734</v>
      </c>
      <c r="I285" s="256">
        <v>398</v>
      </c>
      <c r="J285" s="256">
        <v>7190.510050251256</v>
      </c>
      <c r="K285" s="614">
        <f t="shared" si="24"/>
        <v>2861823</v>
      </c>
      <c r="L285" s="854" t="s">
        <v>165</v>
      </c>
      <c r="M285" s="854" t="s">
        <v>159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>632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94"/>
      <c r="AB285" s="833"/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si="25"/>
        <v>5</v>
      </c>
      <c r="C286" s="191">
        <v>40690</v>
      </c>
      <c r="D286" s="191" t="s">
        <v>957</v>
      </c>
      <c r="E286" s="191">
        <v>40690</v>
      </c>
      <c r="F286" s="192" t="s">
        <v>824</v>
      </c>
      <c r="G286" s="498" t="s">
        <v>586</v>
      </c>
      <c r="H286" s="7" t="s">
        <v>734</v>
      </c>
      <c r="I286" s="256">
        <v>98</v>
      </c>
      <c r="J286" s="256">
        <v>13728.887755102041</v>
      </c>
      <c r="K286" s="614">
        <f t="shared" si="24"/>
        <v>1345431</v>
      </c>
      <c r="L286" s="854" t="s">
        <v>165</v>
      </c>
      <c r="M286" s="854" t="s">
        <v>159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>632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94"/>
      <c r="AB286" s="833"/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25"/>
        <v>5</v>
      </c>
      <c r="C287" s="191">
        <v>40690</v>
      </c>
      <c r="D287" s="191" t="s">
        <v>958</v>
      </c>
      <c r="E287" s="191">
        <v>40690</v>
      </c>
      <c r="F287" s="192" t="s">
        <v>827</v>
      </c>
      <c r="G287" s="498" t="s">
        <v>825</v>
      </c>
      <c r="H287" s="7" t="s">
        <v>734</v>
      </c>
      <c r="I287" s="256">
        <v>191</v>
      </c>
      <c r="J287" s="256">
        <v>17288.172774869108</v>
      </c>
      <c r="K287" s="614">
        <f t="shared" si="24"/>
        <v>3302041</v>
      </c>
      <c r="L287" s="854" t="s">
        <v>165</v>
      </c>
      <c r="M287" s="854" t="s">
        <v>159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>632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94"/>
      <c r="AB287" s="833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25"/>
        <v>5</v>
      </c>
      <c r="C288" s="191">
        <v>40690</v>
      </c>
      <c r="D288" s="191" t="s">
        <v>958</v>
      </c>
      <c r="E288" s="191">
        <v>40690</v>
      </c>
      <c r="F288" s="192" t="s">
        <v>828</v>
      </c>
      <c r="G288" s="498" t="s">
        <v>825</v>
      </c>
      <c r="H288" s="7" t="s">
        <v>734</v>
      </c>
      <c r="I288" s="256">
        <v>206</v>
      </c>
      <c r="J288" s="256">
        <v>14857.509708737864</v>
      </c>
      <c r="K288" s="614">
        <f t="shared" si="24"/>
        <v>3060647</v>
      </c>
      <c r="L288" s="854" t="s">
        <v>165</v>
      </c>
      <c r="M288" s="854" t="s">
        <v>159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>632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94"/>
      <c r="AB288" s="833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25"/>
        <v>5</v>
      </c>
      <c r="C289" s="191">
        <v>40690</v>
      </c>
      <c r="D289" s="191" t="s">
        <v>959</v>
      </c>
      <c r="E289" s="191">
        <v>40690</v>
      </c>
      <c r="F289" s="192" t="s">
        <v>830</v>
      </c>
      <c r="G289" s="498" t="s">
        <v>826</v>
      </c>
      <c r="H289" s="7" t="s">
        <v>733</v>
      </c>
      <c r="I289" s="256">
        <v>50</v>
      </c>
      <c r="J289" s="256">
        <v>12189.5</v>
      </c>
      <c r="K289" s="614">
        <f t="shared" si="24"/>
        <v>609475</v>
      </c>
      <c r="L289" s="854" t="s">
        <v>165</v>
      </c>
      <c r="M289" s="854" t="s">
        <v>159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632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94"/>
      <c r="AB289" s="833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25"/>
        <v>5</v>
      </c>
      <c r="C290" s="191">
        <v>40690</v>
      </c>
      <c r="D290" s="191" t="s">
        <v>959</v>
      </c>
      <c r="E290" s="191">
        <v>40690</v>
      </c>
      <c r="F290" s="192" t="s">
        <v>756</v>
      </c>
      <c r="G290" s="498" t="s">
        <v>826</v>
      </c>
      <c r="H290" s="7" t="s">
        <v>733</v>
      </c>
      <c r="I290" s="256">
        <v>300</v>
      </c>
      <c r="J290" s="256">
        <v>2471.7633333333333</v>
      </c>
      <c r="K290" s="614">
        <f t="shared" si="24"/>
        <v>741529</v>
      </c>
      <c r="L290" s="854" t="s">
        <v>165</v>
      </c>
      <c r="M290" s="854" t="s">
        <v>159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>632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94"/>
      <c r="AB290" s="833"/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si="25"/>
        <v>5</v>
      </c>
      <c r="C291" s="191">
        <v>40690</v>
      </c>
      <c r="D291" s="191" t="s">
        <v>959</v>
      </c>
      <c r="E291" s="191">
        <v>40690</v>
      </c>
      <c r="F291" s="192" t="s">
        <v>831</v>
      </c>
      <c r="G291" s="498" t="s">
        <v>826</v>
      </c>
      <c r="H291" s="7" t="s">
        <v>733</v>
      </c>
      <c r="I291" s="256">
        <v>7</v>
      </c>
      <c r="J291" s="256">
        <v>17484.571428571428</v>
      </c>
      <c r="K291" s="614">
        <f t="shared" si="24"/>
        <v>122392</v>
      </c>
      <c r="L291" s="854" t="s">
        <v>165</v>
      </c>
      <c r="M291" s="854" t="s">
        <v>159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>632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94"/>
      <c r="AB291" s="833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25"/>
        <v>5</v>
      </c>
      <c r="C292" s="191">
        <v>40690</v>
      </c>
      <c r="D292" s="191" t="s">
        <v>959</v>
      </c>
      <c r="E292" s="191">
        <v>40690</v>
      </c>
      <c r="F292" s="192" t="s">
        <v>832</v>
      </c>
      <c r="G292" s="498" t="s">
        <v>826</v>
      </c>
      <c r="H292" s="7" t="s">
        <v>733</v>
      </c>
      <c r="I292" s="256">
        <v>7</v>
      </c>
      <c r="J292" s="256">
        <v>17484.571428571428</v>
      </c>
      <c r="K292" s="614">
        <f t="shared" si="24"/>
        <v>122392</v>
      </c>
      <c r="L292" s="854" t="s">
        <v>165</v>
      </c>
      <c r="M292" s="854" t="s">
        <v>159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632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94"/>
      <c r="AB292" s="833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25"/>
        <v>5</v>
      </c>
      <c r="C293" s="191">
        <v>40690</v>
      </c>
      <c r="D293" s="191" t="s">
        <v>959</v>
      </c>
      <c r="E293" s="191">
        <v>40690</v>
      </c>
      <c r="F293" s="192" t="s">
        <v>830</v>
      </c>
      <c r="G293" s="498" t="s">
        <v>826</v>
      </c>
      <c r="H293" s="7" t="s">
        <v>733</v>
      </c>
      <c r="I293" s="256">
        <v>250</v>
      </c>
      <c r="J293" s="256">
        <v>12946.512000000001</v>
      </c>
      <c r="K293" s="614">
        <f t="shared" si="24"/>
        <v>3236628</v>
      </c>
      <c r="L293" s="854" t="s">
        <v>165</v>
      </c>
      <c r="M293" s="854" t="s">
        <v>159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>632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94"/>
      <c r="AB293" s="833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25"/>
        <v>5</v>
      </c>
      <c r="C294" s="191">
        <v>40690</v>
      </c>
      <c r="D294" s="191" t="s">
        <v>959</v>
      </c>
      <c r="E294" s="191">
        <v>40690</v>
      </c>
      <c r="F294" s="192" t="s">
        <v>833</v>
      </c>
      <c r="G294" s="498" t="s">
        <v>826</v>
      </c>
      <c r="H294" s="7" t="s">
        <v>733</v>
      </c>
      <c r="I294" s="256">
        <v>90</v>
      </c>
      <c r="J294" s="256">
        <v>15310.011111111111</v>
      </c>
      <c r="K294" s="614">
        <f t="shared" si="24"/>
        <v>1377901</v>
      </c>
      <c r="L294" s="854" t="s">
        <v>165</v>
      </c>
      <c r="M294" s="854" t="s">
        <v>159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632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94"/>
      <c r="AB294" s="833"/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25"/>
        <v>5</v>
      </c>
      <c r="C295" s="191">
        <v>40690</v>
      </c>
      <c r="D295" s="191" t="s">
        <v>959</v>
      </c>
      <c r="E295" s="191">
        <v>40690</v>
      </c>
      <c r="F295" s="192" t="s">
        <v>756</v>
      </c>
      <c r="G295" s="498" t="s">
        <v>826</v>
      </c>
      <c r="H295" s="7" t="s">
        <v>733</v>
      </c>
      <c r="I295" s="256">
        <v>90</v>
      </c>
      <c r="J295" s="256">
        <v>3584.0111111111109</v>
      </c>
      <c r="K295" s="614">
        <f t="shared" si="24"/>
        <v>322561</v>
      </c>
      <c r="L295" s="854" t="s">
        <v>165</v>
      </c>
      <c r="M295" s="854" t="s">
        <v>159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632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94"/>
      <c r="AB295" s="833"/>
      <c r="AC295" s="198"/>
      <c r="AD295" s="198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25"/>
        <v>5</v>
      </c>
      <c r="C296" s="191">
        <v>40690</v>
      </c>
      <c r="D296" s="191" t="s">
        <v>960</v>
      </c>
      <c r="E296" s="191">
        <v>40690</v>
      </c>
      <c r="F296" s="192" t="s">
        <v>836</v>
      </c>
      <c r="G296" s="498" t="s">
        <v>834</v>
      </c>
      <c r="H296" s="7" t="s">
        <v>733</v>
      </c>
      <c r="I296" s="256">
        <v>2</v>
      </c>
      <c r="J296" s="256">
        <v>7759.5</v>
      </c>
      <c r="K296" s="614">
        <f t="shared" si="24"/>
        <v>15519</v>
      </c>
      <c r="L296" s="854" t="s">
        <v>165</v>
      </c>
      <c r="M296" s="854" t="s">
        <v>159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632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94"/>
      <c r="AB296" s="833"/>
      <c r="AC296" s="198"/>
      <c r="AD296" s="198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25"/>
        <v>5</v>
      </c>
      <c r="C297" s="191">
        <v>40690</v>
      </c>
      <c r="D297" s="191" t="s">
        <v>960</v>
      </c>
      <c r="E297" s="191">
        <v>40690</v>
      </c>
      <c r="F297" s="192" t="s">
        <v>837</v>
      </c>
      <c r="G297" s="498" t="s">
        <v>834</v>
      </c>
      <c r="H297" s="7" t="s">
        <v>733</v>
      </c>
      <c r="I297" s="256">
        <v>2</v>
      </c>
      <c r="J297" s="256">
        <v>3655.5</v>
      </c>
      <c r="K297" s="614">
        <f t="shared" si="24"/>
        <v>7311</v>
      </c>
      <c r="L297" s="854" t="s">
        <v>165</v>
      </c>
      <c r="M297" s="854" t="s">
        <v>159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632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94"/>
      <c r="AB297" s="833"/>
      <c r="AC297" s="198"/>
      <c r="AD297" s="198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25"/>
        <v>5</v>
      </c>
      <c r="C298" s="191">
        <v>40690</v>
      </c>
      <c r="D298" s="191" t="s">
        <v>960</v>
      </c>
      <c r="E298" s="191">
        <v>40690</v>
      </c>
      <c r="F298" s="192" t="s">
        <v>838</v>
      </c>
      <c r="G298" s="498" t="s">
        <v>834</v>
      </c>
      <c r="H298" s="7" t="s">
        <v>733</v>
      </c>
      <c r="I298" s="256">
        <v>195</v>
      </c>
      <c r="J298" s="256">
        <v>7890.7948717948721</v>
      </c>
      <c r="K298" s="614">
        <f t="shared" si="24"/>
        <v>1538705</v>
      </c>
      <c r="L298" s="854" t="s">
        <v>165</v>
      </c>
      <c r="M298" s="854" t="s">
        <v>159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632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94"/>
      <c r="AB298" s="833"/>
      <c r="AC298" s="198"/>
      <c r="AD298" s="198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25"/>
        <v>5</v>
      </c>
      <c r="C299" s="191">
        <v>40690</v>
      </c>
      <c r="D299" s="191" t="s">
        <v>960</v>
      </c>
      <c r="E299" s="191">
        <v>40690</v>
      </c>
      <c r="F299" s="192" t="s">
        <v>839</v>
      </c>
      <c r="G299" s="498" t="s">
        <v>834</v>
      </c>
      <c r="H299" s="7" t="s">
        <v>733</v>
      </c>
      <c r="I299" s="256">
        <v>20</v>
      </c>
      <c r="J299" s="256">
        <v>16143.5</v>
      </c>
      <c r="K299" s="614">
        <f t="shared" si="24"/>
        <v>322870</v>
      </c>
      <c r="L299" s="854" t="s">
        <v>165</v>
      </c>
      <c r="M299" s="854" t="s">
        <v>159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>632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94"/>
      <c r="AB299" s="833"/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si="25"/>
        <v>5</v>
      </c>
      <c r="C300" s="191">
        <v>40690</v>
      </c>
      <c r="D300" s="191" t="s">
        <v>960</v>
      </c>
      <c r="E300" s="191">
        <v>40690</v>
      </c>
      <c r="F300" s="192" t="s">
        <v>840</v>
      </c>
      <c r="G300" s="498" t="s">
        <v>834</v>
      </c>
      <c r="H300" s="7" t="s">
        <v>733</v>
      </c>
      <c r="I300" s="256">
        <v>1</v>
      </c>
      <c r="J300" s="256">
        <v>6972</v>
      </c>
      <c r="K300" s="614">
        <f t="shared" si="24"/>
        <v>6972</v>
      </c>
      <c r="L300" s="854" t="s">
        <v>165</v>
      </c>
      <c r="M300" s="854" t="s">
        <v>159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>632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94"/>
      <c r="AB300" s="833"/>
    </row>
    <row r="301" spans="1:30" ht="15.75" customHeight="1">
      <c r="A301" s="204" t="str">
        <f>IF(B301&lt;&gt;"",IF(AND(B301&gt;=_TM1,B301&lt;=_TM2,OR(TH!L301="1111",TH!M301="1111")),TH!D301,""),"")</f>
        <v/>
      </c>
      <c r="B301" s="36">
        <f t="shared" si="25"/>
        <v>5</v>
      </c>
      <c r="C301" s="191">
        <v>40690</v>
      </c>
      <c r="D301" s="191" t="s">
        <v>960</v>
      </c>
      <c r="E301" s="191">
        <v>40690</v>
      </c>
      <c r="F301" s="192" t="s">
        <v>841</v>
      </c>
      <c r="G301" s="498" t="s">
        <v>834</v>
      </c>
      <c r="H301" s="7" t="s">
        <v>733</v>
      </c>
      <c r="I301" s="256">
        <v>4</v>
      </c>
      <c r="J301" s="256">
        <v>5808.5</v>
      </c>
      <c r="K301" s="614">
        <f t="shared" si="24"/>
        <v>23234</v>
      </c>
      <c r="L301" s="854" t="s">
        <v>165</v>
      </c>
      <c r="M301" s="854" t="s">
        <v>159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>632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94"/>
      <c r="AB301" s="833"/>
    </row>
    <row r="302" spans="1:30" ht="15.75" customHeight="1">
      <c r="A302" s="204" t="str">
        <f>IF(B302&lt;&gt;"",IF(AND(B302&gt;=_TM1,B302&lt;=_TM2,OR(TH!L302="1111",TH!M302="1111")),TH!D302,""),"")</f>
        <v/>
      </c>
      <c r="B302" s="36">
        <f t="shared" si="25"/>
        <v>5</v>
      </c>
      <c r="C302" s="191">
        <v>40690</v>
      </c>
      <c r="D302" s="191" t="s">
        <v>960</v>
      </c>
      <c r="E302" s="191">
        <v>40690</v>
      </c>
      <c r="F302" s="192" t="s">
        <v>842</v>
      </c>
      <c r="G302" s="498" t="s">
        <v>834</v>
      </c>
      <c r="H302" s="7" t="s">
        <v>733</v>
      </c>
      <c r="I302" s="256">
        <v>2</v>
      </c>
      <c r="J302" s="256">
        <v>3584</v>
      </c>
      <c r="K302" s="614">
        <f t="shared" si="24"/>
        <v>7168</v>
      </c>
      <c r="L302" s="854" t="s">
        <v>165</v>
      </c>
      <c r="M302" s="854" t="s">
        <v>159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>632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94"/>
      <c r="AB302" s="833"/>
    </row>
    <row r="303" spans="1:30" ht="15.75" customHeight="1">
      <c r="A303" s="204" t="str">
        <f>IF(B303&lt;&gt;"",IF(AND(B303&gt;=_TM1,B303&lt;=_TM2,OR(TH!L303="1111",TH!M303="1111")),TH!D303,""),"")</f>
        <v/>
      </c>
      <c r="B303" s="36">
        <f t="shared" si="25"/>
        <v>5</v>
      </c>
      <c r="C303" s="191">
        <v>40690</v>
      </c>
      <c r="D303" s="191" t="s">
        <v>960</v>
      </c>
      <c r="E303" s="191">
        <v>40690</v>
      </c>
      <c r="F303" s="192" t="s">
        <v>843</v>
      </c>
      <c r="G303" s="498" t="s">
        <v>834</v>
      </c>
      <c r="H303" s="7" t="s">
        <v>733</v>
      </c>
      <c r="I303" s="256">
        <v>2</v>
      </c>
      <c r="J303" s="256">
        <v>8627.5</v>
      </c>
      <c r="K303" s="614">
        <f t="shared" si="24"/>
        <v>17255</v>
      </c>
      <c r="L303" s="854" t="s">
        <v>165</v>
      </c>
      <c r="M303" s="854" t="s">
        <v>159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632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94"/>
      <c r="AB303" s="833"/>
    </row>
    <row r="304" spans="1:30" ht="15.75" customHeight="1">
      <c r="A304" s="204" t="str">
        <f>IF(B304&lt;&gt;"",IF(AND(B304&gt;=_TM1,B304&lt;=_TM2,OR(TH!L304="1111",TH!M304="1111")),TH!D304,""),"")</f>
        <v/>
      </c>
      <c r="B304" s="36">
        <f t="shared" si="25"/>
        <v>5</v>
      </c>
      <c r="C304" s="191">
        <v>40690</v>
      </c>
      <c r="D304" s="191" t="s">
        <v>961</v>
      </c>
      <c r="E304" s="191">
        <v>40690</v>
      </c>
      <c r="F304" s="192" t="s">
        <v>849</v>
      </c>
      <c r="G304" s="498" t="s">
        <v>844</v>
      </c>
      <c r="H304" s="7" t="s">
        <v>733</v>
      </c>
      <c r="I304" s="256">
        <v>2</v>
      </c>
      <c r="J304" s="256">
        <v>7190.5</v>
      </c>
      <c r="K304" s="614">
        <f t="shared" si="24"/>
        <v>14381</v>
      </c>
      <c r="L304" s="854" t="s">
        <v>165</v>
      </c>
      <c r="M304" s="854" t="s">
        <v>159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>632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94"/>
      <c r="AB304" s="833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25"/>
        <v>5</v>
      </c>
      <c r="C305" s="191">
        <v>40690</v>
      </c>
      <c r="D305" s="191" t="s">
        <v>961</v>
      </c>
      <c r="E305" s="191">
        <v>40690</v>
      </c>
      <c r="F305" s="192" t="s">
        <v>850</v>
      </c>
      <c r="G305" s="498" t="s">
        <v>844</v>
      </c>
      <c r="H305" s="7" t="s">
        <v>733</v>
      </c>
      <c r="I305" s="256">
        <v>5</v>
      </c>
      <c r="J305" s="256">
        <v>6971.6</v>
      </c>
      <c r="K305" s="614">
        <f t="shared" si="24"/>
        <v>34858</v>
      </c>
      <c r="L305" s="854" t="s">
        <v>165</v>
      </c>
      <c r="M305" s="854" t="s">
        <v>159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>632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94"/>
      <c r="AB305" s="833"/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si="25"/>
        <v>5</v>
      </c>
      <c r="C306" s="191">
        <v>40690</v>
      </c>
      <c r="D306" s="191" t="s">
        <v>961</v>
      </c>
      <c r="E306" s="191">
        <v>40690</v>
      </c>
      <c r="F306" s="192" t="s">
        <v>851</v>
      </c>
      <c r="G306" s="498" t="s">
        <v>844</v>
      </c>
      <c r="H306" s="7" t="s">
        <v>733</v>
      </c>
      <c r="I306" s="256">
        <v>86</v>
      </c>
      <c r="J306" s="256">
        <v>18284.511627906977</v>
      </c>
      <c r="K306" s="614">
        <f t="shared" si="24"/>
        <v>1572468</v>
      </c>
      <c r="L306" s="854" t="s">
        <v>165</v>
      </c>
      <c r="M306" s="854" t="s">
        <v>159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>632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94"/>
      <c r="AB306" s="833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25"/>
        <v>5</v>
      </c>
      <c r="C307" s="191">
        <v>40690</v>
      </c>
      <c r="D307" s="191" t="s">
        <v>964</v>
      </c>
      <c r="E307" s="191">
        <v>40690</v>
      </c>
      <c r="F307" s="192" t="s">
        <v>852</v>
      </c>
      <c r="G307" s="498" t="s">
        <v>845</v>
      </c>
      <c r="H307" s="7" t="s">
        <v>733</v>
      </c>
      <c r="I307" s="256">
        <v>4</v>
      </c>
      <c r="J307" s="256">
        <v>14857.5</v>
      </c>
      <c r="K307" s="614">
        <f t="shared" si="24"/>
        <v>59430</v>
      </c>
      <c r="L307" s="854" t="s">
        <v>165</v>
      </c>
      <c r="M307" s="854" t="s">
        <v>159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632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94"/>
      <c r="AB307" s="833"/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si="25"/>
        <v>5</v>
      </c>
      <c r="C308" s="191">
        <v>40690</v>
      </c>
      <c r="D308" s="191" t="s">
        <v>964</v>
      </c>
      <c r="E308" s="191">
        <v>40690</v>
      </c>
      <c r="F308" s="192" t="s">
        <v>853</v>
      </c>
      <c r="G308" s="498" t="s">
        <v>845</v>
      </c>
      <c r="H308" s="7" t="s">
        <v>733</v>
      </c>
      <c r="I308" s="256">
        <v>24</v>
      </c>
      <c r="J308" s="256">
        <v>14857.5</v>
      </c>
      <c r="K308" s="614">
        <f t="shared" si="24"/>
        <v>356580</v>
      </c>
      <c r="L308" s="854" t="s">
        <v>165</v>
      </c>
      <c r="M308" s="854" t="s">
        <v>159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>632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94"/>
      <c r="AB308" s="833"/>
    </row>
    <row r="309" spans="1:30" s="606" customFormat="1" ht="15.75" customHeight="1">
      <c r="A309" s="204" t="str">
        <f>IF(B309&lt;&gt;"",IF(AND(B309&gt;=_TM1,B309&lt;=_TM2,OR(TH!L309="1111",TH!M309="1111")),TH!D309,""),"")</f>
        <v/>
      </c>
      <c r="B309" s="36">
        <f t="shared" si="25"/>
        <v>5</v>
      </c>
      <c r="C309" s="191">
        <v>40690</v>
      </c>
      <c r="D309" s="191" t="s">
        <v>964</v>
      </c>
      <c r="E309" s="191">
        <v>40690</v>
      </c>
      <c r="F309" s="192" t="s">
        <v>854</v>
      </c>
      <c r="G309" s="498" t="s">
        <v>845</v>
      </c>
      <c r="H309" s="7" t="s">
        <v>733</v>
      </c>
      <c r="I309" s="256">
        <v>364</v>
      </c>
      <c r="J309" s="256">
        <v>15447.975274725275</v>
      </c>
      <c r="K309" s="614">
        <f t="shared" si="24"/>
        <v>5623063</v>
      </c>
      <c r="L309" s="854" t="s">
        <v>165</v>
      </c>
      <c r="M309" s="854" t="s">
        <v>159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>632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94"/>
      <c r="AB309" s="833"/>
      <c r="AC309" s="198"/>
      <c r="AD309" s="198"/>
    </row>
    <row r="310" spans="1:30" s="606" customFormat="1" ht="15.75" customHeight="1">
      <c r="A310" s="204" t="str">
        <f>IF(B310&lt;&gt;"",IF(AND(B310&gt;=_TM1,B310&lt;=_TM2,OR(TH!L310="1111",TH!M310="1111")),TH!D310,""),"")</f>
        <v/>
      </c>
      <c r="B310" s="36">
        <f t="shared" si="25"/>
        <v>5</v>
      </c>
      <c r="C310" s="191">
        <v>40690</v>
      </c>
      <c r="D310" s="191" t="s">
        <v>964</v>
      </c>
      <c r="E310" s="191">
        <v>40690</v>
      </c>
      <c r="F310" s="192" t="s">
        <v>855</v>
      </c>
      <c r="G310" s="498" t="s">
        <v>845</v>
      </c>
      <c r="H310" s="7" t="s">
        <v>733</v>
      </c>
      <c r="I310" s="256">
        <v>2</v>
      </c>
      <c r="J310" s="256">
        <v>9979.5</v>
      </c>
      <c r="K310" s="614">
        <f t="shared" si="24"/>
        <v>19959</v>
      </c>
      <c r="L310" s="854" t="s">
        <v>165</v>
      </c>
      <c r="M310" s="854" t="s">
        <v>159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>632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94"/>
      <c r="AB310" s="833"/>
      <c r="AC310" s="198"/>
      <c r="AD310" s="198"/>
    </row>
    <row r="311" spans="1:30" s="606" customFormat="1" ht="15.75" customHeight="1">
      <c r="A311" s="204" t="str">
        <f>IF(B311&lt;&gt;"",IF(AND(B311&gt;=_TM1,B311&lt;=_TM2,OR(TH!L311="1111",TH!M311="1111")),TH!D311,""),"")</f>
        <v/>
      </c>
      <c r="B311" s="36">
        <f t="shared" si="25"/>
        <v>5</v>
      </c>
      <c r="C311" s="191">
        <v>40690</v>
      </c>
      <c r="D311" s="191" t="s">
        <v>964</v>
      </c>
      <c r="E311" s="191">
        <v>40690</v>
      </c>
      <c r="F311" s="192" t="s">
        <v>856</v>
      </c>
      <c r="G311" s="498" t="s">
        <v>845</v>
      </c>
      <c r="H311" s="7" t="s">
        <v>733</v>
      </c>
      <c r="I311" s="256">
        <v>10</v>
      </c>
      <c r="J311" s="256">
        <v>13217.5</v>
      </c>
      <c r="K311" s="614">
        <f t="shared" si="24"/>
        <v>132175</v>
      </c>
      <c r="L311" s="854" t="s">
        <v>165</v>
      </c>
      <c r="M311" s="854" t="s">
        <v>159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632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94"/>
      <c r="AB311" s="833"/>
      <c r="AC311" s="198"/>
      <c r="AD311" s="198"/>
    </row>
    <row r="312" spans="1:30" s="606" customFormat="1" ht="15.75" customHeight="1">
      <c r="A312" s="204" t="str">
        <f>IF(B312&lt;&gt;"",IF(AND(B312&gt;=_TM1,B312&lt;=_TM2,OR(TH!L312="1111",TH!M312="1111")),TH!D312,""),"")</f>
        <v/>
      </c>
      <c r="B312" s="36">
        <f t="shared" si="25"/>
        <v>5</v>
      </c>
      <c r="C312" s="191">
        <v>40690</v>
      </c>
      <c r="D312" s="191" t="s">
        <v>964</v>
      </c>
      <c r="E312" s="191">
        <v>40690</v>
      </c>
      <c r="F312" s="192" t="s">
        <v>857</v>
      </c>
      <c r="G312" s="498" t="s">
        <v>845</v>
      </c>
      <c r="H312" s="7" t="s">
        <v>733</v>
      </c>
      <c r="I312" s="256">
        <v>414</v>
      </c>
      <c r="J312" s="256">
        <v>15420.381642512077</v>
      </c>
      <c r="K312" s="614">
        <f t="shared" ref="K312:K343" si="26">ROUND(I312*J312,0)</f>
        <v>6384038</v>
      </c>
      <c r="L312" s="854" t="s">
        <v>165</v>
      </c>
      <c r="M312" s="854" t="s">
        <v>159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632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94"/>
      <c r="AB312" s="833"/>
      <c r="AC312" s="198"/>
      <c r="AD312" s="198"/>
    </row>
    <row r="313" spans="1:30" s="606" customFormat="1" ht="15.75" customHeight="1">
      <c r="A313" s="204" t="str">
        <f>IF(B313&lt;&gt;"",IF(AND(B313&gt;=_TM1,B313&lt;=_TM2,OR(TH!L313="1111",TH!M313="1111")),TH!D313,""),"")</f>
        <v/>
      </c>
      <c r="B313" s="36">
        <f t="shared" si="25"/>
        <v>5</v>
      </c>
      <c r="C313" s="191">
        <v>40690</v>
      </c>
      <c r="D313" s="191" t="s">
        <v>964</v>
      </c>
      <c r="E313" s="191">
        <v>40690</v>
      </c>
      <c r="F313" s="192" t="s">
        <v>858</v>
      </c>
      <c r="G313" s="498" t="s">
        <v>845</v>
      </c>
      <c r="H313" s="7" t="s">
        <v>733</v>
      </c>
      <c r="I313" s="256">
        <v>1380</v>
      </c>
      <c r="J313" s="256">
        <v>13959.51304347826</v>
      </c>
      <c r="K313" s="614">
        <f t="shared" si="26"/>
        <v>19264128</v>
      </c>
      <c r="L313" s="854" t="s">
        <v>165</v>
      </c>
      <c r="M313" s="854" t="s">
        <v>159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632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94"/>
      <c r="AB313" s="833"/>
      <c r="AC313" s="198"/>
      <c r="AD313" s="198"/>
    </row>
    <row r="314" spans="1:30" s="606" customFormat="1" ht="15.75" customHeight="1">
      <c r="A314" s="204" t="str">
        <f>IF(B314&lt;&gt;"",IF(AND(B314&gt;=_TM1,B314&lt;=_TM2,OR(TH!L314="1111",TH!M314="1111")),TH!D314,""),"")</f>
        <v/>
      </c>
      <c r="B314" s="36">
        <f t="shared" si="25"/>
        <v>5</v>
      </c>
      <c r="C314" s="191">
        <v>40690</v>
      </c>
      <c r="D314" s="191" t="s">
        <v>964</v>
      </c>
      <c r="E314" s="191">
        <v>40690</v>
      </c>
      <c r="F314" s="192" t="s">
        <v>859</v>
      </c>
      <c r="G314" s="498" t="s">
        <v>845</v>
      </c>
      <c r="H314" s="7" t="s">
        <v>733</v>
      </c>
      <c r="I314" s="256">
        <v>1127</v>
      </c>
      <c r="J314" s="256">
        <v>13970.692990239573</v>
      </c>
      <c r="K314" s="614">
        <f t="shared" si="26"/>
        <v>15744971</v>
      </c>
      <c r="L314" s="854" t="s">
        <v>165</v>
      </c>
      <c r="M314" s="854" t="s">
        <v>159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>632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94"/>
      <c r="AB314" s="833"/>
      <c r="AC314" s="198"/>
      <c r="AD314" s="198"/>
    </row>
    <row r="315" spans="1:30" s="606" customFormat="1" ht="15.75" customHeight="1">
      <c r="A315" s="204" t="str">
        <f>IF(B315&lt;&gt;"",IF(AND(B315&gt;=_TM1,B315&lt;=_TM2,OR(TH!L315="1111",TH!M315="1111")),TH!D315,""),"")</f>
        <v/>
      </c>
      <c r="B315" s="36">
        <f t="shared" si="25"/>
        <v>5</v>
      </c>
      <c r="C315" s="191">
        <f t="shared" ref="C315:C357" si="27">E315</f>
        <v>40690</v>
      </c>
      <c r="D315" s="720" t="s">
        <v>1100</v>
      </c>
      <c r="E315" s="184">
        <v>40690</v>
      </c>
      <c r="F315" s="189" t="s">
        <v>387</v>
      </c>
      <c r="G315" s="616"/>
      <c r="H315" s="628" t="s">
        <v>1092</v>
      </c>
      <c r="I315" s="839">
        <v>10</v>
      </c>
      <c r="J315" s="256">
        <v>4449</v>
      </c>
      <c r="K315" s="614">
        <f t="shared" si="26"/>
        <v>44490</v>
      </c>
      <c r="L315" s="39" t="s">
        <v>157</v>
      </c>
      <c r="M315" s="724" t="s">
        <v>151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>154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>x</v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94"/>
      <c r="AB315" s="198"/>
      <c r="AC315" s="198"/>
      <c r="AD315" s="198"/>
    </row>
    <row r="316" spans="1:30" s="606" customFormat="1" ht="15.75" customHeight="1">
      <c r="A316" s="204" t="str">
        <f>IF(B316&lt;&gt;"",IF(AND(B316&gt;=_TM1,B316&lt;=_TM2,OR(TH!L316="1111",TH!M316="1111")),TH!D316,""),"")</f>
        <v/>
      </c>
      <c r="B316" s="36">
        <f t="shared" si="25"/>
        <v>5</v>
      </c>
      <c r="C316" s="191">
        <f t="shared" si="27"/>
        <v>40690</v>
      </c>
      <c r="D316" s="720" t="s">
        <v>1100</v>
      </c>
      <c r="E316" s="184">
        <v>40690</v>
      </c>
      <c r="F316" s="189" t="s">
        <v>387</v>
      </c>
      <c r="G316" s="616"/>
      <c r="H316" s="628" t="s">
        <v>1092</v>
      </c>
      <c r="I316" s="839">
        <v>17</v>
      </c>
      <c r="J316" s="256">
        <v>4449</v>
      </c>
      <c r="K316" s="614">
        <f t="shared" si="26"/>
        <v>75633</v>
      </c>
      <c r="L316" s="39" t="s">
        <v>157</v>
      </c>
      <c r="M316" s="724" t="s">
        <v>151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>154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>x</v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94"/>
      <c r="AB316" s="198"/>
      <c r="AC316" s="198"/>
      <c r="AD316" s="198"/>
    </row>
    <row r="317" spans="1:30" s="606" customFormat="1" ht="15.75" customHeight="1">
      <c r="A317" s="204" t="str">
        <f>IF(B317&lt;&gt;"",IF(AND(B317&gt;=_TM1,B317&lt;=_TM2,OR(TH!L317="1111",TH!M317="1111")),TH!D317,""),"")</f>
        <v/>
      </c>
      <c r="B317" s="36">
        <f t="shared" si="25"/>
        <v>5</v>
      </c>
      <c r="C317" s="191">
        <f t="shared" si="27"/>
        <v>40690</v>
      </c>
      <c r="D317" s="720" t="s">
        <v>1100</v>
      </c>
      <c r="E317" s="184">
        <v>40690</v>
      </c>
      <c r="F317" s="189" t="s">
        <v>387</v>
      </c>
      <c r="G317" s="616"/>
      <c r="H317" s="628" t="s">
        <v>1092</v>
      </c>
      <c r="I317" s="839">
        <v>70</v>
      </c>
      <c r="J317" s="256">
        <v>4449</v>
      </c>
      <c r="K317" s="614">
        <f t="shared" si="26"/>
        <v>311430</v>
      </c>
      <c r="L317" s="39" t="s">
        <v>157</v>
      </c>
      <c r="M317" s="724" t="s">
        <v>151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>154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>x</v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94"/>
      <c r="AB317" s="198"/>
      <c r="AC317" s="198"/>
      <c r="AD317" s="198"/>
    </row>
    <row r="318" spans="1:30" s="606" customFormat="1" ht="15.75" customHeight="1">
      <c r="A318" s="204" t="str">
        <f>IF(B318&lt;&gt;"",IF(AND(B318&gt;=_TM1,B318&lt;=_TM2,OR(TH!L318="1111",TH!M318="1111")),TH!D318,""),"")</f>
        <v/>
      </c>
      <c r="B318" s="36">
        <f t="shared" si="25"/>
        <v>5</v>
      </c>
      <c r="C318" s="191">
        <f t="shared" si="27"/>
        <v>40690</v>
      </c>
      <c r="D318" s="720" t="s">
        <v>1100</v>
      </c>
      <c r="E318" s="184">
        <v>40690</v>
      </c>
      <c r="F318" s="189" t="s">
        <v>517</v>
      </c>
      <c r="G318" s="616"/>
      <c r="H318" s="628" t="s">
        <v>1092</v>
      </c>
      <c r="I318" s="256">
        <v>140</v>
      </c>
      <c r="J318" s="256">
        <v>8013</v>
      </c>
      <c r="K318" s="614">
        <f t="shared" si="26"/>
        <v>1121820</v>
      </c>
      <c r="L318" s="39" t="s">
        <v>157</v>
      </c>
      <c r="M318" s="724" t="s">
        <v>151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94"/>
      <c r="AB318" s="198"/>
      <c r="AC318" s="198"/>
      <c r="AD318" s="198"/>
    </row>
    <row r="319" spans="1:30" s="606" customFormat="1" ht="15.75" customHeight="1">
      <c r="A319" s="204" t="str">
        <f>IF(B319&lt;&gt;"",IF(AND(B319&gt;=_TM1,B319&lt;=_TM2,OR(TH!L319="1111",TH!M319="1111")),TH!D319,""),"")</f>
        <v/>
      </c>
      <c r="B319" s="36">
        <f t="shared" si="25"/>
        <v>5</v>
      </c>
      <c r="C319" s="191">
        <f t="shared" si="27"/>
        <v>40690</v>
      </c>
      <c r="D319" s="720" t="s">
        <v>1100</v>
      </c>
      <c r="E319" s="184">
        <v>40690</v>
      </c>
      <c r="F319" s="298" t="s">
        <v>481</v>
      </c>
      <c r="G319" s="498"/>
      <c r="H319" s="628" t="s">
        <v>1092</v>
      </c>
      <c r="I319" s="256">
        <v>5</v>
      </c>
      <c r="J319" s="256">
        <v>25200</v>
      </c>
      <c r="K319" s="614">
        <f t="shared" si="26"/>
        <v>126000</v>
      </c>
      <c r="L319" s="39" t="s">
        <v>157</v>
      </c>
      <c r="M319" s="724" t="s">
        <v>151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>154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94"/>
      <c r="AB319" s="198"/>
      <c r="AC319" s="198"/>
      <c r="AD319" s="198"/>
    </row>
    <row r="320" spans="1:30" s="606" customFormat="1" ht="15.75" customHeight="1">
      <c r="A320" s="204" t="str">
        <f>IF(B320&lt;&gt;"",IF(AND(B320&gt;=_TM1,B320&lt;=_TM2,OR(TH!L320="1111",TH!M320="1111")),TH!D320,""),"")</f>
        <v/>
      </c>
      <c r="B320" s="36">
        <f t="shared" si="25"/>
        <v>5</v>
      </c>
      <c r="C320" s="191">
        <f t="shared" si="27"/>
        <v>40690</v>
      </c>
      <c r="D320" s="720" t="s">
        <v>1100</v>
      </c>
      <c r="E320" s="184">
        <v>40690</v>
      </c>
      <c r="F320" s="189" t="s">
        <v>507</v>
      </c>
      <c r="G320" s="498"/>
      <c r="H320" s="628" t="s">
        <v>1092</v>
      </c>
      <c r="I320" s="258">
        <v>68</v>
      </c>
      <c r="J320" s="258">
        <v>8620</v>
      </c>
      <c r="K320" s="614">
        <f t="shared" si="26"/>
        <v>586160</v>
      </c>
      <c r="L320" s="39" t="s">
        <v>157</v>
      </c>
      <c r="M320" s="724" t="s">
        <v>151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>154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94"/>
      <c r="AB320" s="198"/>
      <c r="AC320" s="198"/>
      <c r="AD320" s="198"/>
    </row>
    <row r="321" spans="1:30" s="606" customFormat="1" ht="15.75" customHeight="1">
      <c r="A321" s="204" t="str">
        <f>IF(B321&lt;&gt;"",IF(AND(B321&gt;=_TM1,B321&lt;=_TM2,OR(TH!L321="1111",TH!M321="1111")),TH!D321,""),"")</f>
        <v/>
      </c>
      <c r="B321" s="36">
        <f t="shared" si="25"/>
        <v>5</v>
      </c>
      <c r="C321" s="191">
        <f t="shared" si="27"/>
        <v>40690</v>
      </c>
      <c r="D321" s="720" t="s">
        <v>1100</v>
      </c>
      <c r="E321" s="184">
        <v>40690</v>
      </c>
      <c r="F321" s="189" t="s">
        <v>497</v>
      </c>
      <c r="G321" s="498"/>
      <c r="H321" s="628" t="s">
        <v>1092</v>
      </c>
      <c r="I321" s="256">
        <v>300</v>
      </c>
      <c r="J321" s="256">
        <v>11587</v>
      </c>
      <c r="K321" s="614">
        <f t="shared" si="26"/>
        <v>3476100</v>
      </c>
      <c r="L321" s="39" t="s">
        <v>157</v>
      </c>
      <c r="M321" s="724" t="s">
        <v>151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>154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94"/>
      <c r="AB321" s="198"/>
      <c r="AC321" s="198"/>
      <c r="AD321" s="198"/>
    </row>
    <row r="322" spans="1:30" s="606" customFormat="1" ht="15.75" customHeight="1">
      <c r="A322" s="204" t="str">
        <f>IF(B322&lt;&gt;"",IF(AND(B322&gt;=_TM1,B322&lt;=_TM2,OR(TH!L322="1111",TH!M322="1111")),TH!D322,""),"")</f>
        <v/>
      </c>
      <c r="B322" s="36">
        <f t="shared" si="25"/>
        <v>5</v>
      </c>
      <c r="C322" s="191">
        <f t="shared" si="27"/>
        <v>40690</v>
      </c>
      <c r="D322" s="720" t="s">
        <v>1100</v>
      </c>
      <c r="E322" s="184">
        <v>40690</v>
      </c>
      <c r="F322" s="298" t="s">
        <v>481</v>
      </c>
      <c r="G322" s="498"/>
      <c r="H322" s="628" t="s">
        <v>1092</v>
      </c>
      <c r="I322" s="256">
        <v>21</v>
      </c>
      <c r="J322" s="256">
        <v>25200</v>
      </c>
      <c r="K322" s="614">
        <f t="shared" si="26"/>
        <v>529200</v>
      </c>
      <c r="L322" s="39" t="s">
        <v>157</v>
      </c>
      <c r="M322" s="724" t="s">
        <v>151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94"/>
      <c r="AB322" s="198"/>
      <c r="AC322" s="198"/>
      <c r="AD322" s="198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25"/>
        <v>5</v>
      </c>
      <c r="C323" s="191">
        <f t="shared" si="27"/>
        <v>40690</v>
      </c>
      <c r="D323" s="191" t="s">
        <v>1112</v>
      </c>
      <c r="E323" s="191">
        <v>40690</v>
      </c>
      <c r="F323" s="456" t="s">
        <v>819</v>
      </c>
      <c r="G323" s="498"/>
      <c r="H323" s="628" t="s">
        <v>1092</v>
      </c>
      <c r="I323" s="256">
        <v>98</v>
      </c>
      <c r="J323" s="256">
        <v>17821.5</v>
      </c>
      <c r="K323" s="614">
        <f t="shared" si="26"/>
        <v>1746507</v>
      </c>
      <c r="L323" s="39" t="s">
        <v>159</v>
      </c>
      <c r="M323" s="724" t="s">
        <v>157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94"/>
      <c r="AB323" s="198"/>
      <c r="AC323" s="198"/>
      <c r="AD323" s="198"/>
    </row>
    <row r="324" spans="1:30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25"/>
        <v>5</v>
      </c>
      <c r="C324" s="191">
        <f t="shared" si="27"/>
        <v>40690</v>
      </c>
      <c r="D324" s="191" t="s">
        <v>1112</v>
      </c>
      <c r="E324" s="191">
        <v>40690</v>
      </c>
      <c r="F324" s="192" t="s">
        <v>820</v>
      </c>
      <c r="G324" s="498"/>
      <c r="H324" s="628" t="s">
        <v>1092</v>
      </c>
      <c r="I324" s="256">
        <v>177</v>
      </c>
      <c r="J324" s="256">
        <v>13728.152542372882</v>
      </c>
      <c r="K324" s="614">
        <f t="shared" si="26"/>
        <v>2429883</v>
      </c>
      <c r="L324" s="39" t="s">
        <v>159</v>
      </c>
      <c r="M324" s="724" t="s">
        <v>157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94"/>
      <c r="AB324" s="198"/>
      <c r="AC324" s="198"/>
      <c r="AD324" s="198"/>
    </row>
    <row r="325" spans="1:30" s="606" customFormat="1" ht="15.75" customHeight="1">
      <c r="A325" s="204" t="str">
        <f>IF(B325&lt;&gt;"",IF(AND(B325&gt;=_TM1,B325&lt;=_TM2,OR(TH!L325="1111",TH!M325="1111")),TH!D325,""),"")</f>
        <v/>
      </c>
      <c r="B325" s="36">
        <f t="shared" si="25"/>
        <v>5</v>
      </c>
      <c r="C325" s="191">
        <f t="shared" si="27"/>
        <v>40690</v>
      </c>
      <c r="D325" s="191" t="s">
        <v>1112</v>
      </c>
      <c r="E325" s="191">
        <v>40690</v>
      </c>
      <c r="F325" s="192" t="s">
        <v>821</v>
      </c>
      <c r="G325" s="498"/>
      <c r="H325" s="628" t="s">
        <v>1092</v>
      </c>
      <c r="I325" s="256">
        <v>205</v>
      </c>
      <c r="J325" s="256">
        <v>17799.141463414635</v>
      </c>
      <c r="K325" s="614">
        <f t="shared" si="26"/>
        <v>3648824</v>
      </c>
      <c r="L325" s="39" t="s">
        <v>159</v>
      </c>
      <c r="M325" s="724" t="s">
        <v>157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94"/>
      <c r="AB325" s="198"/>
      <c r="AC325" s="198"/>
      <c r="AD325" s="198"/>
    </row>
    <row r="326" spans="1:30" s="606" customFormat="1" ht="15.75" customHeight="1">
      <c r="A326" s="204" t="str">
        <f>IF(B326&lt;&gt;"",IF(AND(B326&gt;=_TM1,B326&lt;=_TM2,OR(TH!L326="1111",TH!M326="1111")),TH!D326,""),"")</f>
        <v/>
      </c>
      <c r="B326" s="36">
        <f t="shared" si="25"/>
        <v>5</v>
      </c>
      <c r="C326" s="191">
        <f t="shared" si="27"/>
        <v>40690</v>
      </c>
      <c r="D326" s="191" t="s">
        <v>1112</v>
      </c>
      <c r="E326" s="191">
        <v>40690</v>
      </c>
      <c r="F326" s="192" t="s">
        <v>829</v>
      </c>
      <c r="G326" s="498"/>
      <c r="H326" s="628" t="s">
        <v>1092</v>
      </c>
      <c r="I326" s="256">
        <v>283</v>
      </c>
      <c r="J326" s="256">
        <v>8627.5088339222621</v>
      </c>
      <c r="K326" s="614">
        <f t="shared" si="26"/>
        <v>2441585</v>
      </c>
      <c r="L326" s="39" t="s">
        <v>159</v>
      </c>
      <c r="M326" s="724" t="s">
        <v>157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94"/>
      <c r="AB326" s="198"/>
      <c r="AC326" s="198"/>
      <c r="AD326" s="198"/>
    </row>
    <row r="327" spans="1:30" s="606" customFormat="1" ht="15.75" customHeight="1">
      <c r="A327" s="204" t="str">
        <f>IF(B327&lt;&gt;"",IF(AND(B327&gt;=_TM1,B327&lt;=_TM2,OR(TH!L327="1111",TH!M327="1111")),TH!D327,""),"")</f>
        <v/>
      </c>
      <c r="B327" s="36">
        <f t="shared" si="25"/>
        <v>5</v>
      </c>
      <c r="C327" s="191">
        <f t="shared" si="27"/>
        <v>40690</v>
      </c>
      <c r="D327" s="191" t="s">
        <v>1112</v>
      </c>
      <c r="E327" s="191">
        <v>40690</v>
      </c>
      <c r="F327" s="192" t="s">
        <v>822</v>
      </c>
      <c r="G327" s="498"/>
      <c r="H327" s="628" t="s">
        <v>1092</v>
      </c>
      <c r="I327" s="256">
        <v>493</v>
      </c>
      <c r="J327" s="256">
        <v>6982.8945233265722</v>
      </c>
      <c r="K327" s="614">
        <f t="shared" si="26"/>
        <v>3442567</v>
      </c>
      <c r="L327" s="39" t="s">
        <v>159</v>
      </c>
      <c r="M327" s="724" t="s">
        <v>157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94"/>
      <c r="AB327" s="198"/>
      <c r="AC327" s="198"/>
      <c r="AD327" s="198"/>
    </row>
    <row r="328" spans="1:30" s="606" customFormat="1" ht="15.75" customHeight="1">
      <c r="A328" s="204" t="str">
        <f>IF(B328&lt;&gt;"",IF(AND(B328&gt;=_TM1,B328&lt;=_TM2,OR(TH!L328="1111",TH!M328="1111")),TH!D328,""),"")</f>
        <v/>
      </c>
      <c r="B328" s="36">
        <f t="shared" si="25"/>
        <v>5</v>
      </c>
      <c r="C328" s="191">
        <f t="shared" si="27"/>
        <v>40690</v>
      </c>
      <c r="D328" s="191" t="s">
        <v>1112</v>
      </c>
      <c r="E328" s="191">
        <v>40690</v>
      </c>
      <c r="F328" s="192" t="s">
        <v>823</v>
      </c>
      <c r="G328" s="498"/>
      <c r="H328" s="628" t="s">
        <v>1092</v>
      </c>
      <c r="I328" s="256">
        <v>398</v>
      </c>
      <c r="J328" s="256">
        <v>7190.510050251256</v>
      </c>
      <c r="K328" s="614">
        <f t="shared" si="26"/>
        <v>2861823</v>
      </c>
      <c r="L328" s="39" t="s">
        <v>159</v>
      </c>
      <c r="M328" s="724" t="s">
        <v>157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94"/>
      <c r="AB328" s="198"/>
      <c r="AC328" s="198"/>
      <c r="AD328" s="198"/>
    </row>
    <row r="329" spans="1:30" s="606" customFormat="1" ht="15.75" customHeight="1">
      <c r="A329" s="204" t="str">
        <f>IF(B329&lt;&gt;"",IF(AND(B329&gt;=_TM1,B329&lt;=_TM2,OR(TH!L329="1111",TH!M329="1111")),TH!D329,""),"")</f>
        <v/>
      </c>
      <c r="B329" s="36">
        <f t="shared" si="25"/>
        <v>5</v>
      </c>
      <c r="C329" s="191">
        <f t="shared" si="27"/>
        <v>40690</v>
      </c>
      <c r="D329" s="191" t="s">
        <v>1112</v>
      </c>
      <c r="E329" s="191">
        <v>40690</v>
      </c>
      <c r="F329" s="192" t="s">
        <v>824</v>
      </c>
      <c r="G329" s="498"/>
      <c r="H329" s="628" t="s">
        <v>1092</v>
      </c>
      <c r="I329" s="256">
        <v>98</v>
      </c>
      <c r="J329" s="256">
        <v>13728.887755102041</v>
      </c>
      <c r="K329" s="614">
        <f t="shared" si="26"/>
        <v>1345431</v>
      </c>
      <c r="L329" s="39" t="s">
        <v>159</v>
      </c>
      <c r="M329" s="724" t="s">
        <v>157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94"/>
      <c r="AB329" s="198"/>
      <c r="AC329" s="198"/>
      <c r="AD329" s="198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25"/>
        <v>5</v>
      </c>
      <c r="C330" s="191">
        <f t="shared" si="27"/>
        <v>40690</v>
      </c>
      <c r="D330" s="191" t="s">
        <v>1112</v>
      </c>
      <c r="E330" s="191">
        <v>40690</v>
      </c>
      <c r="F330" s="192" t="s">
        <v>827</v>
      </c>
      <c r="G330" s="498"/>
      <c r="H330" s="628" t="s">
        <v>1092</v>
      </c>
      <c r="I330" s="256">
        <v>191</v>
      </c>
      <c r="J330" s="256">
        <v>17288.172774869108</v>
      </c>
      <c r="K330" s="614">
        <f t="shared" si="26"/>
        <v>3302041</v>
      </c>
      <c r="L330" s="39" t="s">
        <v>159</v>
      </c>
      <c r="M330" s="724" t="s">
        <v>157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94"/>
      <c r="AB330" s="198"/>
      <c r="AC330" s="198"/>
      <c r="AD330" s="198"/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25"/>
        <v>5</v>
      </c>
      <c r="C331" s="191">
        <f t="shared" si="27"/>
        <v>40690</v>
      </c>
      <c r="D331" s="191" t="s">
        <v>1112</v>
      </c>
      <c r="E331" s="191">
        <v>40690</v>
      </c>
      <c r="F331" s="192" t="s">
        <v>828</v>
      </c>
      <c r="G331" s="498"/>
      <c r="H331" s="628" t="s">
        <v>1092</v>
      </c>
      <c r="I331" s="256">
        <v>206</v>
      </c>
      <c r="J331" s="256">
        <v>14857.509708737864</v>
      </c>
      <c r="K331" s="614">
        <f t="shared" si="26"/>
        <v>3060647</v>
      </c>
      <c r="L331" s="39" t="s">
        <v>159</v>
      </c>
      <c r="M331" s="724" t="s">
        <v>157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94"/>
      <c r="AB331" s="198"/>
      <c r="AC331" s="198"/>
      <c r="AD331" s="198"/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25"/>
        <v>5</v>
      </c>
      <c r="C332" s="191">
        <f t="shared" si="27"/>
        <v>40690</v>
      </c>
      <c r="D332" s="191" t="s">
        <v>1113</v>
      </c>
      <c r="E332" s="191">
        <v>40690</v>
      </c>
      <c r="F332" s="192" t="s">
        <v>830</v>
      </c>
      <c r="G332" s="498"/>
      <c r="H332" s="628" t="s">
        <v>1092</v>
      </c>
      <c r="I332" s="256">
        <v>50</v>
      </c>
      <c r="J332" s="256">
        <v>12189.5</v>
      </c>
      <c r="K332" s="614">
        <f t="shared" si="26"/>
        <v>609475</v>
      </c>
      <c r="L332" s="39" t="s">
        <v>159</v>
      </c>
      <c r="M332" s="724" t="s">
        <v>157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94"/>
      <c r="AB332" s="198"/>
      <c r="AC332" s="198"/>
      <c r="AD332" s="198"/>
    </row>
    <row r="333" spans="1:30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25"/>
        <v>5</v>
      </c>
      <c r="C333" s="191">
        <f t="shared" si="27"/>
        <v>40690</v>
      </c>
      <c r="D333" s="191" t="s">
        <v>1113</v>
      </c>
      <c r="E333" s="191">
        <v>40690</v>
      </c>
      <c r="F333" s="192" t="s">
        <v>756</v>
      </c>
      <c r="G333" s="498"/>
      <c r="H333" s="628" t="s">
        <v>1092</v>
      </c>
      <c r="I333" s="256">
        <v>300</v>
      </c>
      <c r="J333" s="256">
        <v>2471.7633333333333</v>
      </c>
      <c r="K333" s="614">
        <f t="shared" si="26"/>
        <v>741529</v>
      </c>
      <c r="L333" s="39" t="s">
        <v>159</v>
      </c>
      <c r="M333" s="724" t="s">
        <v>157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94"/>
      <c r="AB333" s="198"/>
      <c r="AC333" s="198"/>
      <c r="AD333" s="198"/>
    </row>
    <row r="334" spans="1:30" s="606" customFormat="1" ht="15.75" customHeight="1">
      <c r="A334" s="204" t="str">
        <f>IF(B334&lt;&gt;"",IF(AND(B334&gt;=_TM1,B334&lt;=_TM2,OR(TH!L334="1111",TH!M334="1111")),TH!D334,""),"")</f>
        <v/>
      </c>
      <c r="B334" s="36">
        <f t="shared" si="25"/>
        <v>5</v>
      </c>
      <c r="C334" s="191">
        <f t="shared" si="27"/>
        <v>40690</v>
      </c>
      <c r="D334" s="191" t="s">
        <v>1113</v>
      </c>
      <c r="E334" s="191">
        <v>40690</v>
      </c>
      <c r="F334" s="189" t="s">
        <v>831</v>
      </c>
      <c r="G334" s="498"/>
      <c r="H334" s="628" t="s">
        <v>1092</v>
      </c>
      <c r="I334" s="256">
        <v>7</v>
      </c>
      <c r="J334" s="256">
        <v>17484.571428571428</v>
      </c>
      <c r="K334" s="614">
        <f t="shared" si="26"/>
        <v>122392</v>
      </c>
      <c r="L334" s="39" t="s">
        <v>159</v>
      </c>
      <c r="M334" s="724" t="s">
        <v>157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94"/>
      <c r="AB334" s="198"/>
      <c r="AC334" s="198"/>
      <c r="AD334" s="198"/>
    </row>
    <row r="335" spans="1:30" s="606" customFormat="1" ht="15.75" customHeight="1">
      <c r="A335" s="204" t="str">
        <f>IF(B335&lt;&gt;"",IF(AND(B335&gt;=_TM1,B335&lt;=_TM2,OR(TH!L335="1111",TH!M335="1111")),TH!D335,""),"")</f>
        <v/>
      </c>
      <c r="B335" s="36">
        <f t="shared" si="25"/>
        <v>5</v>
      </c>
      <c r="C335" s="191">
        <f t="shared" si="27"/>
        <v>40690</v>
      </c>
      <c r="D335" s="191" t="s">
        <v>1113</v>
      </c>
      <c r="E335" s="191">
        <v>40690</v>
      </c>
      <c r="F335" s="192" t="s">
        <v>832</v>
      </c>
      <c r="G335" s="498"/>
      <c r="H335" s="628" t="s">
        <v>1092</v>
      </c>
      <c r="I335" s="256">
        <v>7</v>
      </c>
      <c r="J335" s="256">
        <v>17484.571428571428</v>
      </c>
      <c r="K335" s="614">
        <f t="shared" si="26"/>
        <v>122392</v>
      </c>
      <c r="L335" s="39" t="s">
        <v>159</v>
      </c>
      <c r="M335" s="724" t="s">
        <v>157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94"/>
      <c r="AB335" s="198"/>
      <c r="AC335" s="198"/>
      <c r="AD335" s="198"/>
    </row>
    <row r="336" spans="1:30" s="606" customFormat="1" ht="15.75" customHeight="1">
      <c r="A336" s="204" t="str">
        <f>IF(B336&lt;&gt;"",IF(AND(B336&gt;=_TM1,B336&lt;=_TM2,OR(TH!L336="1111",TH!M336="1111")),TH!D336,""),"")</f>
        <v/>
      </c>
      <c r="B336" s="36">
        <f t="shared" si="25"/>
        <v>5</v>
      </c>
      <c r="C336" s="191">
        <f t="shared" si="27"/>
        <v>40690</v>
      </c>
      <c r="D336" s="191" t="s">
        <v>1113</v>
      </c>
      <c r="E336" s="191">
        <v>40690</v>
      </c>
      <c r="F336" s="192" t="s">
        <v>830</v>
      </c>
      <c r="G336" s="498"/>
      <c r="H336" s="628" t="s">
        <v>1092</v>
      </c>
      <c r="I336" s="256">
        <v>250</v>
      </c>
      <c r="J336" s="256">
        <v>12946.512000000001</v>
      </c>
      <c r="K336" s="614">
        <f t="shared" si="26"/>
        <v>3236628</v>
      </c>
      <c r="L336" s="39" t="s">
        <v>159</v>
      </c>
      <c r="M336" s="724" t="s">
        <v>157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94"/>
      <c r="AB336" s="198"/>
      <c r="AC336" s="198"/>
      <c r="AD336" s="198"/>
    </row>
    <row r="337" spans="1:30" s="606" customFormat="1" ht="15.75" customHeight="1">
      <c r="A337" s="204" t="str">
        <f>IF(B337&lt;&gt;"",IF(AND(B337&gt;=_TM1,B337&lt;=_TM2,OR(TH!L337="1111",TH!M337="1111")),TH!D337,""),"")</f>
        <v/>
      </c>
      <c r="B337" s="36">
        <f t="shared" si="25"/>
        <v>5</v>
      </c>
      <c r="C337" s="191">
        <f t="shared" si="27"/>
        <v>40690</v>
      </c>
      <c r="D337" s="191" t="s">
        <v>1113</v>
      </c>
      <c r="E337" s="191">
        <v>40690</v>
      </c>
      <c r="F337" s="192" t="s">
        <v>833</v>
      </c>
      <c r="G337" s="498"/>
      <c r="H337" s="628" t="s">
        <v>1092</v>
      </c>
      <c r="I337" s="258">
        <v>90</v>
      </c>
      <c r="J337" s="258">
        <v>15310.011111111111</v>
      </c>
      <c r="K337" s="614">
        <f t="shared" si="26"/>
        <v>1377901</v>
      </c>
      <c r="L337" s="39" t="s">
        <v>159</v>
      </c>
      <c r="M337" s="724" t="s">
        <v>157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94"/>
      <c r="AB337" s="198"/>
      <c r="AC337" s="198"/>
      <c r="AD337" s="198"/>
    </row>
    <row r="338" spans="1:30" s="606" customFormat="1" ht="15.75" customHeight="1">
      <c r="A338" s="204" t="str">
        <f>IF(B338&lt;&gt;"",IF(AND(B338&gt;=_TM1,B338&lt;=_TM2,OR(TH!L338="1111",TH!M338="1111")),TH!D338,""),"")</f>
        <v/>
      </c>
      <c r="B338" s="36">
        <f t="shared" si="25"/>
        <v>5</v>
      </c>
      <c r="C338" s="191">
        <f t="shared" si="27"/>
        <v>40690</v>
      </c>
      <c r="D338" s="191" t="s">
        <v>1113</v>
      </c>
      <c r="E338" s="191">
        <v>40690</v>
      </c>
      <c r="F338" s="192" t="s">
        <v>756</v>
      </c>
      <c r="G338" s="498"/>
      <c r="H338" s="628" t="s">
        <v>1092</v>
      </c>
      <c r="I338" s="258">
        <v>90</v>
      </c>
      <c r="J338" s="258">
        <v>3584.0111111111109</v>
      </c>
      <c r="K338" s="614">
        <f t="shared" si="26"/>
        <v>322561</v>
      </c>
      <c r="L338" s="39" t="s">
        <v>159</v>
      </c>
      <c r="M338" s="724" t="s">
        <v>157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94"/>
      <c r="AB338" s="198"/>
      <c r="AC338" s="198"/>
      <c r="AD338" s="198"/>
    </row>
    <row r="339" spans="1:30" s="606" customFormat="1" ht="15.75" customHeight="1">
      <c r="A339" s="204" t="str">
        <f>IF(B339&lt;&gt;"",IF(AND(B339&gt;=_TM1,B339&lt;=_TM2,OR(TH!L339="1111",TH!M339="1111")),TH!D339,""),"")</f>
        <v/>
      </c>
      <c r="B339" s="36">
        <f t="shared" si="25"/>
        <v>5</v>
      </c>
      <c r="C339" s="191">
        <f t="shared" si="27"/>
        <v>40690</v>
      </c>
      <c r="D339" s="191" t="s">
        <v>1113</v>
      </c>
      <c r="E339" s="191">
        <v>40690</v>
      </c>
      <c r="F339" s="192" t="s">
        <v>836</v>
      </c>
      <c r="G339" s="498"/>
      <c r="H339" s="628" t="s">
        <v>1092</v>
      </c>
      <c r="I339" s="256">
        <v>2</v>
      </c>
      <c r="J339" s="256">
        <v>7759.5</v>
      </c>
      <c r="K339" s="614">
        <f t="shared" si="26"/>
        <v>15519</v>
      </c>
      <c r="L339" s="39" t="s">
        <v>159</v>
      </c>
      <c r="M339" s="724" t="s">
        <v>157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94"/>
      <c r="AB339" s="198"/>
      <c r="AC339" s="198"/>
      <c r="AD339" s="198"/>
    </row>
    <row r="340" spans="1:30" s="606" customFormat="1" ht="15.75" customHeight="1">
      <c r="A340" s="204" t="str">
        <f>IF(B340&lt;&gt;"",IF(AND(B340&gt;=_TM1,B340&lt;=_TM2,OR(TH!L340="1111",TH!M340="1111")),TH!D340,""),"")</f>
        <v/>
      </c>
      <c r="B340" s="36">
        <f t="shared" si="25"/>
        <v>5</v>
      </c>
      <c r="C340" s="191">
        <f t="shared" si="27"/>
        <v>40690</v>
      </c>
      <c r="D340" s="191" t="s">
        <v>1113</v>
      </c>
      <c r="E340" s="191">
        <v>40690</v>
      </c>
      <c r="F340" s="192" t="s">
        <v>837</v>
      </c>
      <c r="G340" s="498"/>
      <c r="H340" s="628" t="s">
        <v>1092</v>
      </c>
      <c r="I340" s="256">
        <v>2</v>
      </c>
      <c r="J340" s="256">
        <v>3655.5</v>
      </c>
      <c r="K340" s="614">
        <f t="shared" si="26"/>
        <v>7311</v>
      </c>
      <c r="L340" s="39" t="s">
        <v>159</v>
      </c>
      <c r="M340" s="724" t="s">
        <v>157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94"/>
      <c r="AB340" s="198"/>
      <c r="AC340" s="198"/>
      <c r="AD340" s="198"/>
    </row>
    <row r="341" spans="1:30" s="606" customFormat="1" ht="15.75" customHeight="1">
      <c r="A341" s="204" t="str">
        <f>IF(B341&lt;&gt;"",IF(AND(B341&gt;=_TM1,B341&lt;=_TM2,OR(TH!L341="1111",TH!M341="1111")),TH!D341,""),"")</f>
        <v/>
      </c>
      <c r="B341" s="36">
        <f t="shared" si="25"/>
        <v>5</v>
      </c>
      <c r="C341" s="191">
        <f t="shared" si="27"/>
        <v>40690</v>
      </c>
      <c r="D341" s="191" t="s">
        <v>1114</v>
      </c>
      <c r="E341" s="191">
        <v>40690</v>
      </c>
      <c r="F341" s="192" t="s">
        <v>838</v>
      </c>
      <c r="G341" s="498"/>
      <c r="H341" s="628" t="s">
        <v>1092</v>
      </c>
      <c r="I341" s="256">
        <v>195</v>
      </c>
      <c r="J341" s="256">
        <v>7890.7948717948721</v>
      </c>
      <c r="K341" s="614">
        <f t="shared" si="26"/>
        <v>1538705</v>
      </c>
      <c r="L341" s="39" t="s">
        <v>159</v>
      </c>
      <c r="M341" s="724" t="s">
        <v>157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94"/>
      <c r="AB341" s="198"/>
      <c r="AC341" s="198"/>
      <c r="AD341" s="198"/>
    </row>
    <row r="342" spans="1:30" s="606" customFormat="1" ht="15.75" customHeight="1">
      <c r="A342" s="204" t="str">
        <f>IF(B342&lt;&gt;"",IF(AND(B342&gt;=_TM1,B342&lt;=_TM2,OR(TH!L342="1111",TH!M342="1111")),TH!D342,""),"")</f>
        <v/>
      </c>
      <c r="B342" s="36">
        <f t="shared" si="25"/>
        <v>5</v>
      </c>
      <c r="C342" s="191">
        <f t="shared" si="27"/>
        <v>40690</v>
      </c>
      <c r="D342" s="191" t="s">
        <v>1114</v>
      </c>
      <c r="E342" s="191">
        <v>40690</v>
      </c>
      <c r="F342" s="192" t="s">
        <v>839</v>
      </c>
      <c r="G342" s="498"/>
      <c r="H342" s="628" t="s">
        <v>1092</v>
      </c>
      <c r="I342" s="256">
        <v>20</v>
      </c>
      <c r="J342" s="256">
        <v>16143.5</v>
      </c>
      <c r="K342" s="614">
        <f t="shared" si="26"/>
        <v>322870</v>
      </c>
      <c r="L342" s="39" t="s">
        <v>159</v>
      </c>
      <c r="M342" s="724" t="s">
        <v>157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94"/>
      <c r="AB342" s="198"/>
      <c r="AC342" s="198"/>
      <c r="AD342" s="198"/>
    </row>
    <row r="343" spans="1:30" s="606" customFormat="1" ht="15.75" customHeight="1">
      <c r="A343" s="204" t="str">
        <f>IF(B343&lt;&gt;"",IF(AND(B343&gt;=_TM1,B343&lt;=_TM2,OR(TH!L343="1111",TH!M343="1111")),TH!D343,""),"")</f>
        <v/>
      </c>
      <c r="B343" s="36">
        <f t="shared" si="25"/>
        <v>5</v>
      </c>
      <c r="C343" s="191">
        <f t="shared" si="27"/>
        <v>40690</v>
      </c>
      <c r="D343" s="191" t="s">
        <v>1114</v>
      </c>
      <c r="E343" s="191">
        <v>40690</v>
      </c>
      <c r="F343" s="192" t="s">
        <v>840</v>
      </c>
      <c r="G343" s="498"/>
      <c r="H343" s="628" t="s">
        <v>1092</v>
      </c>
      <c r="I343" s="256">
        <v>1</v>
      </c>
      <c r="J343" s="256">
        <v>6972</v>
      </c>
      <c r="K343" s="614">
        <f t="shared" si="26"/>
        <v>6972</v>
      </c>
      <c r="L343" s="39" t="s">
        <v>159</v>
      </c>
      <c r="M343" s="724" t="s">
        <v>157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94"/>
      <c r="AB343" s="198"/>
      <c r="AC343" s="198"/>
      <c r="AD343" s="198"/>
    </row>
    <row r="344" spans="1:30" s="606" customFormat="1" ht="15.75" customHeight="1">
      <c r="A344" s="204" t="str">
        <f>IF(B344&lt;&gt;"",IF(AND(B344&gt;=_TM1,B344&lt;=_TM2,OR(TH!L344="1111",TH!M344="1111")),TH!D344,""),"")</f>
        <v/>
      </c>
      <c r="B344" s="36">
        <f t="shared" si="25"/>
        <v>5</v>
      </c>
      <c r="C344" s="191">
        <f t="shared" si="27"/>
        <v>40690</v>
      </c>
      <c r="D344" s="191" t="s">
        <v>1114</v>
      </c>
      <c r="E344" s="191">
        <v>40690</v>
      </c>
      <c r="F344" s="192" t="s">
        <v>841</v>
      </c>
      <c r="G344" s="498"/>
      <c r="H344" s="628" t="s">
        <v>1092</v>
      </c>
      <c r="I344" s="256">
        <v>4</v>
      </c>
      <c r="J344" s="256">
        <v>5808.5</v>
      </c>
      <c r="K344" s="614">
        <f t="shared" ref="K344:K357" si="28">ROUND(I344*J344,0)</f>
        <v>23234</v>
      </c>
      <c r="L344" s="39" t="s">
        <v>159</v>
      </c>
      <c r="M344" s="724" t="s">
        <v>157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94"/>
      <c r="AB344" s="198"/>
      <c r="AC344" s="198"/>
      <c r="AD344" s="198"/>
    </row>
    <row r="345" spans="1:30" s="606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:B408" si="29">IF(C345&lt;&gt;"",MONTH(C345),"")</f>
        <v>5</v>
      </c>
      <c r="C345" s="191">
        <f t="shared" si="27"/>
        <v>40690</v>
      </c>
      <c r="D345" s="191" t="s">
        <v>1114</v>
      </c>
      <c r="E345" s="191">
        <v>40690</v>
      </c>
      <c r="F345" s="192" t="s">
        <v>842</v>
      </c>
      <c r="G345" s="498"/>
      <c r="H345" s="628" t="s">
        <v>1092</v>
      </c>
      <c r="I345" s="256">
        <v>2</v>
      </c>
      <c r="J345" s="256">
        <v>3584</v>
      </c>
      <c r="K345" s="614">
        <f t="shared" si="28"/>
        <v>7168</v>
      </c>
      <c r="L345" s="39" t="s">
        <v>159</v>
      </c>
      <c r="M345" s="724" t="s">
        <v>157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94"/>
      <c r="AB345" s="198"/>
      <c r="AC345" s="198"/>
      <c r="AD345" s="198"/>
    </row>
    <row r="346" spans="1:30" s="606" customFormat="1" ht="15.75" customHeight="1">
      <c r="A346" s="204" t="str">
        <f>IF(B346&lt;&gt;"",IF(AND(B346&gt;=_TM1,B346&lt;=_TM2,OR(TH!L346="1111",TH!M346="1111")),TH!D346,""),"")</f>
        <v/>
      </c>
      <c r="B346" s="36">
        <f t="shared" si="29"/>
        <v>5</v>
      </c>
      <c r="C346" s="191">
        <f t="shared" si="27"/>
        <v>40690</v>
      </c>
      <c r="D346" s="191" t="s">
        <v>1114</v>
      </c>
      <c r="E346" s="191">
        <v>40690</v>
      </c>
      <c r="F346" s="192" t="s">
        <v>843</v>
      </c>
      <c r="G346" s="498"/>
      <c r="H346" s="628" t="s">
        <v>1092</v>
      </c>
      <c r="I346" s="256">
        <v>2</v>
      </c>
      <c r="J346" s="256">
        <v>8627.5</v>
      </c>
      <c r="K346" s="614">
        <f t="shared" si="28"/>
        <v>17255</v>
      </c>
      <c r="L346" s="39" t="s">
        <v>159</v>
      </c>
      <c r="M346" s="724" t="s">
        <v>157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94"/>
      <c r="AB346" s="198"/>
      <c r="AC346" s="198"/>
      <c r="AD346" s="198"/>
    </row>
    <row r="347" spans="1:30" s="606" customFormat="1" ht="15.75" customHeight="1">
      <c r="A347" s="204" t="str">
        <f>IF(B347&lt;&gt;"",IF(AND(B347&gt;=_TM1,B347&lt;=_TM2,OR(TH!L347="1111",TH!M347="1111")),TH!D347,""),"")</f>
        <v/>
      </c>
      <c r="B347" s="36">
        <f t="shared" si="29"/>
        <v>5</v>
      </c>
      <c r="C347" s="191">
        <f t="shared" si="27"/>
        <v>40690</v>
      </c>
      <c r="D347" s="191" t="s">
        <v>1114</v>
      </c>
      <c r="E347" s="191">
        <v>40690</v>
      </c>
      <c r="F347" s="192" t="s">
        <v>849</v>
      </c>
      <c r="G347" s="498"/>
      <c r="H347" s="628" t="s">
        <v>1092</v>
      </c>
      <c r="I347" s="256">
        <v>2</v>
      </c>
      <c r="J347" s="256">
        <v>7190.5</v>
      </c>
      <c r="K347" s="614">
        <f t="shared" si="28"/>
        <v>14381</v>
      </c>
      <c r="L347" s="39" t="s">
        <v>159</v>
      </c>
      <c r="M347" s="724" t="s">
        <v>157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94"/>
      <c r="AB347" s="198"/>
      <c r="AC347" s="198"/>
      <c r="AD347" s="198"/>
    </row>
    <row r="348" spans="1:30" s="606" customFormat="1" ht="15.75" customHeight="1">
      <c r="A348" s="204" t="str">
        <f>IF(B348&lt;&gt;"",IF(AND(B348&gt;=_TM1,B348&lt;=_TM2,OR(TH!L348="1111",TH!M348="1111")),TH!D348,""),"")</f>
        <v/>
      </c>
      <c r="B348" s="36">
        <f t="shared" si="29"/>
        <v>5</v>
      </c>
      <c r="C348" s="191">
        <f t="shared" si="27"/>
        <v>40690</v>
      </c>
      <c r="D348" s="191" t="s">
        <v>1114</v>
      </c>
      <c r="E348" s="191">
        <v>40690</v>
      </c>
      <c r="F348" s="192" t="s">
        <v>850</v>
      </c>
      <c r="G348" s="498"/>
      <c r="H348" s="628" t="s">
        <v>1092</v>
      </c>
      <c r="I348" s="256">
        <v>5</v>
      </c>
      <c r="J348" s="256">
        <v>6971.6</v>
      </c>
      <c r="K348" s="614">
        <f t="shared" si="28"/>
        <v>34858</v>
      </c>
      <c r="L348" s="39" t="s">
        <v>159</v>
      </c>
      <c r="M348" s="724" t="s">
        <v>157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94"/>
      <c r="AB348" s="198"/>
      <c r="AC348" s="198"/>
      <c r="AD348" s="198"/>
    </row>
    <row r="349" spans="1:30" s="606" customFormat="1" ht="15.75" customHeight="1">
      <c r="A349" s="204" t="str">
        <f>IF(B349&lt;&gt;"",IF(AND(B349&gt;=_TM1,B349&lt;=_TM2,OR(TH!L349="1111",TH!M349="1111")),TH!D349,""),"")</f>
        <v/>
      </c>
      <c r="B349" s="36">
        <f t="shared" si="29"/>
        <v>5</v>
      </c>
      <c r="C349" s="191">
        <f t="shared" si="27"/>
        <v>40690</v>
      </c>
      <c r="D349" s="191" t="s">
        <v>1114</v>
      </c>
      <c r="E349" s="191">
        <v>40690</v>
      </c>
      <c r="F349" s="192" t="s">
        <v>851</v>
      </c>
      <c r="G349" s="498"/>
      <c r="H349" s="628" t="s">
        <v>1092</v>
      </c>
      <c r="I349" s="258">
        <v>86</v>
      </c>
      <c r="J349" s="258">
        <v>18284.511627906977</v>
      </c>
      <c r="K349" s="614">
        <f t="shared" si="28"/>
        <v>1572468</v>
      </c>
      <c r="L349" s="39" t="s">
        <v>159</v>
      </c>
      <c r="M349" s="724" t="s">
        <v>157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94"/>
      <c r="AB349" s="198"/>
      <c r="AC349" s="198"/>
      <c r="AD349" s="198"/>
    </row>
    <row r="350" spans="1:30" s="606" customFormat="1" ht="15.75" customHeight="1">
      <c r="A350" s="204" t="str">
        <f>IF(B350&lt;&gt;"",IF(AND(B350&gt;=_TM1,B350&lt;=_TM2,OR(TH!L350="1111",TH!M350="1111")),TH!D350,""),"")</f>
        <v/>
      </c>
      <c r="B350" s="36">
        <f t="shared" si="29"/>
        <v>5</v>
      </c>
      <c r="C350" s="191">
        <f t="shared" si="27"/>
        <v>40690</v>
      </c>
      <c r="D350" s="191" t="s">
        <v>1115</v>
      </c>
      <c r="E350" s="191">
        <v>40690</v>
      </c>
      <c r="F350" s="192" t="s">
        <v>852</v>
      </c>
      <c r="G350" s="498"/>
      <c r="H350" s="628" t="s">
        <v>1092</v>
      </c>
      <c r="I350" s="256">
        <v>4</v>
      </c>
      <c r="J350" s="256">
        <v>14857.5</v>
      </c>
      <c r="K350" s="614">
        <f t="shared" si="28"/>
        <v>59430</v>
      </c>
      <c r="L350" s="39" t="s">
        <v>159</v>
      </c>
      <c r="M350" s="724" t="s">
        <v>157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94"/>
      <c r="AB350" s="198"/>
      <c r="AC350" s="198"/>
      <c r="AD350" s="198"/>
    </row>
    <row r="351" spans="1:30" s="606" customFormat="1" ht="15.75" customHeight="1">
      <c r="A351" s="204" t="str">
        <f>IF(B351&lt;&gt;"",IF(AND(B351&gt;=_TM1,B351&lt;=_TM2,OR(TH!L351="1111",TH!M351="1111")),TH!D351,""),"")</f>
        <v/>
      </c>
      <c r="B351" s="36">
        <f t="shared" si="29"/>
        <v>5</v>
      </c>
      <c r="C351" s="191">
        <f t="shared" si="27"/>
        <v>40690</v>
      </c>
      <c r="D351" s="191" t="s">
        <v>1115</v>
      </c>
      <c r="E351" s="191">
        <v>40690</v>
      </c>
      <c r="F351" s="192" t="s">
        <v>853</v>
      </c>
      <c r="G351" s="498"/>
      <c r="H351" s="628" t="s">
        <v>1092</v>
      </c>
      <c r="I351" s="256">
        <v>24</v>
      </c>
      <c r="J351" s="256">
        <v>14857.5</v>
      </c>
      <c r="K351" s="614">
        <f t="shared" si="28"/>
        <v>356580</v>
      </c>
      <c r="L351" s="39" t="s">
        <v>159</v>
      </c>
      <c r="M351" s="724" t="s">
        <v>157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94"/>
      <c r="AB351" s="198"/>
      <c r="AC351" s="198"/>
      <c r="AD351" s="198"/>
    </row>
    <row r="352" spans="1:30" s="606" customFormat="1" ht="15.75" customHeight="1">
      <c r="A352" s="204" t="str">
        <f>IF(B352&lt;&gt;"",IF(AND(B352&gt;=_TM1,B352&lt;=_TM2,OR(TH!L352="1111",TH!M352="1111")),TH!D352,""),"")</f>
        <v/>
      </c>
      <c r="B352" s="36">
        <f t="shared" si="29"/>
        <v>5</v>
      </c>
      <c r="C352" s="191">
        <f t="shared" si="27"/>
        <v>40690</v>
      </c>
      <c r="D352" s="191" t="s">
        <v>1115</v>
      </c>
      <c r="E352" s="191">
        <v>40690</v>
      </c>
      <c r="F352" s="192" t="s">
        <v>854</v>
      </c>
      <c r="G352" s="498"/>
      <c r="H352" s="628" t="s">
        <v>1092</v>
      </c>
      <c r="I352" s="258">
        <v>364</v>
      </c>
      <c r="J352" s="258">
        <v>15447.975274725275</v>
      </c>
      <c r="K352" s="614">
        <f t="shared" si="28"/>
        <v>5623063</v>
      </c>
      <c r="L352" s="39" t="s">
        <v>159</v>
      </c>
      <c r="M352" s="724" t="s">
        <v>157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94"/>
      <c r="AB352" s="198"/>
      <c r="AC352" s="198"/>
      <c r="AD352" s="198"/>
    </row>
    <row r="353" spans="1:30" s="606" customFormat="1" ht="15.75" customHeight="1">
      <c r="A353" s="204" t="str">
        <f>IF(B353&lt;&gt;"",IF(AND(B353&gt;=_TM1,B353&lt;=_TM2,OR(TH!L353="1111",TH!M353="1111")),TH!D353,""),"")</f>
        <v/>
      </c>
      <c r="B353" s="36">
        <f t="shared" si="29"/>
        <v>5</v>
      </c>
      <c r="C353" s="191">
        <f t="shared" si="27"/>
        <v>40690</v>
      </c>
      <c r="D353" s="191" t="s">
        <v>1115</v>
      </c>
      <c r="E353" s="191">
        <v>40690</v>
      </c>
      <c r="F353" s="192" t="s">
        <v>855</v>
      </c>
      <c r="G353" s="498"/>
      <c r="H353" s="628" t="s">
        <v>1092</v>
      </c>
      <c r="I353" s="256">
        <v>2</v>
      </c>
      <c r="J353" s="256">
        <v>9979.5</v>
      </c>
      <c r="K353" s="614">
        <f t="shared" si="28"/>
        <v>19959</v>
      </c>
      <c r="L353" s="39" t="s">
        <v>159</v>
      </c>
      <c r="M353" s="724" t="s">
        <v>157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94"/>
      <c r="AB353" s="198"/>
      <c r="AC353" s="198"/>
      <c r="AD353" s="198"/>
    </row>
    <row r="354" spans="1:30" s="606" customFormat="1" ht="15.75" customHeight="1">
      <c r="A354" s="204" t="str">
        <f>IF(B354&lt;&gt;"",IF(AND(B354&gt;=_TM1,B354&lt;=_TM2,OR(TH!L354="1111",TH!M354="1111")),TH!D354,""),"")</f>
        <v/>
      </c>
      <c r="B354" s="36">
        <f t="shared" si="29"/>
        <v>5</v>
      </c>
      <c r="C354" s="191">
        <f t="shared" si="27"/>
        <v>40690</v>
      </c>
      <c r="D354" s="191" t="s">
        <v>1115</v>
      </c>
      <c r="E354" s="191">
        <v>40690</v>
      </c>
      <c r="F354" s="192" t="s">
        <v>856</v>
      </c>
      <c r="G354" s="498"/>
      <c r="H354" s="628" t="s">
        <v>1092</v>
      </c>
      <c r="I354" s="256">
        <v>10</v>
      </c>
      <c r="J354" s="256">
        <v>13217.5</v>
      </c>
      <c r="K354" s="614">
        <f t="shared" si="28"/>
        <v>132175</v>
      </c>
      <c r="L354" s="39" t="s">
        <v>159</v>
      </c>
      <c r="M354" s="724" t="s">
        <v>157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94"/>
      <c r="AB354" s="198"/>
      <c r="AC354" s="198"/>
      <c r="AD354" s="198"/>
    </row>
    <row r="355" spans="1:30" s="606" customFormat="1" ht="15.75" customHeight="1">
      <c r="A355" s="204" t="str">
        <f>IF(B355&lt;&gt;"",IF(AND(B355&gt;=_TM1,B355&lt;=_TM2,OR(TH!L355="1111",TH!M355="1111")),TH!D355,""),"")</f>
        <v/>
      </c>
      <c r="B355" s="36">
        <f t="shared" si="29"/>
        <v>5</v>
      </c>
      <c r="C355" s="191">
        <f t="shared" si="27"/>
        <v>40690</v>
      </c>
      <c r="D355" s="191" t="s">
        <v>1115</v>
      </c>
      <c r="E355" s="191">
        <v>40690</v>
      </c>
      <c r="F355" s="192" t="s">
        <v>857</v>
      </c>
      <c r="G355" s="498"/>
      <c r="H355" s="628" t="s">
        <v>1092</v>
      </c>
      <c r="I355" s="256">
        <v>414</v>
      </c>
      <c r="J355" s="256">
        <v>15420.381642512077</v>
      </c>
      <c r="K355" s="614">
        <f t="shared" si="28"/>
        <v>6384038</v>
      </c>
      <c r="L355" s="39" t="s">
        <v>159</v>
      </c>
      <c r="M355" s="724" t="s">
        <v>157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94"/>
      <c r="AB355" s="198"/>
      <c r="AC355" s="198"/>
      <c r="AD355" s="198"/>
    </row>
    <row r="356" spans="1:30" s="606" customFormat="1" ht="15.75" customHeight="1">
      <c r="A356" s="204" t="str">
        <f>IF(B356&lt;&gt;"",IF(AND(B356&gt;=_TM1,B356&lt;=_TM2,OR(TH!L356="1111",TH!M356="1111")),TH!D356,""),"")</f>
        <v/>
      </c>
      <c r="B356" s="36">
        <f t="shared" si="29"/>
        <v>5</v>
      </c>
      <c r="C356" s="191">
        <f t="shared" si="27"/>
        <v>40690</v>
      </c>
      <c r="D356" s="191" t="s">
        <v>1115</v>
      </c>
      <c r="E356" s="191">
        <v>40690</v>
      </c>
      <c r="F356" s="192" t="s">
        <v>858</v>
      </c>
      <c r="G356" s="498"/>
      <c r="H356" s="628" t="s">
        <v>1092</v>
      </c>
      <c r="I356" s="256">
        <v>1380</v>
      </c>
      <c r="J356" s="256">
        <v>13959.51304347826</v>
      </c>
      <c r="K356" s="614">
        <f t="shared" si="28"/>
        <v>19264128</v>
      </c>
      <c r="L356" s="39" t="s">
        <v>159</v>
      </c>
      <c r="M356" s="724" t="s">
        <v>157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94"/>
      <c r="AB356" s="198"/>
      <c r="AC356" s="198"/>
      <c r="AD356" s="198"/>
    </row>
    <row r="357" spans="1:30" s="606" customFormat="1" ht="15.75" customHeight="1">
      <c r="A357" s="204" t="str">
        <f>IF(B357&lt;&gt;"",IF(AND(B357&gt;=_TM1,B357&lt;=_TM2,OR(TH!L357="1111",TH!M357="1111")),TH!D357,""),"")</f>
        <v/>
      </c>
      <c r="B357" s="36">
        <f t="shared" si="29"/>
        <v>5</v>
      </c>
      <c r="C357" s="191">
        <f t="shared" si="27"/>
        <v>40690</v>
      </c>
      <c r="D357" s="191" t="s">
        <v>1115</v>
      </c>
      <c r="E357" s="191">
        <v>40690</v>
      </c>
      <c r="F357" s="192" t="s">
        <v>859</v>
      </c>
      <c r="G357" s="498"/>
      <c r="H357" s="628" t="s">
        <v>1092</v>
      </c>
      <c r="I357" s="256">
        <v>1127</v>
      </c>
      <c r="J357" s="256">
        <v>13970.692990239573</v>
      </c>
      <c r="K357" s="614">
        <f t="shared" si="28"/>
        <v>15744971</v>
      </c>
      <c r="L357" s="39" t="s">
        <v>159</v>
      </c>
      <c r="M357" s="724" t="s">
        <v>157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94"/>
      <c r="AB357" s="198"/>
      <c r="AC357" s="198"/>
      <c r="AD357" s="198"/>
    </row>
    <row r="358" spans="1:30" s="606" customFormat="1" ht="15.75" customHeight="1">
      <c r="A358" s="204" t="str">
        <f>IF(B358&lt;&gt;"",IF(AND(B358&gt;=_TM1,B358&lt;=_TM2,OR(TH!L358="1111",TH!M358="1111")),TH!D358,""),"")</f>
        <v/>
      </c>
      <c r="B358" s="36">
        <f t="shared" si="29"/>
        <v>5</v>
      </c>
      <c r="C358" s="191">
        <v>40691</v>
      </c>
      <c r="D358" s="191" t="s">
        <v>965</v>
      </c>
      <c r="E358" s="191">
        <v>40691</v>
      </c>
      <c r="F358" s="192" t="s">
        <v>742</v>
      </c>
      <c r="G358" s="498" t="s">
        <v>846</v>
      </c>
      <c r="H358" s="7" t="s">
        <v>733</v>
      </c>
      <c r="I358" s="256">
        <v>181</v>
      </c>
      <c r="J358" s="256">
        <v>19720</v>
      </c>
      <c r="K358" s="614">
        <v>3569320</v>
      </c>
      <c r="L358" s="194" t="s">
        <v>259</v>
      </c>
      <c r="M358" s="194" t="s">
        <v>167</v>
      </c>
      <c r="N358" s="52" t="str">
        <f>IF(AND('331-CT'!$E$7=TH!H358,OR(L358="331",M358="331")),"331",IF(AND(OR(L358="131",M358="131"),H358='131-CT'!$E$7),"131",""))</f>
        <v>131</v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94"/>
      <c r="AB358" s="833"/>
      <c r="AC358" s="198"/>
      <c r="AD358" s="198"/>
    </row>
    <row r="359" spans="1:30" s="606" customFormat="1" ht="15.75" customHeight="1">
      <c r="A359" s="204" t="str">
        <f>IF(B359&lt;&gt;"",IF(AND(B359&gt;=_TM1,B359&lt;=_TM2,OR(TH!L359="1111",TH!M359="1111")),TH!D359,""),"")</f>
        <v/>
      </c>
      <c r="B359" s="36">
        <f t="shared" si="29"/>
        <v>5</v>
      </c>
      <c r="C359" s="191">
        <v>40691</v>
      </c>
      <c r="D359" s="191" t="s">
        <v>965</v>
      </c>
      <c r="E359" s="191">
        <v>40691</v>
      </c>
      <c r="F359" s="192" t="s">
        <v>866</v>
      </c>
      <c r="G359" s="498" t="s">
        <v>846</v>
      </c>
      <c r="H359" s="7" t="s">
        <v>733</v>
      </c>
      <c r="I359" s="256">
        <v>254</v>
      </c>
      <c r="J359" s="256">
        <v>2200</v>
      </c>
      <c r="K359" s="614">
        <v>558800</v>
      </c>
      <c r="L359" s="194" t="s">
        <v>259</v>
      </c>
      <c r="M359" s="194" t="s">
        <v>167</v>
      </c>
      <c r="N359" s="52" t="str">
        <f>IF(AND('331-CT'!$E$7=TH!H359,OR(L359="331",M359="331")),"331",IF(AND(OR(L359="131",M359="131"),H359='131-CT'!$E$7),"131",""))</f>
        <v>131</v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94"/>
      <c r="AB359" s="833"/>
      <c r="AC359" s="198"/>
      <c r="AD359" s="198"/>
    </row>
    <row r="360" spans="1:30" s="606" customFormat="1" ht="15.75" customHeight="1">
      <c r="A360" s="204" t="str">
        <f>IF(B360&lt;&gt;"",IF(AND(B360&gt;=_TM1,B360&lt;=_TM2,OR(TH!L360="1111",TH!M360="1111")),TH!D360,""),"")</f>
        <v/>
      </c>
      <c r="B360" s="36">
        <f t="shared" si="29"/>
        <v>5</v>
      </c>
      <c r="C360" s="191">
        <v>40691</v>
      </c>
      <c r="D360" s="191" t="s">
        <v>965</v>
      </c>
      <c r="E360" s="191">
        <v>40691</v>
      </c>
      <c r="F360" s="192" t="s">
        <v>867</v>
      </c>
      <c r="G360" s="498" t="s">
        <v>846</v>
      </c>
      <c r="H360" s="7" t="s">
        <v>733</v>
      </c>
      <c r="I360" s="256">
        <v>408</v>
      </c>
      <c r="J360" s="256">
        <v>15770</v>
      </c>
      <c r="K360" s="614">
        <v>6434160</v>
      </c>
      <c r="L360" s="194" t="s">
        <v>259</v>
      </c>
      <c r="M360" s="194" t="s">
        <v>167</v>
      </c>
      <c r="N360" s="52" t="str">
        <f>IF(AND('331-CT'!$E$7=TH!H360,OR(L360="331",M360="331")),"331",IF(AND(OR(L360="131",M360="131"),H360='131-CT'!$E$7),"131",""))</f>
        <v>131</v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94"/>
      <c r="AB360" s="833"/>
      <c r="AC360" s="198"/>
      <c r="AD360" s="198"/>
    </row>
    <row r="361" spans="1:30" s="606" customFormat="1" ht="15.75" customHeight="1">
      <c r="A361" s="204" t="str">
        <f>IF(B361&lt;&gt;"",IF(AND(B361&gt;=_TM1,B361&lt;=_TM2,OR(TH!L361="1111",TH!M361="1111")),TH!D361,""),"")</f>
        <v/>
      </c>
      <c r="B361" s="36">
        <f t="shared" si="29"/>
        <v>5</v>
      </c>
      <c r="C361" s="191">
        <v>40691</v>
      </c>
      <c r="D361" s="191" t="s">
        <v>965</v>
      </c>
      <c r="E361" s="191">
        <v>40691</v>
      </c>
      <c r="F361" s="192" t="s">
        <v>868</v>
      </c>
      <c r="G361" s="498" t="s">
        <v>846</v>
      </c>
      <c r="H361" s="7" t="s">
        <v>733</v>
      </c>
      <c r="I361" s="256">
        <v>345</v>
      </c>
      <c r="J361" s="256">
        <v>11002</v>
      </c>
      <c r="K361" s="614">
        <v>3795690</v>
      </c>
      <c r="L361" s="194" t="s">
        <v>259</v>
      </c>
      <c r="M361" s="194" t="s">
        <v>167</v>
      </c>
      <c r="N361" s="52" t="str">
        <f>IF(AND('331-CT'!$E$7=TH!H361,OR(L361="331",M361="331")),"331",IF(AND(OR(L361="131",M361="131"),H361='131-CT'!$E$7),"131",""))</f>
        <v>131</v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94"/>
      <c r="AB361" s="833"/>
      <c r="AC361" s="198"/>
      <c r="AD361" s="198"/>
    </row>
    <row r="362" spans="1:30" s="606" customFormat="1" ht="15.75" customHeight="1">
      <c r="A362" s="204" t="str">
        <f>IF(B362&lt;&gt;"",IF(AND(B362&gt;=_TM1,B362&lt;=_TM2,OR(TH!L362="1111",TH!M362="1111")),TH!D362,""),"")</f>
        <v/>
      </c>
      <c r="B362" s="36">
        <f t="shared" si="29"/>
        <v>5</v>
      </c>
      <c r="C362" s="191">
        <v>40691</v>
      </c>
      <c r="D362" s="191" t="s">
        <v>965</v>
      </c>
      <c r="E362" s="191">
        <v>40691</v>
      </c>
      <c r="F362" s="192" t="s">
        <v>869</v>
      </c>
      <c r="G362" s="498" t="s">
        <v>846</v>
      </c>
      <c r="H362" s="7" t="s">
        <v>733</v>
      </c>
      <c r="I362" s="256">
        <v>4</v>
      </c>
      <c r="J362" s="256">
        <v>12279</v>
      </c>
      <c r="K362" s="614">
        <v>49116</v>
      </c>
      <c r="L362" s="194" t="s">
        <v>259</v>
      </c>
      <c r="M362" s="194" t="s">
        <v>167</v>
      </c>
      <c r="N362" s="52" t="str">
        <f>IF(AND('331-CT'!$E$7=TH!H362,OR(L362="331",M362="331")),"331",IF(AND(OR(L362="131",M362="131"),H362='131-CT'!$E$7),"131",""))</f>
        <v>131</v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94"/>
      <c r="AB362" s="833"/>
      <c r="AC362" s="198"/>
      <c r="AD362" s="198"/>
    </row>
    <row r="363" spans="1:30" s="606" customFormat="1" ht="15.75" customHeight="1">
      <c r="A363" s="204" t="str">
        <f>IF(B363&lt;&gt;"",IF(AND(B363&gt;=_TM1,B363&lt;=_TM2,OR(TH!L363="1111",TH!M363="1111")),TH!D363,""),"")</f>
        <v/>
      </c>
      <c r="B363" s="36">
        <f t="shared" si="29"/>
        <v>5</v>
      </c>
      <c r="C363" s="191">
        <v>40691</v>
      </c>
      <c r="D363" s="191" t="s">
        <v>965</v>
      </c>
      <c r="E363" s="191">
        <v>40691</v>
      </c>
      <c r="F363" s="192" t="s">
        <v>870</v>
      </c>
      <c r="G363" s="498" t="s">
        <v>846</v>
      </c>
      <c r="H363" s="7" t="s">
        <v>733</v>
      </c>
      <c r="I363" s="256">
        <v>67</v>
      </c>
      <c r="J363" s="256">
        <v>11075</v>
      </c>
      <c r="K363" s="614">
        <v>742025</v>
      </c>
      <c r="L363" s="194" t="s">
        <v>259</v>
      </c>
      <c r="M363" s="194" t="s">
        <v>167</v>
      </c>
      <c r="N363" s="52" t="str">
        <f>IF(AND('331-CT'!$E$7=TH!H363,OR(L363="331",M363="331")),"331",IF(AND(OR(L363="131",M363="131"),H363='131-CT'!$E$7),"131",""))</f>
        <v>131</v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94"/>
      <c r="AB363" s="833"/>
      <c r="AC363" s="198"/>
      <c r="AD363" s="198"/>
    </row>
    <row r="364" spans="1:30" s="606" customFormat="1" ht="15.75" customHeight="1">
      <c r="A364" s="204" t="str">
        <f>IF(B364&lt;&gt;"",IF(AND(B364&gt;=_TM1,B364&lt;=_TM2,OR(TH!L364="1111",TH!M364="1111")),TH!D364,""),"")</f>
        <v/>
      </c>
      <c r="B364" s="36">
        <f t="shared" si="29"/>
        <v>5</v>
      </c>
      <c r="C364" s="191">
        <v>40691</v>
      </c>
      <c r="D364" s="191" t="s">
        <v>965</v>
      </c>
      <c r="E364" s="191">
        <v>40691</v>
      </c>
      <c r="F364" s="192" t="s">
        <v>871</v>
      </c>
      <c r="G364" s="498" t="s">
        <v>846</v>
      </c>
      <c r="H364" s="7" t="s">
        <v>733</v>
      </c>
      <c r="I364" s="256">
        <v>27</v>
      </c>
      <c r="J364" s="256">
        <v>15277</v>
      </c>
      <c r="K364" s="614">
        <v>412479</v>
      </c>
      <c r="L364" s="194" t="s">
        <v>259</v>
      </c>
      <c r="M364" s="194" t="s">
        <v>167</v>
      </c>
      <c r="N364" s="52" t="str">
        <f>IF(AND('331-CT'!$E$7=TH!H364,OR(L364="331",M364="331")),"331",IF(AND(OR(L364="131",M364="131"),H364='131-CT'!$E$7),"131",""))</f>
        <v>131</v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94"/>
      <c r="AB364" s="833"/>
      <c r="AC364" s="198"/>
      <c r="AD364" s="198"/>
    </row>
    <row r="365" spans="1:30" s="606" customFormat="1" ht="15.75" customHeight="1">
      <c r="A365" s="204" t="str">
        <f>IF(B365&lt;&gt;"",IF(AND(B365&gt;=_TM1,B365&lt;=_TM2,OR(TH!L365="1111",TH!M365="1111")),TH!D365,""),"")</f>
        <v/>
      </c>
      <c r="B365" s="36">
        <f t="shared" si="29"/>
        <v>5</v>
      </c>
      <c r="C365" s="191">
        <v>40691</v>
      </c>
      <c r="D365" s="191" t="s">
        <v>965</v>
      </c>
      <c r="E365" s="191">
        <v>40691</v>
      </c>
      <c r="F365" s="192" t="s">
        <v>872</v>
      </c>
      <c r="G365" s="498" t="s">
        <v>846</v>
      </c>
      <c r="H365" s="7" t="s">
        <v>733</v>
      </c>
      <c r="I365" s="256">
        <v>16</v>
      </c>
      <c r="J365" s="256">
        <v>9352</v>
      </c>
      <c r="K365" s="614">
        <v>149632</v>
      </c>
      <c r="L365" s="194" t="s">
        <v>259</v>
      </c>
      <c r="M365" s="194" t="s">
        <v>167</v>
      </c>
      <c r="N365" s="52" t="str">
        <f>IF(AND('331-CT'!$E$7=TH!H365,OR(L365="331",M365="331")),"331",IF(AND(OR(L365="131",M365="131"),H365='131-CT'!$E$7),"131",""))</f>
        <v>131</v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94"/>
      <c r="AB365" s="833"/>
      <c r="AC365" s="198"/>
      <c r="AD365" s="198"/>
    </row>
    <row r="366" spans="1:30" s="606" customFormat="1" ht="15.75" customHeight="1">
      <c r="A366" s="204" t="str">
        <f>IF(B366&lt;&gt;"",IF(AND(B366&gt;=_TM1,B366&lt;=_TM2,OR(TH!L366="1111",TH!M366="1111")),TH!D366,""),"")</f>
        <v/>
      </c>
      <c r="B366" s="36">
        <f t="shared" si="29"/>
        <v>5</v>
      </c>
      <c r="C366" s="191">
        <v>40691</v>
      </c>
      <c r="D366" s="191" t="s">
        <v>965</v>
      </c>
      <c r="E366" s="191">
        <v>40691</v>
      </c>
      <c r="F366" s="192" t="s">
        <v>848</v>
      </c>
      <c r="G366" s="498" t="s">
        <v>846</v>
      </c>
      <c r="H366" s="7" t="s">
        <v>733</v>
      </c>
      <c r="I366" s="256"/>
      <c r="J366" s="256"/>
      <c r="K366" s="614">
        <v>1571122</v>
      </c>
      <c r="L366" s="194" t="s">
        <v>259</v>
      </c>
      <c r="M366" s="194" t="s">
        <v>731</v>
      </c>
      <c r="N366" s="52" t="str">
        <f>IF(AND('331-CT'!$E$7=TH!H366,OR(L366="331",M366="331")),"331",IF(AND(OR(L366="131",M366="131"),H366='131-CT'!$E$7),"131",""))</f>
        <v>131</v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94"/>
      <c r="AB366" s="833"/>
      <c r="AC366" s="198"/>
      <c r="AD366" s="198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29"/>
        <v>5</v>
      </c>
      <c r="C367" s="191">
        <v>40691</v>
      </c>
      <c r="D367" s="191" t="s">
        <v>966</v>
      </c>
      <c r="E367" s="191">
        <v>40691</v>
      </c>
      <c r="F367" s="192" t="s">
        <v>873</v>
      </c>
      <c r="G367" s="498" t="s">
        <v>847</v>
      </c>
      <c r="H367" s="7" t="s">
        <v>733</v>
      </c>
      <c r="I367" s="256">
        <v>127</v>
      </c>
      <c r="J367" s="256">
        <v>17979</v>
      </c>
      <c r="K367" s="614">
        <v>2283333</v>
      </c>
      <c r="L367" s="194" t="s">
        <v>259</v>
      </c>
      <c r="M367" s="194" t="s">
        <v>167</v>
      </c>
      <c r="N367" s="52" t="str">
        <f>IF(AND('331-CT'!$E$7=TH!H367,OR(L367="331",M367="331")),"331",IF(AND(OR(L367="131",M367="131"),H367='131-CT'!$E$7),"131",""))</f>
        <v>131</v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94"/>
      <c r="AB367" s="833"/>
      <c r="AC367" s="198"/>
      <c r="AD367" s="198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29"/>
        <v>5</v>
      </c>
      <c r="C368" s="191">
        <v>40691</v>
      </c>
      <c r="D368" s="191" t="s">
        <v>966</v>
      </c>
      <c r="E368" s="191">
        <v>40691</v>
      </c>
      <c r="F368" s="192" t="s">
        <v>874</v>
      </c>
      <c r="G368" s="498" t="s">
        <v>847</v>
      </c>
      <c r="H368" s="7" t="s">
        <v>733</v>
      </c>
      <c r="I368" s="256">
        <v>5</v>
      </c>
      <c r="J368" s="256">
        <v>5282</v>
      </c>
      <c r="K368" s="614">
        <v>26410</v>
      </c>
      <c r="L368" s="194" t="s">
        <v>259</v>
      </c>
      <c r="M368" s="194" t="s">
        <v>167</v>
      </c>
      <c r="N368" s="52" t="str">
        <f>IF(AND('331-CT'!$E$7=TH!H368,OR(L368="331",M368="331")),"331",IF(AND(OR(L368="131",M368="131"),H368='131-CT'!$E$7),"131",""))</f>
        <v>131</v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94"/>
      <c r="AB368" s="833"/>
      <c r="AC368" s="198"/>
      <c r="AD368" s="198"/>
    </row>
    <row r="369" spans="1:30" s="606" customFormat="1" ht="15.75" customHeight="1">
      <c r="A369" s="204" t="str">
        <f>IF(B369&lt;&gt;"",IF(AND(B369&gt;=_TM1,B369&lt;=_TM2,OR(TH!L369="1111",TH!M369="1111")),TH!D369,""),"")</f>
        <v/>
      </c>
      <c r="B369" s="36">
        <f t="shared" si="29"/>
        <v>5</v>
      </c>
      <c r="C369" s="191">
        <v>40691</v>
      </c>
      <c r="D369" s="191" t="s">
        <v>966</v>
      </c>
      <c r="E369" s="191">
        <v>40691</v>
      </c>
      <c r="F369" s="192" t="s">
        <v>875</v>
      </c>
      <c r="G369" s="498" t="s">
        <v>847</v>
      </c>
      <c r="H369" s="7" t="s">
        <v>733</v>
      </c>
      <c r="I369" s="256">
        <v>3</v>
      </c>
      <c r="J369" s="256">
        <v>11444</v>
      </c>
      <c r="K369" s="614">
        <v>34332</v>
      </c>
      <c r="L369" s="194" t="s">
        <v>259</v>
      </c>
      <c r="M369" s="194" t="s">
        <v>167</v>
      </c>
      <c r="N369" s="52" t="str">
        <f>IF(AND('331-CT'!$E$7=TH!H369,OR(L369="331",M369="331")),"331",IF(AND(OR(L369="131",M369="131"),H369='131-CT'!$E$7),"131",""))</f>
        <v>131</v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94"/>
      <c r="AB369" s="833"/>
      <c r="AC369" s="198"/>
      <c r="AD369" s="198"/>
    </row>
    <row r="370" spans="1:30" s="606" customFormat="1" ht="15.75" customHeight="1">
      <c r="A370" s="204" t="str">
        <f>IF(B370&lt;&gt;"",IF(AND(B370&gt;=_TM1,B370&lt;=_TM2,OR(TH!L370="1111",TH!M370="1111")),TH!D370,""),"")</f>
        <v/>
      </c>
      <c r="B370" s="36">
        <f t="shared" si="29"/>
        <v>5</v>
      </c>
      <c r="C370" s="191">
        <v>40691</v>
      </c>
      <c r="D370" s="191" t="s">
        <v>966</v>
      </c>
      <c r="E370" s="191">
        <v>40691</v>
      </c>
      <c r="F370" s="192" t="s">
        <v>876</v>
      </c>
      <c r="G370" s="498" t="s">
        <v>847</v>
      </c>
      <c r="H370" s="7" t="s">
        <v>733</v>
      </c>
      <c r="I370" s="256">
        <v>12</v>
      </c>
      <c r="J370" s="256">
        <v>19788</v>
      </c>
      <c r="K370" s="614">
        <v>237456</v>
      </c>
      <c r="L370" s="194" t="s">
        <v>259</v>
      </c>
      <c r="M370" s="194" t="s">
        <v>167</v>
      </c>
      <c r="N370" s="52" t="str">
        <f>IF(AND('331-CT'!$E$7=TH!H370,OR(L370="331",M370="331")),"331",IF(AND(OR(L370="131",M370="131"),H370='131-CT'!$E$7),"131",""))</f>
        <v>131</v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94"/>
      <c r="AB370" s="833"/>
      <c r="AC370" s="198"/>
      <c r="AD370" s="198"/>
    </row>
    <row r="371" spans="1:30" s="606" customFormat="1" ht="15.75" customHeight="1">
      <c r="A371" s="204" t="str">
        <f>IF(B371&lt;&gt;"",IF(AND(B371&gt;=_TM1,B371&lt;=_TM2,OR(TH!L371="1111",TH!M371="1111")),TH!D371,""),"")</f>
        <v/>
      </c>
      <c r="B371" s="36">
        <f t="shared" si="29"/>
        <v>5</v>
      </c>
      <c r="C371" s="191">
        <v>40691</v>
      </c>
      <c r="D371" s="191" t="s">
        <v>966</v>
      </c>
      <c r="E371" s="191">
        <v>40691</v>
      </c>
      <c r="F371" s="192" t="s">
        <v>877</v>
      </c>
      <c r="G371" s="498" t="s">
        <v>847</v>
      </c>
      <c r="H371" s="7" t="s">
        <v>733</v>
      </c>
      <c r="I371" s="256">
        <v>9</v>
      </c>
      <c r="J371" s="256">
        <v>8450</v>
      </c>
      <c r="K371" s="614">
        <v>76050</v>
      </c>
      <c r="L371" s="194" t="s">
        <v>259</v>
      </c>
      <c r="M371" s="194" t="s">
        <v>167</v>
      </c>
      <c r="N371" s="52" t="str">
        <f>IF(AND('331-CT'!$E$7=TH!H371,OR(L371="331",M371="331")),"331",IF(AND(OR(L371="131",M371="131"),H371='131-CT'!$E$7),"131",""))</f>
        <v>131</v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94"/>
      <c r="AB371" s="833"/>
      <c r="AC371" s="198"/>
      <c r="AD371" s="198"/>
    </row>
    <row r="372" spans="1:30" s="606" customFormat="1" ht="15.75" customHeight="1">
      <c r="A372" s="204" t="str">
        <f>IF(B372&lt;&gt;"",IF(AND(B372&gt;=_TM1,B372&lt;=_TM2,OR(TH!L372="1111",TH!M372="1111")),TH!D372,""),"")</f>
        <v/>
      </c>
      <c r="B372" s="36">
        <f t="shared" si="29"/>
        <v>5</v>
      </c>
      <c r="C372" s="191">
        <v>40691</v>
      </c>
      <c r="D372" s="191" t="s">
        <v>966</v>
      </c>
      <c r="E372" s="191">
        <v>40691</v>
      </c>
      <c r="F372" s="192" t="s">
        <v>878</v>
      </c>
      <c r="G372" s="498" t="s">
        <v>847</v>
      </c>
      <c r="H372" s="7" t="s">
        <v>733</v>
      </c>
      <c r="I372" s="256">
        <v>8</v>
      </c>
      <c r="J372" s="256">
        <v>10110</v>
      </c>
      <c r="K372" s="614">
        <v>80880</v>
      </c>
      <c r="L372" s="194" t="s">
        <v>259</v>
      </c>
      <c r="M372" s="194" t="s">
        <v>167</v>
      </c>
      <c r="N372" s="52" t="str">
        <f>IF(AND('331-CT'!$E$7=TH!H372,OR(L372="331",M372="331")),"331",IF(AND(OR(L372="131",M372="131"),H372='131-CT'!$E$7),"131",""))</f>
        <v>131</v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94"/>
      <c r="AB372" s="833"/>
      <c r="AC372" s="198"/>
      <c r="AD372" s="198"/>
    </row>
    <row r="373" spans="1:30" s="606" customFormat="1" ht="15.75" customHeight="1">
      <c r="A373" s="204" t="str">
        <f>IF(B373&lt;&gt;"",IF(AND(B373&gt;=_TM1,B373&lt;=_TM2,OR(TH!L373="1111",TH!M373="1111")),TH!D373,""),"")</f>
        <v/>
      </c>
      <c r="B373" s="36">
        <f t="shared" si="29"/>
        <v>5</v>
      </c>
      <c r="C373" s="191">
        <v>40691</v>
      </c>
      <c r="D373" s="191" t="s">
        <v>966</v>
      </c>
      <c r="E373" s="191">
        <v>40691</v>
      </c>
      <c r="F373" s="192" t="s">
        <v>879</v>
      </c>
      <c r="G373" s="498" t="s">
        <v>847</v>
      </c>
      <c r="H373" s="7" t="s">
        <v>733</v>
      </c>
      <c r="I373" s="256">
        <v>7</v>
      </c>
      <c r="J373" s="256">
        <v>10345</v>
      </c>
      <c r="K373" s="614">
        <v>72415</v>
      </c>
      <c r="L373" s="194" t="s">
        <v>259</v>
      </c>
      <c r="M373" s="194" t="s">
        <v>167</v>
      </c>
      <c r="N373" s="52" t="str">
        <f>IF(AND('331-CT'!$E$7=TH!H373,OR(L373="331",M373="331")),"331",IF(AND(OR(L373="131",M373="131"),H373='131-CT'!$E$7),"131",""))</f>
        <v>131</v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94"/>
      <c r="AB373" s="833"/>
      <c r="AC373" s="198"/>
      <c r="AD373" s="198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29"/>
        <v>5</v>
      </c>
      <c r="C374" s="191">
        <v>40691</v>
      </c>
      <c r="D374" s="191" t="s">
        <v>966</v>
      </c>
      <c r="E374" s="191">
        <v>40691</v>
      </c>
      <c r="F374" s="192" t="s">
        <v>880</v>
      </c>
      <c r="G374" s="498" t="s">
        <v>847</v>
      </c>
      <c r="H374" s="7" t="s">
        <v>733</v>
      </c>
      <c r="I374" s="256">
        <v>13</v>
      </c>
      <c r="J374" s="256">
        <v>12672</v>
      </c>
      <c r="K374" s="614">
        <v>164736</v>
      </c>
      <c r="L374" s="194" t="s">
        <v>259</v>
      </c>
      <c r="M374" s="194" t="s">
        <v>167</v>
      </c>
      <c r="N374" s="52" t="str">
        <f>IF(AND('331-CT'!$E$7=TH!H374,OR(L374="331",M374="331")),"331",IF(AND(OR(L374="131",M374="131"),H374='131-CT'!$E$7),"131",""))</f>
        <v>131</v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94"/>
      <c r="AB374" s="833"/>
      <c r="AC374" s="198"/>
      <c r="AD374" s="198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29"/>
        <v>5</v>
      </c>
      <c r="C375" s="191">
        <v>40691</v>
      </c>
      <c r="D375" s="191" t="s">
        <v>966</v>
      </c>
      <c r="E375" s="191">
        <v>40691</v>
      </c>
      <c r="F375" s="192" t="s">
        <v>848</v>
      </c>
      <c r="G375" s="498" t="s">
        <v>847</v>
      </c>
      <c r="H375" s="7" t="s">
        <v>733</v>
      </c>
      <c r="I375" s="256"/>
      <c r="J375" s="256"/>
      <c r="K375" s="614">
        <v>297561</v>
      </c>
      <c r="L375" s="194" t="s">
        <v>259</v>
      </c>
      <c r="M375" s="194" t="s">
        <v>731</v>
      </c>
      <c r="N375" s="52" t="str">
        <f>IF(AND('331-CT'!$E$7=TH!H375,OR(L375="331",M375="331")),"331",IF(AND(OR(L375="131",M375="131"),H375='131-CT'!$E$7),"131",""))</f>
        <v>131</v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94"/>
      <c r="AB375" s="833"/>
      <c r="AC375" s="198"/>
      <c r="AD375" s="198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29"/>
        <v>5</v>
      </c>
      <c r="C376" s="191">
        <v>40691</v>
      </c>
      <c r="D376" s="191" t="s">
        <v>967</v>
      </c>
      <c r="E376" s="191">
        <v>40691</v>
      </c>
      <c r="F376" s="192" t="s">
        <v>882</v>
      </c>
      <c r="G376" s="498" t="s">
        <v>860</v>
      </c>
      <c r="H376" s="7" t="s">
        <v>733</v>
      </c>
      <c r="I376" s="256">
        <v>5</v>
      </c>
      <c r="J376" s="256">
        <v>12304</v>
      </c>
      <c r="K376" s="614">
        <v>61520</v>
      </c>
      <c r="L376" s="194" t="s">
        <v>259</v>
      </c>
      <c r="M376" s="194" t="s">
        <v>167</v>
      </c>
      <c r="N376" s="52" t="str">
        <f>IF(AND('331-CT'!$E$7=TH!H376,OR(L376="331",M376="331")),"331",IF(AND(OR(L376="131",M376="131"),H376='131-CT'!$E$7),"131",""))</f>
        <v>131</v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94"/>
      <c r="AB376" s="833"/>
      <c r="AC376" s="198"/>
      <c r="AD376" s="198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29"/>
        <v>5</v>
      </c>
      <c r="C377" s="191">
        <v>40691</v>
      </c>
      <c r="D377" s="191" t="s">
        <v>967</v>
      </c>
      <c r="E377" s="191">
        <v>40691</v>
      </c>
      <c r="F377" s="192" t="s">
        <v>883</v>
      </c>
      <c r="G377" s="498" t="s">
        <v>860</v>
      </c>
      <c r="H377" s="7" t="s">
        <v>733</v>
      </c>
      <c r="I377" s="256">
        <v>22</v>
      </c>
      <c r="J377" s="256">
        <v>18862</v>
      </c>
      <c r="K377" s="614">
        <v>414964</v>
      </c>
      <c r="L377" s="194" t="s">
        <v>259</v>
      </c>
      <c r="M377" s="194" t="s">
        <v>167</v>
      </c>
      <c r="N377" s="52" t="str">
        <f>IF(AND('331-CT'!$E$7=TH!H377,OR(L377="331",M377="331")),"331",IF(AND(OR(L377="131",M377="131"),H377='131-CT'!$E$7),"131",""))</f>
        <v>131</v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94"/>
      <c r="AB377" s="833"/>
      <c r="AC377" s="198"/>
      <c r="AD377" s="198"/>
    </row>
    <row r="378" spans="1:30" s="606" customFormat="1" ht="15.75" customHeight="1">
      <c r="A378" s="204" t="str">
        <f>IF(B378&lt;&gt;"",IF(AND(B378&gt;=_TM1,B378&lt;=_TM2,OR(TH!L378="1111",TH!M378="1111")),TH!D378,""),"")</f>
        <v/>
      </c>
      <c r="B378" s="36">
        <f t="shared" si="29"/>
        <v>5</v>
      </c>
      <c r="C378" s="191">
        <v>40691</v>
      </c>
      <c r="D378" s="191" t="s">
        <v>967</v>
      </c>
      <c r="E378" s="191">
        <v>40691</v>
      </c>
      <c r="F378" s="192" t="s">
        <v>884</v>
      </c>
      <c r="G378" s="498" t="s">
        <v>860</v>
      </c>
      <c r="H378" s="7" t="s">
        <v>733</v>
      </c>
      <c r="I378" s="256">
        <v>245</v>
      </c>
      <c r="J378" s="256">
        <v>9989</v>
      </c>
      <c r="K378" s="614">
        <v>2447305</v>
      </c>
      <c r="L378" s="194" t="s">
        <v>259</v>
      </c>
      <c r="M378" s="194" t="s">
        <v>167</v>
      </c>
      <c r="N378" s="52" t="str">
        <f>IF(AND('331-CT'!$E$7=TH!H378,OR(L378="331",M378="331")),"331",IF(AND(OR(L378="131",M378="131"),H378='131-CT'!$E$7),"131",""))</f>
        <v>131</v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94"/>
      <c r="AB378" s="833"/>
      <c r="AC378" s="198"/>
      <c r="AD378" s="198"/>
    </row>
    <row r="379" spans="1:30" s="606" customFormat="1" ht="15.75" customHeight="1">
      <c r="A379" s="204" t="str">
        <f>IF(B379&lt;&gt;"",IF(AND(B379&gt;=_TM1,B379&lt;=_TM2,OR(TH!L379="1111",TH!M379="1111")),TH!D379,""),"")</f>
        <v/>
      </c>
      <c r="B379" s="36">
        <f t="shared" si="29"/>
        <v>5</v>
      </c>
      <c r="C379" s="191">
        <v>40691</v>
      </c>
      <c r="D379" s="191" t="s">
        <v>967</v>
      </c>
      <c r="E379" s="191">
        <v>40691</v>
      </c>
      <c r="F379" s="192" t="s">
        <v>885</v>
      </c>
      <c r="G379" s="498" t="s">
        <v>860</v>
      </c>
      <c r="H379" s="7" t="s">
        <v>733</v>
      </c>
      <c r="I379" s="256">
        <v>429</v>
      </c>
      <c r="J379" s="256">
        <v>25535</v>
      </c>
      <c r="K379" s="614">
        <v>10954515</v>
      </c>
      <c r="L379" s="194" t="s">
        <v>259</v>
      </c>
      <c r="M379" s="194" t="s">
        <v>167</v>
      </c>
      <c r="N379" s="52" t="str">
        <f>IF(AND('331-CT'!$E$7=TH!H379,OR(L379="331",M379="331")),"331",IF(AND(OR(L379="131",M379="131"),H379='131-CT'!$E$7),"131",""))</f>
        <v>131</v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94"/>
      <c r="AB379" s="833"/>
      <c r="AC379" s="198"/>
      <c r="AD379" s="198"/>
    </row>
    <row r="380" spans="1:30" s="606" customFormat="1" ht="15.75" customHeight="1">
      <c r="A380" s="204" t="str">
        <f>IF(B380&lt;&gt;"",IF(AND(B380&gt;=_TM1,B380&lt;=_TM2,OR(TH!L380="1111",TH!M380="1111")),TH!D380,""),"")</f>
        <v/>
      </c>
      <c r="B380" s="36">
        <f t="shared" si="29"/>
        <v>5</v>
      </c>
      <c r="C380" s="191">
        <v>40691</v>
      </c>
      <c r="D380" s="191" t="s">
        <v>967</v>
      </c>
      <c r="E380" s="191">
        <v>40691</v>
      </c>
      <c r="F380" s="192" t="s">
        <v>873</v>
      </c>
      <c r="G380" s="498" t="s">
        <v>860</v>
      </c>
      <c r="H380" s="7" t="s">
        <v>733</v>
      </c>
      <c r="I380" s="256">
        <v>22</v>
      </c>
      <c r="J380" s="256">
        <v>17979</v>
      </c>
      <c r="K380" s="614">
        <v>395538</v>
      </c>
      <c r="L380" s="194" t="s">
        <v>259</v>
      </c>
      <c r="M380" s="194" t="s">
        <v>167</v>
      </c>
      <c r="N380" s="52" t="str">
        <f>IF(AND('331-CT'!$E$7=TH!H380,OR(L380="331",M380="331")),"331",IF(AND(OR(L380="131",M380="131"),H380='131-CT'!$E$7),"131",""))</f>
        <v>131</v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94"/>
      <c r="AB380" s="833"/>
      <c r="AC380" s="198"/>
      <c r="AD380" s="198"/>
    </row>
    <row r="381" spans="1:30" s="606" customFormat="1" ht="15.75" customHeight="1">
      <c r="A381" s="204" t="str">
        <f>IF(B381&lt;&gt;"",IF(AND(B381&gt;=_TM1,B381&lt;=_TM2,OR(TH!L381="1111",TH!M381="1111")),TH!D381,""),"")</f>
        <v/>
      </c>
      <c r="B381" s="36">
        <f t="shared" si="29"/>
        <v>5</v>
      </c>
      <c r="C381" s="191">
        <v>40691</v>
      </c>
      <c r="D381" s="191" t="s">
        <v>967</v>
      </c>
      <c r="E381" s="191">
        <v>40691</v>
      </c>
      <c r="F381" s="192" t="s">
        <v>886</v>
      </c>
      <c r="G381" s="498" t="s">
        <v>860</v>
      </c>
      <c r="H381" s="7" t="s">
        <v>733</v>
      </c>
      <c r="I381" s="256">
        <v>4</v>
      </c>
      <c r="J381" s="256">
        <v>16852</v>
      </c>
      <c r="K381" s="614">
        <v>67408</v>
      </c>
      <c r="L381" s="194" t="s">
        <v>259</v>
      </c>
      <c r="M381" s="194" t="s">
        <v>167</v>
      </c>
      <c r="N381" s="52" t="str">
        <f>IF(AND('331-CT'!$E$7=TH!H381,OR(L381="331",M381="331")),"331",IF(AND(OR(L381="131",M381="131"),H381='131-CT'!$E$7),"131",""))</f>
        <v>131</v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94"/>
      <c r="AB381" s="833"/>
      <c r="AC381" s="198"/>
      <c r="AD381" s="198"/>
    </row>
    <row r="382" spans="1:30" s="606" customFormat="1" ht="15.75" customHeight="1">
      <c r="A382" s="204" t="str">
        <f>IF(B382&lt;&gt;"",IF(AND(B382&gt;=_TM1,B382&lt;=_TM2,OR(TH!L382="1111",TH!M382="1111")),TH!D382,""),"")</f>
        <v/>
      </c>
      <c r="B382" s="36">
        <f t="shared" si="29"/>
        <v>5</v>
      </c>
      <c r="C382" s="191">
        <v>40691</v>
      </c>
      <c r="D382" s="191" t="s">
        <v>967</v>
      </c>
      <c r="E382" s="191">
        <v>40691</v>
      </c>
      <c r="F382" s="192" t="s">
        <v>887</v>
      </c>
      <c r="G382" s="498" t="s">
        <v>860</v>
      </c>
      <c r="H382" s="7" t="s">
        <v>733</v>
      </c>
      <c r="I382" s="256">
        <v>2</v>
      </c>
      <c r="J382" s="256">
        <v>16052</v>
      </c>
      <c r="K382" s="614">
        <v>32104</v>
      </c>
      <c r="L382" s="194" t="s">
        <v>259</v>
      </c>
      <c r="M382" s="194" t="s">
        <v>167</v>
      </c>
      <c r="N382" s="52" t="str">
        <f>IF(AND('331-CT'!$E$7=TH!H382,OR(L382="331",M382="331")),"331",IF(AND(OR(L382="131",M382="131"),H382='131-CT'!$E$7),"131",""))</f>
        <v>131</v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94"/>
      <c r="AB382" s="833"/>
      <c r="AC382" s="198"/>
      <c r="AD382" s="198"/>
    </row>
    <row r="383" spans="1:30" s="606" customFormat="1" ht="15.75" customHeight="1">
      <c r="A383" s="204" t="str">
        <f>IF(B383&lt;&gt;"",IF(AND(B383&gt;=_TM1,B383&lt;=_TM2,OR(TH!L383="1111",TH!M383="1111")),TH!D383,""),"")</f>
        <v/>
      </c>
      <c r="B383" s="36">
        <f t="shared" si="29"/>
        <v>5</v>
      </c>
      <c r="C383" s="191">
        <v>40691</v>
      </c>
      <c r="D383" s="191" t="s">
        <v>967</v>
      </c>
      <c r="E383" s="191">
        <v>40691</v>
      </c>
      <c r="F383" s="192" t="s">
        <v>867</v>
      </c>
      <c r="G383" s="498" t="s">
        <v>860</v>
      </c>
      <c r="H383" s="7" t="s">
        <v>733</v>
      </c>
      <c r="I383" s="256">
        <v>3</v>
      </c>
      <c r="J383" s="256">
        <v>15770</v>
      </c>
      <c r="K383" s="614">
        <v>47310</v>
      </c>
      <c r="L383" s="194" t="s">
        <v>259</v>
      </c>
      <c r="M383" s="194" t="s">
        <v>167</v>
      </c>
      <c r="N383" s="52" t="str">
        <f>IF(AND('331-CT'!$E$7=TH!H383,OR(L383="331",M383="331")),"331",IF(AND(OR(L383="131",M383="131"),H383='131-CT'!$E$7),"131",""))</f>
        <v>131</v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94"/>
      <c r="AB383" s="833"/>
      <c r="AC383" s="198"/>
      <c r="AD383" s="198"/>
    </row>
    <row r="384" spans="1:30" s="606" customFormat="1" ht="15.75" customHeight="1">
      <c r="A384" s="204" t="str">
        <f>IF(B384&lt;&gt;"",IF(AND(B384&gt;=_TM1,B384&lt;=_TM2,OR(TH!L384="1111",TH!M384="1111")),TH!D384,""),"")</f>
        <v/>
      </c>
      <c r="B384" s="36">
        <f t="shared" si="29"/>
        <v>5</v>
      </c>
      <c r="C384" s="191">
        <v>40691</v>
      </c>
      <c r="D384" s="191" t="s">
        <v>967</v>
      </c>
      <c r="E384" s="191">
        <v>40691</v>
      </c>
      <c r="F384" s="192" t="s">
        <v>848</v>
      </c>
      <c r="G384" s="498" t="s">
        <v>860</v>
      </c>
      <c r="H384" s="7" t="s">
        <v>733</v>
      </c>
      <c r="I384" s="256"/>
      <c r="J384" s="256"/>
      <c r="K384" s="614">
        <f>1442066+1</f>
        <v>1442067</v>
      </c>
      <c r="L384" s="194" t="s">
        <v>259</v>
      </c>
      <c r="M384" s="194" t="s">
        <v>731</v>
      </c>
      <c r="N384" s="52" t="str">
        <f>IF(AND('331-CT'!$E$7=TH!H384,OR(L384="331",M384="331")),"331",IF(AND(OR(L384="131",M384="131"),H384='131-CT'!$E$7),"131",""))</f>
        <v>131</v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94"/>
      <c r="AB384" s="833"/>
      <c r="AC384" s="198"/>
      <c r="AD384" s="198"/>
    </row>
    <row r="385" spans="1:30" s="606" customFormat="1" ht="15.75" customHeight="1">
      <c r="A385" s="204" t="str">
        <f>IF(B385&lt;&gt;"",IF(AND(B385&gt;=_TM1,B385&lt;=_TM2,OR(TH!L385="1111",TH!M385="1111")),TH!D385,""),"")</f>
        <v/>
      </c>
      <c r="B385" s="36">
        <f t="shared" si="29"/>
        <v>5</v>
      </c>
      <c r="C385" s="191">
        <v>40691</v>
      </c>
      <c r="D385" s="191" t="s">
        <v>968</v>
      </c>
      <c r="E385" s="191">
        <v>40691</v>
      </c>
      <c r="F385" s="192" t="s">
        <v>871</v>
      </c>
      <c r="G385" s="498" t="s">
        <v>861</v>
      </c>
      <c r="H385" s="7" t="s">
        <v>733</v>
      </c>
      <c r="I385" s="256">
        <v>1</v>
      </c>
      <c r="J385" s="256">
        <v>15277</v>
      </c>
      <c r="K385" s="614">
        <v>15277</v>
      </c>
      <c r="L385" s="194" t="s">
        <v>259</v>
      </c>
      <c r="M385" s="194" t="s">
        <v>167</v>
      </c>
      <c r="N385" s="52" t="str">
        <f>IF(AND('331-CT'!$E$7=TH!H385,OR(L385="331",M385="331")),"331",IF(AND(OR(L385="131",M385="131"),H385='131-CT'!$E$7),"131",""))</f>
        <v>131</v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94"/>
      <c r="AB385" s="833"/>
      <c r="AC385" s="198"/>
      <c r="AD385" s="198"/>
    </row>
    <row r="386" spans="1:30" s="606" customFormat="1" ht="15.75" customHeight="1">
      <c r="A386" s="204" t="str">
        <f>IF(B386&lt;&gt;"",IF(AND(B386&gt;=_TM1,B386&lt;=_TM2,OR(TH!L386="1111",TH!M386="1111")),TH!D386,""),"")</f>
        <v/>
      </c>
      <c r="B386" s="36">
        <f t="shared" si="29"/>
        <v>5</v>
      </c>
      <c r="C386" s="191">
        <v>40691</v>
      </c>
      <c r="D386" s="191" t="s">
        <v>968</v>
      </c>
      <c r="E386" s="191">
        <v>40691</v>
      </c>
      <c r="F386" s="192" t="s">
        <v>868</v>
      </c>
      <c r="G386" s="498" t="s">
        <v>861</v>
      </c>
      <c r="H386" s="7" t="s">
        <v>733</v>
      </c>
      <c r="I386" s="256">
        <v>5</v>
      </c>
      <c r="J386" s="256">
        <v>11002</v>
      </c>
      <c r="K386" s="614">
        <v>55010</v>
      </c>
      <c r="L386" s="194" t="s">
        <v>259</v>
      </c>
      <c r="M386" s="194" t="s">
        <v>167</v>
      </c>
      <c r="N386" s="52" t="str">
        <f>IF(AND('331-CT'!$E$7=TH!H386,OR(L386="331",M386="331")),"331",IF(AND(OR(L386="131",M386="131"),H386='131-CT'!$E$7),"131",""))</f>
        <v>131</v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94"/>
      <c r="AB386" s="833"/>
      <c r="AC386" s="198"/>
      <c r="AD386" s="198"/>
    </row>
    <row r="387" spans="1:30" s="606" customFormat="1" ht="15.75" customHeight="1">
      <c r="A387" s="204" t="str">
        <f>IF(B387&lt;&gt;"",IF(AND(B387&gt;=_TM1,B387&lt;=_TM2,OR(TH!L387="1111",TH!M387="1111")),TH!D387,""),"")</f>
        <v/>
      </c>
      <c r="B387" s="36">
        <f t="shared" si="29"/>
        <v>5</v>
      </c>
      <c r="C387" s="191">
        <v>40691</v>
      </c>
      <c r="D387" s="191" t="s">
        <v>968</v>
      </c>
      <c r="E387" s="191">
        <v>40691</v>
      </c>
      <c r="F387" s="192" t="s">
        <v>891</v>
      </c>
      <c r="G387" s="498" t="s">
        <v>861</v>
      </c>
      <c r="H387" s="7" t="s">
        <v>733</v>
      </c>
      <c r="I387" s="256">
        <v>344</v>
      </c>
      <c r="J387" s="256">
        <v>19248</v>
      </c>
      <c r="K387" s="614">
        <v>6621312</v>
      </c>
      <c r="L387" s="194" t="s">
        <v>259</v>
      </c>
      <c r="M387" s="194" t="s">
        <v>167</v>
      </c>
      <c r="N387" s="52" t="str">
        <f>IF(AND('331-CT'!$E$7=TH!H387,OR(L387="331",M387="331")),"331",IF(AND(OR(L387="131",M387="131"),H387='131-CT'!$E$7),"131",""))</f>
        <v>131</v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94"/>
      <c r="AB387" s="833"/>
      <c r="AC387" s="198"/>
      <c r="AD387" s="198"/>
    </row>
    <row r="388" spans="1:30" s="606" customFormat="1" ht="15.75" customHeight="1">
      <c r="A388" s="204" t="str">
        <f>IF(B388&lt;&gt;"",IF(AND(B388&gt;=_TM1,B388&lt;=_TM2,OR(TH!L388="1111",TH!M388="1111")),TH!D388,""),"")</f>
        <v/>
      </c>
      <c r="B388" s="36">
        <f t="shared" si="29"/>
        <v>5</v>
      </c>
      <c r="C388" s="191">
        <v>40691</v>
      </c>
      <c r="D388" s="191" t="s">
        <v>968</v>
      </c>
      <c r="E388" s="191">
        <v>40691</v>
      </c>
      <c r="F388" s="192" t="s">
        <v>889</v>
      </c>
      <c r="G388" s="498" t="s">
        <v>861</v>
      </c>
      <c r="H388" s="7" t="s">
        <v>733</v>
      </c>
      <c r="I388" s="256">
        <v>239</v>
      </c>
      <c r="J388" s="256">
        <v>6577</v>
      </c>
      <c r="K388" s="614">
        <v>1571903</v>
      </c>
      <c r="L388" s="194" t="s">
        <v>259</v>
      </c>
      <c r="M388" s="194" t="s">
        <v>167</v>
      </c>
      <c r="N388" s="52" t="str">
        <f>IF(AND('331-CT'!$E$7=TH!H388,OR(L388="331",M388="331")),"331",IF(AND(OR(L388="131",M388="131"),H388='131-CT'!$E$7),"131",""))</f>
        <v>131</v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94"/>
      <c r="AB388" s="833"/>
      <c r="AC388" s="198"/>
      <c r="AD388" s="198"/>
    </row>
    <row r="389" spans="1:30" s="606" customFormat="1" ht="15.75" customHeight="1">
      <c r="A389" s="204" t="str">
        <f>IF(B389&lt;&gt;"",IF(AND(B389&gt;=_TM1,B389&lt;=_TM2,OR(TH!L389="1111",TH!M389="1111")),TH!D389,""),"")</f>
        <v/>
      </c>
      <c r="B389" s="36">
        <f t="shared" si="29"/>
        <v>5</v>
      </c>
      <c r="C389" s="191">
        <v>40691</v>
      </c>
      <c r="D389" s="191" t="s">
        <v>968</v>
      </c>
      <c r="E389" s="191">
        <v>40691</v>
      </c>
      <c r="F389" s="192" t="s">
        <v>890</v>
      </c>
      <c r="G389" s="498" t="s">
        <v>861</v>
      </c>
      <c r="H389" s="7" t="s">
        <v>733</v>
      </c>
      <c r="I389" s="256">
        <v>102</v>
      </c>
      <c r="J389" s="256">
        <v>4704</v>
      </c>
      <c r="K389" s="614">
        <v>479808</v>
      </c>
      <c r="L389" s="194" t="s">
        <v>259</v>
      </c>
      <c r="M389" s="194" t="s">
        <v>167</v>
      </c>
      <c r="N389" s="52" t="str">
        <f>IF(AND('331-CT'!$E$7=TH!H389,OR(L389="331",M389="331")),"331",IF(AND(OR(L389="131",M389="131"),H389='131-CT'!$E$7),"131",""))</f>
        <v>131</v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94"/>
      <c r="AB389" s="833"/>
      <c r="AC389" s="198"/>
      <c r="AD389" s="198"/>
    </row>
    <row r="390" spans="1:30" s="606" customFormat="1" ht="15.75" customHeight="1">
      <c r="A390" s="204" t="str">
        <f>IF(B390&lt;&gt;"",IF(AND(B390&gt;=_TM1,B390&lt;=_TM2,OR(TH!L390="1111",TH!M390="1111")),TH!D390,""),"")</f>
        <v/>
      </c>
      <c r="B390" s="36">
        <f t="shared" si="29"/>
        <v>5</v>
      </c>
      <c r="C390" s="191">
        <v>40691</v>
      </c>
      <c r="D390" s="191" t="s">
        <v>968</v>
      </c>
      <c r="E390" s="191">
        <v>40691</v>
      </c>
      <c r="F390" s="192" t="s">
        <v>892</v>
      </c>
      <c r="G390" s="498" t="s">
        <v>861</v>
      </c>
      <c r="H390" s="7" t="s">
        <v>733</v>
      </c>
      <c r="I390" s="256">
        <v>24</v>
      </c>
      <c r="J390" s="256">
        <v>14056</v>
      </c>
      <c r="K390" s="614">
        <v>337344</v>
      </c>
      <c r="L390" s="194" t="s">
        <v>259</v>
      </c>
      <c r="M390" s="194" t="s">
        <v>167</v>
      </c>
      <c r="N390" s="52" t="str">
        <f>IF(AND('331-CT'!$E$7=TH!H390,OR(L390="331",M390="331")),"331",IF(AND(OR(L390="131",M390="131"),H390='131-CT'!$E$7),"131",""))</f>
        <v>131</v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94"/>
      <c r="AB390" s="833"/>
      <c r="AC390" s="198"/>
      <c r="AD390" s="198"/>
    </row>
    <row r="391" spans="1:30" s="606" customFormat="1" ht="15.75" customHeight="1">
      <c r="A391" s="204" t="str">
        <f>IF(B391&lt;&gt;"",IF(AND(B391&gt;=_TM1,B391&lt;=_TM2,OR(TH!L391="1111",TH!M391="1111")),TH!D391,""),"")</f>
        <v/>
      </c>
      <c r="B391" s="36">
        <f t="shared" si="29"/>
        <v>5</v>
      </c>
      <c r="C391" s="191">
        <v>40691</v>
      </c>
      <c r="D391" s="191" t="s">
        <v>968</v>
      </c>
      <c r="E391" s="191">
        <v>40691</v>
      </c>
      <c r="F391" s="192" t="s">
        <v>885</v>
      </c>
      <c r="G391" s="498" t="s">
        <v>861</v>
      </c>
      <c r="H391" s="7" t="s">
        <v>733</v>
      </c>
      <c r="I391" s="256">
        <v>208</v>
      </c>
      <c r="J391" s="256">
        <v>25535</v>
      </c>
      <c r="K391" s="614">
        <v>5311280</v>
      </c>
      <c r="L391" s="194" t="s">
        <v>259</v>
      </c>
      <c r="M391" s="194" t="s">
        <v>167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94"/>
      <c r="AB391" s="833"/>
      <c r="AC391" s="198"/>
      <c r="AD391" s="198"/>
    </row>
    <row r="392" spans="1:30" s="606" customFormat="1" ht="15.75" customHeight="1">
      <c r="A392" s="204" t="str">
        <f>IF(B392&lt;&gt;"",IF(AND(B392&gt;=_TM1,B392&lt;=_TM2,OR(TH!L392="1111",TH!M392="1111")),TH!D392,""),"")</f>
        <v/>
      </c>
      <c r="B392" s="36">
        <f t="shared" si="29"/>
        <v>5</v>
      </c>
      <c r="C392" s="191">
        <v>40691</v>
      </c>
      <c r="D392" s="191" t="s">
        <v>968</v>
      </c>
      <c r="E392" s="191">
        <v>40691</v>
      </c>
      <c r="F392" s="192" t="s">
        <v>893</v>
      </c>
      <c r="G392" s="498" t="s">
        <v>861</v>
      </c>
      <c r="H392" s="7" t="s">
        <v>733</v>
      </c>
      <c r="I392" s="256">
        <v>51</v>
      </c>
      <c r="J392" s="256">
        <v>27650</v>
      </c>
      <c r="K392" s="614">
        <v>1410150</v>
      </c>
      <c r="L392" s="194" t="s">
        <v>259</v>
      </c>
      <c r="M392" s="194" t="s">
        <v>167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94"/>
      <c r="AB392" s="833"/>
      <c r="AC392" s="198"/>
      <c r="AD392" s="198"/>
    </row>
    <row r="393" spans="1:30" s="606" customFormat="1" ht="15.75" customHeight="1">
      <c r="A393" s="204" t="str">
        <f>IF(B393&lt;&gt;"",IF(AND(B393&gt;=_TM1,B393&lt;=_TM2,OR(TH!L393="1111",TH!M393="1111")),TH!D393,""),"")</f>
        <v/>
      </c>
      <c r="B393" s="36">
        <f t="shared" si="29"/>
        <v>5</v>
      </c>
      <c r="C393" s="191">
        <v>40691</v>
      </c>
      <c r="D393" s="191" t="s">
        <v>968</v>
      </c>
      <c r="E393" s="191">
        <v>40691</v>
      </c>
      <c r="F393" s="192" t="s">
        <v>848</v>
      </c>
      <c r="G393" s="498" t="s">
        <v>861</v>
      </c>
      <c r="H393" s="7" t="s">
        <v>733</v>
      </c>
      <c r="I393" s="256"/>
      <c r="J393" s="256"/>
      <c r="K393" s="614">
        <f>1580208+1</f>
        <v>1580209</v>
      </c>
      <c r="L393" s="194" t="s">
        <v>259</v>
      </c>
      <c r="M393" s="194" t="s">
        <v>731</v>
      </c>
      <c r="N393" s="52" t="str">
        <f>IF(AND('331-CT'!$E$7=TH!H393,OR(L393="331",M393="331")),"331",IF(AND(OR(L393="131",M393="131"),H393='131-CT'!$E$7),"131",""))</f>
        <v>131</v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94"/>
      <c r="AB393" s="833"/>
      <c r="AC393" s="198"/>
      <c r="AD393" s="198"/>
    </row>
    <row r="394" spans="1:30" s="606" customFormat="1" ht="15.75" customHeight="1">
      <c r="A394" s="204" t="str">
        <f>IF(B394&lt;&gt;"",IF(AND(B394&gt;=_TM1,B394&lt;=_TM2,OR(TH!L394="1111",TH!M394="1111")),TH!D394,""),"")</f>
        <v/>
      </c>
      <c r="B394" s="36">
        <f t="shared" si="29"/>
        <v>5</v>
      </c>
      <c r="C394" s="191">
        <v>40691</v>
      </c>
      <c r="D394" s="191" t="s">
        <v>969</v>
      </c>
      <c r="E394" s="191">
        <v>40691</v>
      </c>
      <c r="F394" s="192" t="s">
        <v>895</v>
      </c>
      <c r="G394" s="498" t="s">
        <v>862</v>
      </c>
      <c r="H394" s="7" t="s">
        <v>733</v>
      </c>
      <c r="I394" s="256">
        <v>406</v>
      </c>
      <c r="J394" s="256">
        <v>26855</v>
      </c>
      <c r="K394" s="614">
        <v>10903130</v>
      </c>
      <c r="L394" s="194" t="s">
        <v>259</v>
      </c>
      <c r="M394" s="194" t="s">
        <v>167</v>
      </c>
      <c r="N394" s="52" t="str">
        <f>IF(AND('331-CT'!$E$7=TH!H394,OR(L394="331",M394="331")),"331",IF(AND(OR(L394="131",M394="131"),H394='131-CT'!$E$7),"131",""))</f>
        <v>131</v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94"/>
      <c r="AB394" s="833"/>
      <c r="AC394" s="198"/>
      <c r="AD394" s="198"/>
    </row>
    <row r="395" spans="1:30" s="606" customFormat="1" ht="15.75" customHeight="1">
      <c r="A395" s="204" t="str">
        <f>IF(B395&lt;&gt;"",IF(AND(B395&gt;=_TM1,B395&lt;=_TM2,OR(TH!L395="1111",TH!M395="1111")),TH!D395,""),"")</f>
        <v/>
      </c>
      <c r="B395" s="36">
        <f t="shared" si="29"/>
        <v>5</v>
      </c>
      <c r="C395" s="191">
        <v>40691</v>
      </c>
      <c r="D395" s="191" t="s">
        <v>969</v>
      </c>
      <c r="E395" s="191">
        <v>40691</v>
      </c>
      <c r="F395" s="192" t="s">
        <v>896</v>
      </c>
      <c r="G395" s="498" t="s">
        <v>862</v>
      </c>
      <c r="H395" s="7" t="s">
        <v>733</v>
      </c>
      <c r="I395" s="256">
        <v>50</v>
      </c>
      <c r="J395" s="256">
        <v>5286</v>
      </c>
      <c r="K395" s="614">
        <v>264300</v>
      </c>
      <c r="L395" s="194" t="s">
        <v>259</v>
      </c>
      <c r="M395" s="194" t="s">
        <v>167</v>
      </c>
      <c r="N395" s="52" t="str">
        <f>IF(AND('331-CT'!$E$7=TH!H395,OR(L395="331",M395="331")),"331",IF(AND(OR(L395="131",M395="131"),H395='131-CT'!$E$7),"131",""))</f>
        <v>131</v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94"/>
      <c r="AB395" s="833"/>
      <c r="AC395" s="198"/>
      <c r="AD395" s="198"/>
    </row>
    <row r="396" spans="1:30" s="606" customFormat="1" ht="15.75" customHeight="1">
      <c r="A396" s="204" t="str">
        <f>IF(B396&lt;&gt;"",IF(AND(B396&gt;=_TM1,B396&lt;=_TM2,OR(TH!L396="1111",TH!M396="1111")),TH!D396,""),"")</f>
        <v/>
      </c>
      <c r="B396" s="36">
        <f t="shared" si="29"/>
        <v>5</v>
      </c>
      <c r="C396" s="191">
        <v>40691</v>
      </c>
      <c r="D396" s="191" t="s">
        <v>969</v>
      </c>
      <c r="E396" s="191">
        <v>40691</v>
      </c>
      <c r="F396" s="192" t="s">
        <v>897</v>
      </c>
      <c r="G396" s="498" t="s">
        <v>862</v>
      </c>
      <c r="H396" s="7" t="s">
        <v>733</v>
      </c>
      <c r="I396" s="256">
        <v>68</v>
      </c>
      <c r="J396" s="256">
        <v>2734</v>
      </c>
      <c r="K396" s="614">
        <v>185912</v>
      </c>
      <c r="L396" s="194" t="s">
        <v>259</v>
      </c>
      <c r="M396" s="194" t="s">
        <v>167</v>
      </c>
      <c r="N396" s="52" t="str">
        <f>IF(AND('331-CT'!$E$7=TH!H396,OR(L396="331",M396="331")),"331",IF(AND(OR(L396="131",M396="131"),H396='131-CT'!$E$7),"131",""))</f>
        <v>131</v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94"/>
      <c r="AB396" s="198"/>
      <c r="AC396" s="198"/>
      <c r="AD396" s="198"/>
    </row>
    <row r="397" spans="1:30" s="606" customFormat="1" ht="15.75" customHeight="1">
      <c r="A397" s="204" t="str">
        <f>IF(B397&lt;&gt;"",IF(AND(B397&gt;=_TM1,B397&lt;=_TM2,OR(TH!L397="1111",TH!M397="1111")),TH!D397,""),"")</f>
        <v/>
      </c>
      <c r="B397" s="36">
        <f t="shared" si="29"/>
        <v>5</v>
      </c>
      <c r="C397" s="191">
        <v>40691</v>
      </c>
      <c r="D397" s="191" t="s">
        <v>969</v>
      </c>
      <c r="E397" s="191">
        <v>40691</v>
      </c>
      <c r="F397" s="192" t="s">
        <v>898</v>
      </c>
      <c r="G397" s="498" t="s">
        <v>862</v>
      </c>
      <c r="H397" s="7" t="s">
        <v>733</v>
      </c>
      <c r="I397" s="256">
        <v>300</v>
      </c>
      <c r="J397" s="256">
        <v>3065</v>
      </c>
      <c r="K397" s="614">
        <v>919500</v>
      </c>
      <c r="L397" s="194" t="s">
        <v>259</v>
      </c>
      <c r="M397" s="194" t="s">
        <v>167</v>
      </c>
      <c r="N397" s="52" t="str">
        <f>IF(AND('331-CT'!$E$7=TH!H397,OR(L397="331",M397="331")),"331",IF(AND(OR(L397="131",M397="131"),H397='131-CT'!$E$7),"131",""))</f>
        <v>131</v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94"/>
      <c r="AB397" s="198"/>
      <c r="AC397" s="198"/>
      <c r="AD397" s="198"/>
    </row>
    <row r="398" spans="1:30" s="606" customFormat="1" ht="15.75" customHeight="1">
      <c r="A398" s="204" t="str">
        <f>IF(B398&lt;&gt;"",IF(AND(B398&gt;=_TM1,B398&lt;=_TM2,OR(TH!L398="1111",TH!M398="1111")),TH!D398,""),"")</f>
        <v/>
      </c>
      <c r="B398" s="36">
        <f t="shared" si="29"/>
        <v>5</v>
      </c>
      <c r="C398" s="191">
        <v>40691</v>
      </c>
      <c r="D398" s="191" t="s">
        <v>969</v>
      </c>
      <c r="E398" s="191">
        <v>40691</v>
      </c>
      <c r="F398" s="192" t="s">
        <v>899</v>
      </c>
      <c r="G398" s="498" t="s">
        <v>862</v>
      </c>
      <c r="H398" s="7" t="s">
        <v>733</v>
      </c>
      <c r="I398" s="256">
        <v>40</v>
      </c>
      <c r="J398" s="256">
        <v>3778</v>
      </c>
      <c r="K398" s="614">
        <v>151120</v>
      </c>
      <c r="L398" s="194" t="s">
        <v>259</v>
      </c>
      <c r="M398" s="194" t="s">
        <v>167</v>
      </c>
      <c r="N398" s="52" t="str">
        <f>IF(AND('331-CT'!$E$7=TH!H398,OR(L398="331",M398="331")),"331",IF(AND(OR(L398="131",M398="131"),H398='131-CT'!$E$7),"131",""))</f>
        <v>131</v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94"/>
      <c r="AB398" s="198"/>
      <c r="AC398" s="198"/>
      <c r="AD398" s="198"/>
    </row>
    <row r="399" spans="1:30" s="606" customFormat="1" ht="15.75" customHeight="1">
      <c r="A399" s="204" t="str">
        <f>IF(B399&lt;&gt;"",IF(AND(B399&gt;=_TM1,B399&lt;=_TM2,OR(TH!L399="1111",TH!M399="1111")),TH!D399,""),"")</f>
        <v/>
      </c>
      <c r="B399" s="36">
        <f t="shared" si="29"/>
        <v>5</v>
      </c>
      <c r="C399" s="191">
        <v>40691</v>
      </c>
      <c r="D399" s="191" t="s">
        <v>969</v>
      </c>
      <c r="E399" s="191">
        <v>40691</v>
      </c>
      <c r="F399" s="192" t="s">
        <v>900</v>
      </c>
      <c r="G399" s="498" t="s">
        <v>862</v>
      </c>
      <c r="H399" s="7" t="s">
        <v>733</v>
      </c>
      <c r="I399" s="258">
        <v>34</v>
      </c>
      <c r="J399" s="258">
        <v>4913</v>
      </c>
      <c r="K399" s="614">
        <v>167042</v>
      </c>
      <c r="L399" s="194" t="s">
        <v>259</v>
      </c>
      <c r="M399" s="194" t="s">
        <v>167</v>
      </c>
      <c r="N399" s="52" t="str">
        <f>IF(AND('331-CT'!$E$7=TH!H399,OR(L399="331",M399="331")),"331",IF(AND(OR(L399="131",M399="131"),H399='131-CT'!$E$7),"131",""))</f>
        <v>131</v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94"/>
      <c r="AB399" s="198"/>
      <c r="AC399" s="198"/>
      <c r="AD399" s="198"/>
    </row>
    <row r="400" spans="1:30" s="606" customFormat="1" ht="15.75" customHeight="1">
      <c r="A400" s="204" t="str">
        <f>IF(B400&lt;&gt;"",IF(AND(B400&gt;=_TM1,B400&lt;=_TM2,OR(TH!L400="1111",TH!M400="1111")),TH!D400,""),"")</f>
        <v/>
      </c>
      <c r="B400" s="36">
        <f t="shared" si="29"/>
        <v>5</v>
      </c>
      <c r="C400" s="191">
        <v>40691</v>
      </c>
      <c r="D400" s="191" t="s">
        <v>969</v>
      </c>
      <c r="E400" s="191">
        <v>40691</v>
      </c>
      <c r="F400" s="192" t="s">
        <v>901</v>
      </c>
      <c r="G400" s="498" t="s">
        <v>862</v>
      </c>
      <c r="H400" s="7" t="s">
        <v>733</v>
      </c>
      <c r="I400" s="256">
        <v>140</v>
      </c>
      <c r="J400" s="256">
        <v>4320</v>
      </c>
      <c r="K400" s="614">
        <v>604800</v>
      </c>
      <c r="L400" s="194" t="s">
        <v>259</v>
      </c>
      <c r="M400" s="194" t="s">
        <v>167</v>
      </c>
      <c r="N400" s="52" t="str">
        <f>IF(AND('331-CT'!$E$7=TH!H400,OR(L400="331",M400="331")),"331",IF(AND(OR(L400="131",M400="131"),H400='131-CT'!$E$7),"131",""))</f>
        <v>131</v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94"/>
      <c r="AB400" s="198"/>
      <c r="AC400" s="198"/>
      <c r="AD400" s="198"/>
    </row>
    <row r="401" spans="1:30" s="606" customFormat="1" ht="15.75" customHeight="1">
      <c r="A401" s="204" t="str">
        <f>IF(B401&lt;&gt;"",IF(AND(B401&gt;=_TM1,B401&lt;=_TM2,OR(TH!L401="1111",TH!M401="1111")),TH!D401,""),"")</f>
        <v/>
      </c>
      <c r="B401" s="36">
        <f t="shared" si="29"/>
        <v>5</v>
      </c>
      <c r="C401" s="191">
        <v>40691</v>
      </c>
      <c r="D401" s="191" t="s">
        <v>969</v>
      </c>
      <c r="E401" s="191">
        <v>40691</v>
      </c>
      <c r="F401" s="192" t="s">
        <v>902</v>
      </c>
      <c r="G401" s="498" t="s">
        <v>862</v>
      </c>
      <c r="H401" s="7" t="s">
        <v>733</v>
      </c>
      <c r="I401" s="256">
        <v>140</v>
      </c>
      <c r="J401" s="256">
        <v>11516</v>
      </c>
      <c r="K401" s="614">
        <v>1612240</v>
      </c>
      <c r="L401" s="194" t="s">
        <v>259</v>
      </c>
      <c r="M401" s="194" t="s">
        <v>167</v>
      </c>
      <c r="N401" s="52" t="str">
        <f>IF(AND('331-CT'!$E$7=TH!H401,OR(L401="331",M401="331")),"331",IF(AND(OR(L401="131",M401="131"),H401='131-CT'!$E$7),"131",""))</f>
        <v>131</v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94"/>
      <c r="AB401" s="198"/>
      <c r="AC401" s="198"/>
      <c r="AD401" s="198"/>
    </row>
    <row r="402" spans="1:30" s="606" customFormat="1" ht="15.75" customHeight="1">
      <c r="A402" s="204" t="str">
        <f>IF(B402&lt;&gt;"",IF(AND(B402&gt;=_TM1,B402&lt;=_TM2,OR(TH!L402="1111",TH!M402="1111")),TH!D402,""),"")</f>
        <v/>
      </c>
      <c r="B402" s="36">
        <f t="shared" si="29"/>
        <v>5</v>
      </c>
      <c r="C402" s="191">
        <v>40691</v>
      </c>
      <c r="D402" s="191" t="s">
        <v>969</v>
      </c>
      <c r="E402" s="191">
        <v>40691</v>
      </c>
      <c r="F402" s="192" t="s">
        <v>848</v>
      </c>
      <c r="G402" s="498" t="s">
        <v>862</v>
      </c>
      <c r="H402" s="7" t="s">
        <v>733</v>
      </c>
      <c r="I402" s="258"/>
      <c r="J402" s="258"/>
      <c r="K402" s="614">
        <f>1480804+1</f>
        <v>1480805</v>
      </c>
      <c r="L402" s="194" t="s">
        <v>259</v>
      </c>
      <c r="M402" s="194" t="s">
        <v>731</v>
      </c>
      <c r="N402" s="52" t="str">
        <f>IF(AND('331-CT'!$E$7=TH!H402,OR(L402="331",M402="331")),"331",IF(AND(OR(L402="131",M402="131"),H402='131-CT'!$E$7),"131",""))</f>
        <v>131</v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94"/>
      <c r="AB402" s="833"/>
      <c r="AC402" s="198"/>
      <c r="AD402" s="198"/>
    </row>
    <row r="403" spans="1:30" s="606" customFormat="1" ht="15.75" customHeight="1">
      <c r="A403" s="204" t="str">
        <f>IF(B403&lt;&gt;"",IF(AND(B403&gt;=_TM1,B403&lt;=_TM2,OR(TH!L403="1111",TH!M403="1111")),TH!D403,""),"")</f>
        <v/>
      </c>
      <c r="B403" s="36">
        <f t="shared" si="29"/>
        <v>5</v>
      </c>
      <c r="C403" s="191">
        <v>40691</v>
      </c>
      <c r="D403" s="191" t="s">
        <v>970</v>
      </c>
      <c r="E403" s="191">
        <v>40691</v>
      </c>
      <c r="F403" s="192" t="s">
        <v>892</v>
      </c>
      <c r="G403" s="498" t="s">
        <v>863</v>
      </c>
      <c r="H403" s="7" t="s">
        <v>733</v>
      </c>
      <c r="I403" s="256">
        <v>10</v>
      </c>
      <c r="J403" s="256">
        <v>14056</v>
      </c>
      <c r="K403" s="614">
        <v>140560</v>
      </c>
      <c r="L403" s="194" t="s">
        <v>259</v>
      </c>
      <c r="M403" s="194" t="s">
        <v>167</v>
      </c>
      <c r="N403" s="52" t="str">
        <f>IF(AND('331-CT'!$E$7=TH!H403,OR(L403="331",M403="331")),"331",IF(AND(OR(L403="131",M403="131"),H403='131-CT'!$E$7),"131",""))</f>
        <v>131</v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94"/>
      <c r="AB403" s="833"/>
      <c r="AC403" s="198"/>
      <c r="AD403" s="198"/>
    </row>
    <row r="404" spans="1:30" s="606" customFormat="1" ht="15.75" customHeight="1">
      <c r="A404" s="204" t="str">
        <f>IF(B404&lt;&gt;"",IF(AND(B404&gt;=_TM1,B404&lt;=_TM2,OR(TH!L404="1111",TH!M404="1111")),TH!D404,""),"")</f>
        <v/>
      </c>
      <c r="B404" s="36">
        <f t="shared" si="29"/>
        <v>5</v>
      </c>
      <c r="C404" s="191">
        <v>40691</v>
      </c>
      <c r="D404" s="191" t="s">
        <v>970</v>
      </c>
      <c r="E404" s="191">
        <v>40691</v>
      </c>
      <c r="F404" s="192" t="s">
        <v>903</v>
      </c>
      <c r="G404" s="498" t="s">
        <v>863</v>
      </c>
      <c r="H404" s="7" t="s">
        <v>733</v>
      </c>
      <c r="I404" s="256">
        <v>68</v>
      </c>
      <c r="J404" s="256">
        <v>10433</v>
      </c>
      <c r="K404" s="614">
        <v>709444</v>
      </c>
      <c r="L404" s="194" t="s">
        <v>259</v>
      </c>
      <c r="M404" s="194" t="s">
        <v>167</v>
      </c>
      <c r="N404" s="52" t="str">
        <f>IF(AND('331-CT'!$E$7=TH!H404,OR(L404="331",M404="331")),"331",IF(AND(OR(L404="131",M404="131"),H404='131-CT'!$E$7),"131",""))</f>
        <v>131</v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94"/>
      <c r="AB404" s="833"/>
      <c r="AC404" s="198"/>
      <c r="AD404" s="198"/>
    </row>
    <row r="405" spans="1:30" s="606" customFormat="1" ht="15.75" customHeight="1">
      <c r="A405" s="204" t="str">
        <f>IF(B405&lt;&gt;"",IF(AND(B405&gt;=_TM1,B405&lt;=_TM2,OR(TH!L405="1111",TH!M405="1111")),TH!D405,""),"")</f>
        <v/>
      </c>
      <c r="B405" s="36">
        <f t="shared" si="29"/>
        <v>5</v>
      </c>
      <c r="C405" s="191">
        <v>40691</v>
      </c>
      <c r="D405" s="191" t="s">
        <v>970</v>
      </c>
      <c r="E405" s="191">
        <v>40691</v>
      </c>
      <c r="F405" s="192" t="s">
        <v>904</v>
      </c>
      <c r="G405" s="498" t="s">
        <v>863</v>
      </c>
      <c r="H405" s="7" t="s">
        <v>733</v>
      </c>
      <c r="I405" s="256">
        <v>300</v>
      </c>
      <c r="J405" s="256">
        <v>13172</v>
      </c>
      <c r="K405" s="614">
        <v>3951600</v>
      </c>
      <c r="L405" s="194" t="s">
        <v>259</v>
      </c>
      <c r="M405" s="194" t="s">
        <v>167</v>
      </c>
      <c r="N405" s="52" t="str">
        <f>IF(AND('331-CT'!$E$7=TH!H405,OR(L405="331",M405="331")),"331",IF(AND(OR(L405="131",M405="131"),H405='131-CT'!$E$7),"131",""))</f>
        <v>131</v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94"/>
      <c r="AB405" s="833"/>
      <c r="AC405" s="198"/>
      <c r="AD405" s="198"/>
    </row>
    <row r="406" spans="1:30" s="606" customFormat="1" ht="15.75" customHeight="1">
      <c r="A406" s="204" t="str">
        <f>IF(B406&lt;&gt;"",IF(AND(B406&gt;=_TM1,B406&lt;=_TM2,OR(TH!L406="1111",TH!M406="1111")),TH!D406,""),"")</f>
        <v/>
      </c>
      <c r="B406" s="36">
        <f t="shared" si="29"/>
        <v>5</v>
      </c>
      <c r="C406" s="191">
        <v>40691</v>
      </c>
      <c r="D406" s="191" t="s">
        <v>970</v>
      </c>
      <c r="E406" s="191">
        <v>40691</v>
      </c>
      <c r="F406" s="192" t="s">
        <v>905</v>
      </c>
      <c r="G406" s="498" t="s">
        <v>863</v>
      </c>
      <c r="H406" s="7" t="s">
        <v>733</v>
      </c>
      <c r="I406" s="256">
        <v>40</v>
      </c>
      <c r="J406" s="256">
        <v>15040</v>
      </c>
      <c r="K406" s="614">
        <v>601600</v>
      </c>
      <c r="L406" s="194" t="s">
        <v>259</v>
      </c>
      <c r="M406" s="194" t="s">
        <v>167</v>
      </c>
      <c r="N406" s="52" t="str">
        <f>IF(AND('331-CT'!$E$7=TH!H406,OR(L406="331",M406="331")),"331",IF(AND(OR(L406="131",M406="131"),H406='131-CT'!$E$7),"131",""))</f>
        <v>131</v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94"/>
      <c r="AB406" s="833"/>
      <c r="AC406" s="198"/>
      <c r="AD406" s="198"/>
    </row>
    <row r="407" spans="1:30" s="606" customFormat="1" ht="15.75" customHeight="1">
      <c r="A407" s="204" t="str">
        <f>IF(B407&lt;&gt;"",IF(AND(B407&gt;=_TM1,B407&lt;=_TM2,OR(TH!L407="1111",TH!M407="1111")),TH!D407,""),"")</f>
        <v/>
      </c>
      <c r="B407" s="36">
        <f t="shared" si="29"/>
        <v>5</v>
      </c>
      <c r="C407" s="191">
        <v>40691</v>
      </c>
      <c r="D407" s="191" t="s">
        <v>970</v>
      </c>
      <c r="E407" s="191">
        <v>40691</v>
      </c>
      <c r="F407" s="192" t="s">
        <v>848</v>
      </c>
      <c r="G407" s="498" t="s">
        <v>863</v>
      </c>
      <c r="H407" s="7" t="s">
        <v>733</v>
      </c>
      <c r="I407" s="258"/>
      <c r="J407" s="258"/>
      <c r="K407" s="614">
        <f>540320+1</f>
        <v>540321</v>
      </c>
      <c r="L407" s="194" t="s">
        <v>259</v>
      </c>
      <c r="M407" s="194" t="s">
        <v>731</v>
      </c>
      <c r="N407" s="52" t="str">
        <f>IF(AND('331-CT'!$E$7=TH!H407,OR(L407="331",M407="331")),"331",IF(AND(OR(L407="131",M407="131"),H407='131-CT'!$E$7),"131",""))</f>
        <v>131</v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94"/>
      <c r="AB407" s="833"/>
      <c r="AC407" s="198"/>
      <c r="AD407" s="198"/>
    </row>
    <row r="408" spans="1:30" s="606" customFormat="1" ht="15.75" customHeight="1">
      <c r="A408" s="204" t="str">
        <f>IF(B408&lt;&gt;"",IF(AND(B408&gt;=_TM1,B408&lt;=_TM2,OR(TH!L408="1111",TH!M408="1111")),TH!D408,""),"")</f>
        <v/>
      </c>
      <c r="B408" s="36">
        <f t="shared" si="29"/>
        <v>5</v>
      </c>
      <c r="C408" s="191">
        <v>40691</v>
      </c>
      <c r="D408" s="191" t="s">
        <v>965</v>
      </c>
      <c r="E408" s="191">
        <v>40691</v>
      </c>
      <c r="F408" s="192" t="s">
        <v>742</v>
      </c>
      <c r="G408" s="498" t="s">
        <v>846</v>
      </c>
      <c r="H408" s="7" t="s">
        <v>733</v>
      </c>
      <c r="I408" s="256">
        <v>181</v>
      </c>
      <c r="J408" s="256">
        <v>18284.513812154695</v>
      </c>
      <c r="K408" s="614">
        <f t="shared" ref="K408:K439" si="30">ROUND(I408*J408,0)</f>
        <v>3309497</v>
      </c>
      <c r="L408" s="854" t="s">
        <v>165</v>
      </c>
      <c r="M408" s="854" t="s">
        <v>159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>632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94"/>
      <c r="AB408" s="833"/>
      <c r="AC408" s="198"/>
      <c r="AD408" s="198"/>
    </row>
    <row r="409" spans="1:30" s="606" customFormat="1" ht="15.75" customHeight="1">
      <c r="A409" s="204" t="str">
        <f>IF(B409&lt;&gt;"",IF(AND(B409&gt;=_TM1,B409&lt;=_TM2,OR(TH!L409="1111",TH!M409="1111")),TH!D409,""),"")</f>
        <v/>
      </c>
      <c r="B409" s="36">
        <f t="shared" ref="B409:B472" si="31">IF(C409&lt;&gt;"",MONTH(C409),"")</f>
        <v>5</v>
      </c>
      <c r="C409" s="191">
        <v>40691</v>
      </c>
      <c r="D409" s="191" t="s">
        <v>965</v>
      </c>
      <c r="E409" s="191">
        <v>40691</v>
      </c>
      <c r="F409" s="192" t="s">
        <v>866</v>
      </c>
      <c r="G409" s="498" t="s">
        <v>846</v>
      </c>
      <c r="H409" s="7" t="s">
        <v>733</v>
      </c>
      <c r="I409" s="256">
        <v>254</v>
      </c>
      <c r="J409" s="256">
        <v>2480.51968503937</v>
      </c>
      <c r="K409" s="614">
        <f t="shared" si="30"/>
        <v>630052</v>
      </c>
      <c r="L409" s="854" t="s">
        <v>165</v>
      </c>
      <c r="M409" s="854" t="s">
        <v>159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632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94"/>
      <c r="AB409" s="833"/>
      <c r="AC409" s="198"/>
      <c r="AD409" s="198"/>
    </row>
    <row r="410" spans="1:30" s="606" customFormat="1" ht="15.75" customHeight="1">
      <c r="A410" s="204" t="str">
        <f>IF(B410&lt;&gt;"",IF(AND(B410&gt;=_TM1,B410&lt;=_TM2,OR(TH!L410="1111",TH!M410="1111")),TH!D410,""),"")</f>
        <v/>
      </c>
      <c r="B410" s="36">
        <f t="shared" si="31"/>
        <v>5</v>
      </c>
      <c r="C410" s="191">
        <v>40691</v>
      </c>
      <c r="D410" s="191" t="s">
        <v>965</v>
      </c>
      <c r="E410" s="191">
        <v>40691</v>
      </c>
      <c r="F410" s="192" t="s">
        <v>867</v>
      </c>
      <c r="G410" s="498" t="s">
        <v>846</v>
      </c>
      <c r="H410" s="7" t="s">
        <v>733</v>
      </c>
      <c r="I410" s="256">
        <v>408</v>
      </c>
      <c r="J410" s="256">
        <v>14206.571078431372</v>
      </c>
      <c r="K410" s="614">
        <f t="shared" si="30"/>
        <v>5796281</v>
      </c>
      <c r="L410" s="854" t="s">
        <v>165</v>
      </c>
      <c r="M410" s="854" t="s">
        <v>159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632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94"/>
      <c r="AB410" s="833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31"/>
        <v>5</v>
      </c>
      <c r="C411" s="191">
        <v>40691</v>
      </c>
      <c r="D411" s="191" t="s">
        <v>965</v>
      </c>
      <c r="E411" s="191">
        <v>40691</v>
      </c>
      <c r="F411" s="192" t="s">
        <v>868</v>
      </c>
      <c r="G411" s="498" t="s">
        <v>846</v>
      </c>
      <c r="H411" s="7" t="s">
        <v>733</v>
      </c>
      <c r="I411" s="256">
        <v>345</v>
      </c>
      <c r="J411" s="256">
        <v>9372.5130434782604</v>
      </c>
      <c r="K411" s="614">
        <f t="shared" si="30"/>
        <v>3233517</v>
      </c>
      <c r="L411" s="854" t="s">
        <v>165</v>
      </c>
      <c r="M411" s="854" t="s">
        <v>159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632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94"/>
      <c r="AB411" s="833"/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31"/>
        <v>5</v>
      </c>
      <c r="C412" s="191">
        <v>40691</v>
      </c>
      <c r="D412" s="191" t="s">
        <v>965</v>
      </c>
      <c r="E412" s="191">
        <v>40691</v>
      </c>
      <c r="F412" s="192" t="s">
        <v>869</v>
      </c>
      <c r="G412" s="498" t="s">
        <v>846</v>
      </c>
      <c r="H412" s="7" t="s">
        <v>733</v>
      </c>
      <c r="I412" s="256">
        <v>4</v>
      </c>
      <c r="J412" s="256">
        <v>9979.5</v>
      </c>
      <c r="K412" s="614">
        <f t="shared" si="30"/>
        <v>39918</v>
      </c>
      <c r="L412" s="854" t="s">
        <v>165</v>
      </c>
      <c r="M412" s="854" t="s">
        <v>159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>632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94"/>
      <c r="AB412" s="833"/>
      <c r="AC412" s="198"/>
      <c r="AD412" s="198"/>
    </row>
    <row r="413" spans="1:30" s="606" customFormat="1" ht="15.75" customHeight="1">
      <c r="A413" s="204" t="str">
        <f>IF(B413&lt;&gt;"",IF(AND(B413&gt;=_TM1,B413&lt;=_TM2,OR(TH!L413="1111",TH!M413="1111")),TH!D413,""),"")</f>
        <v/>
      </c>
      <c r="B413" s="36">
        <f t="shared" si="31"/>
        <v>5</v>
      </c>
      <c r="C413" s="191">
        <v>40691</v>
      </c>
      <c r="D413" s="191" t="s">
        <v>965</v>
      </c>
      <c r="E413" s="191">
        <v>40691</v>
      </c>
      <c r="F413" s="192" t="s">
        <v>870</v>
      </c>
      <c r="G413" s="498" t="s">
        <v>846</v>
      </c>
      <c r="H413" s="7" t="s">
        <v>733</v>
      </c>
      <c r="I413" s="256">
        <v>67</v>
      </c>
      <c r="J413" s="256">
        <v>9979.507462686568</v>
      </c>
      <c r="K413" s="614">
        <f t="shared" si="30"/>
        <v>668627</v>
      </c>
      <c r="L413" s="854" t="s">
        <v>165</v>
      </c>
      <c r="M413" s="854" t="s">
        <v>159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632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94"/>
      <c r="AB413" s="833"/>
      <c r="AC413" s="198"/>
      <c r="AD413" s="198"/>
    </row>
    <row r="414" spans="1:30" s="606" customFormat="1" ht="15.75" customHeight="1">
      <c r="A414" s="204" t="str">
        <f>IF(B414&lt;&gt;"",IF(AND(B414&gt;=_TM1,B414&lt;=_TM2,OR(TH!L414="1111",TH!M414="1111")),TH!D414,""),"")</f>
        <v/>
      </c>
      <c r="B414" s="36">
        <f t="shared" si="31"/>
        <v>5</v>
      </c>
      <c r="C414" s="191">
        <v>40691</v>
      </c>
      <c r="D414" s="191" t="s">
        <v>965</v>
      </c>
      <c r="E414" s="191">
        <v>40691</v>
      </c>
      <c r="F414" s="192" t="s">
        <v>871</v>
      </c>
      <c r="G414" s="498" t="s">
        <v>846</v>
      </c>
      <c r="H414" s="7" t="s">
        <v>733</v>
      </c>
      <c r="I414" s="256">
        <v>27</v>
      </c>
      <c r="J414" s="256">
        <v>16143.518518518518</v>
      </c>
      <c r="K414" s="614">
        <f t="shared" si="30"/>
        <v>435875</v>
      </c>
      <c r="L414" s="854" t="s">
        <v>165</v>
      </c>
      <c r="M414" s="854" t="s">
        <v>159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>632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94"/>
      <c r="AB414" s="833"/>
      <c r="AC414" s="198"/>
      <c r="AD414" s="198"/>
    </row>
    <row r="415" spans="1:30" s="606" customFormat="1" ht="15.75" customHeight="1">
      <c r="A415" s="204" t="str">
        <f>IF(B415&lt;&gt;"",IF(AND(B415&gt;=_TM1,B415&lt;=_TM2,OR(TH!L415="1111",TH!M415="1111")),TH!D415,""),"")</f>
        <v/>
      </c>
      <c r="B415" s="36">
        <f t="shared" si="31"/>
        <v>5</v>
      </c>
      <c r="C415" s="191">
        <v>40691</v>
      </c>
      <c r="D415" s="191" t="s">
        <v>965</v>
      </c>
      <c r="E415" s="191">
        <v>40691</v>
      </c>
      <c r="F415" s="192" t="s">
        <v>872</v>
      </c>
      <c r="G415" s="498" t="s">
        <v>846</v>
      </c>
      <c r="H415" s="7" t="s">
        <v>733</v>
      </c>
      <c r="I415" s="256">
        <v>16</v>
      </c>
      <c r="J415" s="256">
        <v>7483.5</v>
      </c>
      <c r="K415" s="614">
        <f t="shared" si="30"/>
        <v>119736</v>
      </c>
      <c r="L415" s="854" t="s">
        <v>165</v>
      </c>
      <c r="M415" s="854" t="s">
        <v>159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632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94"/>
      <c r="AB415" s="833"/>
      <c r="AC415" s="198"/>
      <c r="AD415" s="198"/>
    </row>
    <row r="416" spans="1:30" s="606" customFormat="1" ht="15.75" customHeight="1">
      <c r="A416" s="204" t="str">
        <f>IF(B416&lt;&gt;"",IF(AND(B416&gt;=_TM1,B416&lt;=_TM2,OR(TH!L416="1111",TH!M416="1111")),TH!D416,""),"")</f>
        <v/>
      </c>
      <c r="B416" s="36">
        <f t="shared" si="31"/>
        <v>5</v>
      </c>
      <c r="C416" s="191">
        <v>40691</v>
      </c>
      <c r="D416" s="191" t="s">
        <v>966</v>
      </c>
      <c r="E416" s="191">
        <v>40691</v>
      </c>
      <c r="F416" s="192" t="s">
        <v>873</v>
      </c>
      <c r="G416" s="498" t="s">
        <v>847</v>
      </c>
      <c r="H416" s="7" t="s">
        <v>733</v>
      </c>
      <c r="I416" s="256">
        <v>127</v>
      </c>
      <c r="J416" s="256">
        <v>16143.511811023622</v>
      </c>
      <c r="K416" s="614">
        <f t="shared" si="30"/>
        <v>2050226</v>
      </c>
      <c r="L416" s="854" t="s">
        <v>165</v>
      </c>
      <c r="M416" s="854" t="s">
        <v>159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>632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94"/>
      <c r="AB416" s="833"/>
      <c r="AC416" s="198"/>
      <c r="AD416" s="198"/>
    </row>
    <row r="417" spans="1:30" s="606" customFormat="1" ht="15.75" customHeight="1">
      <c r="A417" s="204" t="str">
        <f>IF(B417&lt;&gt;"",IF(AND(B417&gt;=_TM1,B417&lt;=_TM2,OR(TH!L417="1111",TH!M417="1111")),TH!D417,""),"")</f>
        <v/>
      </c>
      <c r="B417" s="36">
        <f t="shared" si="31"/>
        <v>5</v>
      </c>
      <c r="C417" s="191">
        <v>40691</v>
      </c>
      <c r="D417" s="191" t="s">
        <v>966</v>
      </c>
      <c r="E417" s="191">
        <v>40691</v>
      </c>
      <c r="F417" s="192" t="s">
        <v>874</v>
      </c>
      <c r="G417" s="498" t="s">
        <v>847</v>
      </c>
      <c r="H417" s="7" t="s">
        <v>733</v>
      </c>
      <c r="I417" s="256">
        <v>5</v>
      </c>
      <c r="J417" s="256">
        <v>5808.6</v>
      </c>
      <c r="K417" s="614">
        <f t="shared" si="30"/>
        <v>29043</v>
      </c>
      <c r="L417" s="854" t="s">
        <v>165</v>
      </c>
      <c r="M417" s="854" t="s">
        <v>159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632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94"/>
      <c r="AB417" s="833"/>
      <c r="AC417" s="198"/>
      <c r="AD417" s="198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31"/>
        <v>5</v>
      </c>
      <c r="C418" s="191">
        <v>40691</v>
      </c>
      <c r="D418" s="191" t="s">
        <v>966</v>
      </c>
      <c r="E418" s="191">
        <v>40691</v>
      </c>
      <c r="F418" s="192" t="s">
        <v>875</v>
      </c>
      <c r="G418" s="498" t="s">
        <v>847</v>
      </c>
      <c r="H418" s="7" t="s">
        <v>733</v>
      </c>
      <c r="I418" s="256">
        <v>3</v>
      </c>
      <c r="J418" s="256">
        <v>9979.6666666666661</v>
      </c>
      <c r="K418" s="614">
        <f t="shared" si="30"/>
        <v>29939</v>
      </c>
      <c r="L418" s="854" t="s">
        <v>165</v>
      </c>
      <c r="M418" s="854" t="s">
        <v>159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>632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94"/>
      <c r="AB418" s="833"/>
      <c r="AC418" s="198"/>
      <c r="AD418" s="198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31"/>
        <v>5</v>
      </c>
      <c r="C419" s="191">
        <v>40691</v>
      </c>
      <c r="D419" s="191" t="s">
        <v>966</v>
      </c>
      <c r="E419" s="191">
        <v>40691</v>
      </c>
      <c r="F419" s="192" t="s">
        <v>876</v>
      </c>
      <c r="G419" s="498" t="s">
        <v>847</v>
      </c>
      <c r="H419" s="7" t="s">
        <v>733</v>
      </c>
      <c r="I419" s="256">
        <v>12</v>
      </c>
      <c r="J419" s="256">
        <v>17484.5</v>
      </c>
      <c r="K419" s="614">
        <f t="shared" si="30"/>
        <v>209814</v>
      </c>
      <c r="L419" s="854" t="s">
        <v>165</v>
      </c>
      <c r="M419" s="854" t="s">
        <v>159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632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94"/>
      <c r="AB419" s="833"/>
      <c r="AC419" s="198"/>
      <c r="AD419" s="198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31"/>
        <v>5</v>
      </c>
      <c r="C420" s="191">
        <v>40691</v>
      </c>
      <c r="D420" s="191" t="s">
        <v>966</v>
      </c>
      <c r="E420" s="191">
        <v>40691</v>
      </c>
      <c r="F420" s="192" t="s">
        <v>877</v>
      </c>
      <c r="G420" s="498" t="s">
        <v>847</v>
      </c>
      <c r="H420" s="7" t="s">
        <v>733</v>
      </c>
      <c r="I420" s="256">
        <v>9</v>
      </c>
      <c r="J420" s="256">
        <v>7759.5555555555557</v>
      </c>
      <c r="K420" s="614">
        <f t="shared" si="30"/>
        <v>69836</v>
      </c>
      <c r="L420" s="854" t="s">
        <v>165</v>
      </c>
      <c r="M420" s="854" t="s">
        <v>159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>632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94"/>
      <c r="AB420" s="833"/>
      <c r="AC420" s="198"/>
      <c r="AD420" s="198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31"/>
        <v>5</v>
      </c>
      <c r="C421" s="191">
        <v>40691</v>
      </c>
      <c r="D421" s="191" t="s">
        <v>966</v>
      </c>
      <c r="E421" s="191">
        <v>40691</v>
      </c>
      <c r="F421" s="192" t="s">
        <v>878</v>
      </c>
      <c r="G421" s="498" t="s">
        <v>847</v>
      </c>
      <c r="H421" s="7" t="s">
        <v>733</v>
      </c>
      <c r="I421" s="256">
        <v>8</v>
      </c>
      <c r="J421" s="256">
        <v>9979.5</v>
      </c>
      <c r="K421" s="614">
        <f t="shared" si="30"/>
        <v>79836</v>
      </c>
      <c r="L421" s="854" t="s">
        <v>165</v>
      </c>
      <c r="M421" s="854" t="s">
        <v>159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632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94"/>
      <c r="AB421" s="833"/>
      <c r="AC421" s="198"/>
      <c r="AD421" s="198"/>
    </row>
    <row r="422" spans="1:30" s="606" customFormat="1" ht="15.75" customHeight="1">
      <c r="A422" s="204" t="str">
        <f>IF(B422&lt;&gt;"",IF(AND(B422&gt;=_TM1,B422&lt;=_TM2,OR(TH!L422="1111",TH!M422="1111")),TH!D422,""),"")</f>
        <v/>
      </c>
      <c r="B422" s="36">
        <f t="shared" si="31"/>
        <v>5</v>
      </c>
      <c r="C422" s="191">
        <v>40691</v>
      </c>
      <c r="D422" s="191" t="s">
        <v>966</v>
      </c>
      <c r="E422" s="191">
        <v>40691</v>
      </c>
      <c r="F422" s="192" t="s">
        <v>879</v>
      </c>
      <c r="G422" s="498" t="s">
        <v>847</v>
      </c>
      <c r="H422" s="7" t="s">
        <v>733</v>
      </c>
      <c r="I422" s="256">
        <v>7</v>
      </c>
      <c r="J422" s="256">
        <v>9979.5714285714294</v>
      </c>
      <c r="K422" s="614">
        <f t="shared" si="30"/>
        <v>69857</v>
      </c>
      <c r="L422" s="854" t="s">
        <v>165</v>
      </c>
      <c r="M422" s="854" t="s">
        <v>159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632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94"/>
      <c r="AB422" s="833"/>
      <c r="AC422" s="198"/>
      <c r="AD422" s="198"/>
    </row>
    <row r="423" spans="1:30" s="606" customFormat="1" ht="15.75" customHeight="1">
      <c r="A423" s="204" t="str">
        <f>IF(B423&lt;&gt;"",IF(AND(B423&gt;=_TM1,B423&lt;=_TM2,OR(TH!L423="1111",TH!M423="1111")),TH!D423,""),"")</f>
        <v/>
      </c>
      <c r="B423" s="36">
        <f t="shared" si="31"/>
        <v>5</v>
      </c>
      <c r="C423" s="191">
        <v>40691</v>
      </c>
      <c r="D423" s="191" t="s">
        <v>966</v>
      </c>
      <c r="E423" s="191">
        <v>40691</v>
      </c>
      <c r="F423" s="192" t="s">
        <v>880</v>
      </c>
      <c r="G423" s="498" t="s">
        <v>847</v>
      </c>
      <c r="H423" s="7" t="s">
        <v>733</v>
      </c>
      <c r="I423" s="256">
        <v>13</v>
      </c>
      <c r="J423" s="256">
        <v>12946.538461538461</v>
      </c>
      <c r="K423" s="614">
        <f t="shared" si="30"/>
        <v>168305</v>
      </c>
      <c r="L423" s="854" t="s">
        <v>165</v>
      </c>
      <c r="M423" s="854" t="s">
        <v>159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632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94"/>
      <c r="AB423" s="833"/>
      <c r="AC423" s="198"/>
      <c r="AD423" s="198"/>
    </row>
    <row r="424" spans="1:30" s="606" customFormat="1" ht="15.75" customHeight="1">
      <c r="A424" s="204" t="str">
        <f>IF(B424&lt;&gt;"",IF(AND(B424&gt;=_TM1,B424&lt;=_TM2,OR(TH!L424="1111",TH!M424="1111")),TH!D424,""),"")</f>
        <v/>
      </c>
      <c r="B424" s="36">
        <f t="shared" si="31"/>
        <v>5</v>
      </c>
      <c r="C424" s="191">
        <v>40691</v>
      </c>
      <c r="D424" s="191" t="s">
        <v>967</v>
      </c>
      <c r="E424" s="191">
        <v>40691</v>
      </c>
      <c r="F424" s="192" t="s">
        <v>882</v>
      </c>
      <c r="G424" s="498" t="s">
        <v>860</v>
      </c>
      <c r="H424" s="7" t="s">
        <v>733</v>
      </c>
      <c r="I424" s="256">
        <v>5</v>
      </c>
      <c r="J424" s="256">
        <v>12946.6</v>
      </c>
      <c r="K424" s="614">
        <f t="shared" si="30"/>
        <v>64733</v>
      </c>
      <c r="L424" s="854" t="s">
        <v>165</v>
      </c>
      <c r="M424" s="854" t="s">
        <v>159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>632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94"/>
      <c r="AB424" s="833"/>
      <c r="AC424" s="198"/>
      <c r="AD424" s="198"/>
    </row>
    <row r="425" spans="1:30" s="606" customFormat="1" ht="15.75" customHeight="1">
      <c r="A425" s="204" t="str">
        <f>IF(B425&lt;&gt;"",IF(AND(B425&gt;=_TM1,B425&lt;=_TM2,OR(TH!L425="1111",TH!M425="1111")),TH!D425,""),"")</f>
        <v/>
      </c>
      <c r="B425" s="36">
        <f t="shared" si="31"/>
        <v>5</v>
      </c>
      <c r="C425" s="191">
        <v>40691</v>
      </c>
      <c r="D425" s="191" t="s">
        <v>967</v>
      </c>
      <c r="E425" s="191">
        <v>40691</v>
      </c>
      <c r="F425" s="192" t="s">
        <v>883</v>
      </c>
      <c r="G425" s="498" t="s">
        <v>860</v>
      </c>
      <c r="H425" s="7" t="s">
        <v>733</v>
      </c>
      <c r="I425" s="256">
        <v>22</v>
      </c>
      <c r="J425" s="256">
        <v>17821.5</v>
      </c>
      <c r="K425" s="614">
        <f t="shared" si="30"/>
        <v>392073</v>
      </c>
      <c r="L425" s="854" t="s">
        <v>165</v>
      </c>
      <c r="M425" s="854" t="s">
        <v>159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632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94"/>
      <c r="AB425" s="833"/>
      <c r="AC425" s="198"/>
      <c r="AD425" s="198"/>
    </row>
    <row r="426" spans="1:30" s="606" customFormat="1" ht="15.75" customHeight="1">
      <c r="A426" s="204" t="str">
        <f>IF(B426&lt;&gt;"",IF(AND(B426&gt;=_TM1,B426&lt;=_TM2,OR(TH!L426="1111",TH!M426="1111")),TH!D426,""),"")</f>
        <v/>
      </c>
      <c r="B426" s="36">
        <f t="shared" si="31"/>
        <v>5</v>
      </c>
      <c r="C426" s="191">
        <v>40691</v>
      </c>
      <c r="D426" s="191" t="s">
        <v>967</v>
      </c>
      <c r="E426" s="191">
        <v>40691</v>
      </c>
      <c r="F426" s="192" t="s">
        <v>884</v>
      </c>
      <c r="G426" s="498" t="s">
        <v>860</v>
      </c>
      <c r="H426" s="7" t="s">
        <v>733</v>
      </c>
      <c r="I426" s="256">
        <v>245</v>
      </c>
      <c r="J426" s="256">
        <v>7483.5142857142855</v>
      </c>
      <c r="K426" s="614">
        <f t="shared" si="30"/>
        <v>1833461</v>
      </c>
      <c r="L426" s="854" t="s">
        <v>165</v>
      </c>
      <c r="M426" s="854" t="s">
        <v>159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>632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94"/>
      <c r="AB426" s="833"/>
      <c r="AC426" s="198"/>
      <c r="AD426" s="198"/>
    </row>
    <row r="427" spans="1:30" s="606" customFormat="1" ht="15.75" customHeight="1">
      <c r="A427" s="204" t="str">
        <f>IF(B427&lt;&gt;"",IF(AND(B427&gt;=_TM1,B427&lt;=_TM2,OR(TH!L427="1111",TH!M427="1111")),TH!D427,""),"")</f>
        <v/>
      </c>
      <c r="B427" s="36">
        <f t="shared" si="31"/>
        <v>5</v>
      </c>
      <c r="C427" s="191">
        <v>40691</v>
      </c>
      <c r="D427" s="191" t="s">
        <v>967</v>
      </c>
      <c r="E427" s="191">
        <v>40691</v>
      </c>
      <c r="F427" s="192" t="s">
        <v>885</v>
      </c>
      <c r="G427" s="498" t="s">
        <v>860</v>
      </c>
      <c r="H427" s="7" t="s">
        <v>733</v>
      </c>
      <c r="I427" s="256">
        <v>429</v>
      </c>
      <c r="J427" s="256">
        <v>24018.659673659673</v>
      </c>
      <c r="K427" s="614">
        <f t="shared" si="30"/>
        <v>10304005</v>
      </c>
      <c r="L427" s="854" t="s">
        <v>165</v>
      </c>
      <c r="M427" s="854" t="s">
        <v>159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632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94"/>
      <c r="AB427" s="833"/>
      <c r="AC427" s="198"/>
      <c r="AD427" s="198"/>
    </row>
    <row r="428" spans="1:30" s="606" customFormat="1" ht="15.75" customHeight="1">
      <c r="A428" s="204" t="str">
        <f>IF(B428&lt;&gt;"",IF(AND(B428&gt;=_TM1,B428&lt;=_TM2,OR(TH!L428="1111",TH!M428="1111")),TH!D428,""),"")</f>
        <v/>
      </c>
      <c r="B428" s="36">
        <f t="shared" si="31"/>
        <v>5</v>
      </c>
      <c r="C428" s="191">
        <v>40691</v>
      </c>
      <c r="D428" s="191" t="s">
        <v>967</v>
      </c>
      <c r="E428" s="191">
        <v>40691</v>
      </c>
      <c r="F428" s="192" t="s">
        <v>873</v>
      </c>
      <c r="G428" s="498" t="s">
        <v>860</v>
      </c>
      <c r="H428" s="7" t="s">
        <v>733</v>
      </c>
      <c r="I428" s="256">
        <v>22</v>
      </c>
      <c r="J428" s="256">
        <v>16143.5</v>
      </c>
      <c r="K428" s="614">
        <f t="shared" si="30"/>
        <v>355157</v>
      </c>
      <c r="L428" s="854" t="s">
        <v>165</v>
      </c>
      <c r="M428" s="854" t="s">
        <v>159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>632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94"/>
      <c r="AB428" s="833"/>
      <c r="AC428" s="198"/>
      <c r="AD428" s="198"/>
    </row>
    <row r="429" spans="1:30" s="606" customFormat="1" ht="15.75" customHeight="1">
      <c r="A429" s="204" t="str">
        <f>IF(B429&lt;&gt;"",IF(AND(B429&gt;=_TM1,B429&lt;=_TM2,OR(TH!L429="1111",TH!M429="1111")),TH!D429,""),"")</f>
        <v/>
      </c>
      <c r="B429" s="36">
        <f t="shared" si="31"/>
        <v>5</v>
      </c>
      <c r="C429" s="191">
        <v>40691</v>
      </c>
      <c r="D429" s="191" t="s">
        <v>967</v>
      </c>
      <c r="E429" s="191">
        <v>40691</v>
      </c>
      <c r="F429" s="192" t="s">
        <v>886</v>
      </c>
      <c r="G429" s="498" t="s">
        <v>860</v>
      </c>
      <c r="H429" s="7" t="s">
        <v>733</v>
      </c>
      <c r="I429" s="256">
        <v>4</v>
      </c>
      <c r="J429" s="256">
        <v>16143.5</v>
      </c>
      <c r="K429" s="614">
        <f t="shared" si="30"/>
        <v>64574</v>
      </c>
      <c r="L429" s="854" t="s">
        <v>165</v>
      </c>
      <c r="M429" s="854" t="s">
        <v>159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632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94"/>
      <c r="AB429" s="833"/>
      <c r="AC429" s="198"/>
      <c r="AD429" s="198"/>
    </row>
    <row r="430" spans="1:30" s="606" customFormat="1" ht="15.75" customHeight="1">
      <c r="A430" s="204" t="str">
        <f>IF(B430&lt;&gt;"",IF(AND(B430&gt;=_TM1,B430&lt;=_TM2,OR(TH!L430="1111",TH!M430="1111")),TH!D430,""),"")</f>
        <v/>
      </c>
      <c r="B430" s="36">
        <f t="shared" si="31"/>
        <v>5</v>
      </c>
      <c r="C430" s="191">
        <v>40691</v>
      </c>
      <c r="D430" s="191" t="s">
        <v>967</v>
      </c>
      <c r="E430" s="191">
        <v>40691</v>
      </c>
      <c r="F430" s="192" t="s">
        <v>887</v>
      </c>
      <c r="G430" s="498" t="s">
        <v>860</v>
      </c>
      <c r="H430" s="7" t="s">
        <v>733</v>
      </c>
      <c r="I430" s="256">
        <v>2</v>
      </c>
      <c r="J430" s="256">
        <v>14857.5</v>
      </c>
      <c r="K430" s="614">
        <f t="shared" si="30"/>
        <v>29715</v>
      </c>
      <c r="L430" s="854" t="s">
        <v>165</v>
      </c>
      <c r="M430" s="854" t="s">
        <v>159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>632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94"/>
      <c r="AB430" s="833"/>
      <c r="AC430" s="198"/>
      <c r="AD430" s="198"/>
    </row>
    <row r="431" spans="1:30" s="606" customFormat="1" ht="15.75" customHeight="1">
      <c r="A431" s="204" t="str">
        <f>IF(B431&lt;&gt;"",IF(AND(B431&gt;=_TM1,B431&lt;=_TM2,OR(TH!L431="1111",TH!M431="1111")),TH!D431,""),"")</f>
        <v/>
      </c>
      <c r="B431" s="36">
        <f t="shared" si="31"/>
        <v>5</v>
      </c>
      <c r="C431" s="191">
        <v>40691</v>
      </c>
      <c r="D431" s="191" t="s">
        <v>967</v>
      </c>
      <c r="E431" s="191">
        <v>40691</v>
      </c>
      <c r="F431" s="192" t="s">
        <v>867</v>
      </c>
      <c r="G431" s="498" t="s">
        <v>860</v>
      </c>
      <c r="H431" s="7" t="s">
        <v>733</v>
      </c>
      <c r="I431" s="256">
        <v>3</v>
      </c>
      <c r="J431" s="256">
        <v>14857.666666666666</v>
      </c>
      <c r="K431" s="614">
        <f t="shared" si="30"/>
        <v>44573</v>
      </c>
      <c r="L431" s="854" t="s">
        <v>165</v>
      </c>
      <c r="M431" s="854" t="s">
        <v>159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632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94"/>
      <c r="AB431" s="833"/>
      <c r="AC431" s="198"/>
      <c r="AD431" s="198"/>
    </row>
    <row r="432" spans="1:30" s="606" customFormat="1" ht="15.75" customHeight="1">
      <c r="A432" s="204" t="str">
        <f>IF(B432&lt;&gt;"",IF(AND(B432&gt;=_TM1,B432&lt;=_TM2,OR(TH!L432="1111",TH!M432="1111")),TH!D432,""),"")</f>
        <v/>
      </c>
      <c r="B432" s="36">
        <f t="shared" si="31"/>
        <v>5</v>
      </c>
      <c r="C432" s="191">
        <v>40691</v>
      </c>
      <c r="D432" s="191" t="s">
        <v>968</v>
      </c>
      <c r="E432" s="191">
        <v>40691</v>
      </c>
      <c r="F432" s="192" t="s">
        <v>871</v>
      </c>
      <c r="G432" s="498" t="s">
        <v>861</v>
      </c>
      <c r="H432" s="7" t="s">
        <v>733</v>
      </c>
      <c r="I432" s="256">
        <v>1</v>
      </c>
      <c r="J432" s="256">
        <v>14858</v>
      </c>
      <c r="K432" s="614">
        <f t="shared" si="30"/>
        <v>14858</v>
      </c>
      <c r="L432" s="854" t="s">
        <v>165</v>
      </c>
      <c r="M432" s="854" t="s">
        <v>159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>632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94"/>
      <c r="AB432" s="833"/>
      <c r="AC432" s="198"/>
      <c r="AD432" s="198"/>
    </row>
    <row r="433" spans="1:30" s="606" customFormat="1" ht="15.75" customHeight="1">
      <c r="A433" s="204" t="str">
        <f>IF(B433&lt;&gt;"",IF(AND(B433&gt;=_TM1,B433&lt;=_TM2,OR(TH!L433="1111",TH!M433="1111")),TH!D433,""),"")</f>
        <v/>
      </c>
      <c r="B433" s="36">
        <f t="shared" si="31"/>
        <v>5</v>
      </c>
      <c r="C433" s="191">
        <v>40691</v>
      </c>
      <c r="D433" s="191" t="s">
        <v>968</v>
      </c>
      <c r="E433" s="191">
        <v>40691</v>
      </c>
      <c r="F433" s="192" t="s">
        <v>868</v>
      </c>
      <c r="G433" s="498" t="s">
        <v>861</v>
      </c>
      <c r="H433" s="7" t="s">
        <v>733</v>
      </c>
      <c r="I433" s="256">
        <v>5</v>
      </c>
      <c r="J433" s="256">
        <v>9372.6</v>
      </c>
      <c r="K433" s="614">
        <f t="shared" si="30"/>
        <v>46863</v>
      </c>
      <c r="L433" s="854" t="s">
        <v>165</v>
      </c>
      <c r="M433" s="854" t="s">
        <v>159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632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94"/>
      <c r="AB433" s="833"/>
      <c r="AC433" s="198"/>
      <c r="AD433" s="198"/>
    </row>
    <row r="434" spans="1:30" s="606" customFormat="1" ht="15.75" customHeight="1">
      <c r="A434" s="204" t="str">
        <f>IF(B434&lt;&gt;"",IF(AND(B434&gt;=_TM1,B434&lt;=_TM2,OR(TH!L434="1111",TH!M434="1111")),TH!D434,""),"")</f>
        <v/>
      </c>
      <c r="B434" s="36">
        <f t="shared" si="31"/>
        <v>5</v>
      </c>
      <c r="C434" s="191">
        <v>40691</v>
      </c>
      <c r="D434" s="191" t="s">
        <v>968</v>
      </c>
      <c r="E434" s="191">
        <v>40691</v>
      </c>
      <c r="F434" s="192" t="s">
        <v>891</v>
      </c>
      <c r="G434" s="498" t="s">
        <v>861</v>
      </c>
      <c r="H434" s="7" t="s">
        <v>733</v>
      </c>
      <c r="I434" s="256">
        <v>344</v>
      </c>
      <c r="J434" s="256">
        <v>16694.151162790698</v>
      </c>
      <c r="K434" s="614">
        <f t="shared" si="30"/>
        <v>5742788</v>
      </c>
      <c r="L434" s="854" t="s">
        <v>165</v>
      </c>
      <c r="M434" s="854" t="s">
        <v>159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>632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94"/>
      <c r="AB434" s="833"/>
      <c r="AC434" s="198"/>
      <c r="AD434" s="198"/>
    </row>
    <row r="435" spans="1:30" s="606" customFormat="1" ht="15.75" customHeight="1">
      <c r="A435" s="204" t="str">
        <f>IF(B435&lt;&gt;"",IF(AND(B435&gt;=_TM1,B435&lt;=_TM2,OR(TH!L435="1111",TH!M435="1111")),TH!D435,""),"")</f>
        <v/>
      </c>
      <c r="B435" s="36">
        <f t="shared" si="31"/>
        <v>5</v>
      </c>
      <c r="C435" s="191">
        <v>40691</v>
      </c>
      <c r="D435" s="191" t="s">
        <v>968</v>
      </c>
      <c r="E435" s="191">
        <v>40691</v>
      </c>
      <c r="F435" s="192" t="s">
        <v>889</v>
      </c>
      <c r="G435" s="498" t="s">
        <v>861</v>
      </c>
      <c r="H435" s="7" t="s">
        <v>733</v>
      </c>
      <c r="I435" s="256">
        <v>239</v>
      </c>
      <c r="J435" s="256">
        <v>5808.5146443514641</v>
      </c>
      <c r="K435" s="614">
        <f t="shared" si="30"/>
        <v>1388235</v>
      </c>
      <c r="L435" s="854" t="s">
        <v>165</v>
      </c>
      <c r="M435" s="854" t="s">
        <v>159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632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94"/>
      <c r="AB435" s="833"/>
      <c r="AC435" s="198"/>
      <c r="AD435" s="198"/>
    </row>
    <row r="436" spans="1:30" s="606" customFormat="1" ht="15.75" customHeight="1">
      <c r="A436" s="204" t="str">
        <f>IF(B436&lt;&gt;"",IF(AND(B436&gt;=_TM1,B436&lt;=_TM2,OR(TH!L436="1111",TH!M436="1111")),TH!D436,""),"")</f>
        <v/>
      </c>
      <c r="B436" s="36">
        <f t="shared" si="31"/>
        <v>5</v>
      </c>
      <c r="C436" s="191">
        <v>40691</v>
      </c>
      <c r="D436" s="191" t="s">
        <v>968</v>
      </c>
      <c r="E436" s="191">
        <v>40691</v>
      </c>
      <c r="F436" s="192" t="s">
        <v>890</v>
      </c>
      <c r="G436" s="498" t="s">
        <v>861</v>
      </c>
      <c r="H436" s="7" t="s">
        <v>733</v>
      </c>
      <c r="I436" s="256">
        <v>102</v>
      </c>
      <c r="J436" s="256">
        <v>3584.0098039215686</v>
      </c>
      <c r="K436" s="614">
        <f t="shared" si="30"/>
        <v>365569</v>
      </c>
      <c r="L436" s="854" t="s">
        <v>165</v>
      </c>
      <c r="M436" s="854" t="s">
        <v>159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632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94"/>
      <c r="AB436" s="833"/>
      <c r="AC436" s="198"/>
      <c r="AD436" s="198"/>
    </row>
    <row r="437" spans="1:30" s="606" customFormat="1" ht="15.75" customHeight="1">
      <c r="A437" s="204" t="str">
        <f>IF(B437&lt;&gt;"",IF(AND(B437&gt;=_TM1,B437&lt;=_TM2,OR(TH!L437="1111",TH!M437="1111")),TH!D437,""),"")</f>
        <v/>
      </c>
      <c r="B437" s="36">
        <f t="shared" si="31"/>
        <v>5</v>
      </c>
      <c r="C437" s="191">
        <v>40691</v>
      </c>
      <c r="D437" s="191" t="s">
        <v>968</v>
      </c>
      <c r="E437" s="191">
        <v>40691</v>
      </c>
      <c r="F437" s="192" t="s">
        <v>892</v>
      </c>
      <c r="G437" s="498" t="s">
        <v>861</v>
      </c>
      <c r="H437" s="7" t="s">
        <v>733</v>
      </c>
      <c r="I437" s="256">
        <v>24</v>
      </c>
      <c r="J437" s="256">
        <v>13959.5</v>
      </c>
      <c r="K437" s="614">
        <f t="shared" si="30"/>
        <v>335028</v>
      </c>
      <c r="L437" s="854" t="s">
        <v>165</v>
      </c>
      <c r="M437" s="854" t="s">
        <v>159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632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94"/>
      <c r="AB437" s="833"/>
      <c r="AC437" s="198"/>
      <c r="AD437" s="198"/>
    </row>
    <row r="438" spans="1:30" s="606" customFormat="1" ht="15.75" customHeight="1">
      <c r="A438" s="204" t="str">
        <f>IF(B438&lt;&gt;"",IF(AND(B438&gt;=_TM1,B438&lt;=_TM2,OR(TH!L438="1111",TH!M438="1111")),TH!D438,""),"")</f>
        <v/>
      </c>
      <c r="B438" s="36">
        <f t="shared" si="31"/>
        <v>5</v>
      </c>
      <c r="C438" s="191">
        <v>40691</v>
      </c>
      <c r="D438" s="191" t="s">
        <v>968</v>
      </c>
      <c r="E438" s="191">
        <v>40691</v>
      </c>
      <c r="F438" s="192" t="s">
        <v>885</v>
      </c>
      <c r="G438" s="498" t="s">
        <v>861</v>
      </c>
      <c r="H438" s="7" t="s">
        <v>733</v>
      </c>
      <c r="I438" s="256">
        <v>208</v>
      </c>
      <c r="J438" s="256">
        <v>24021.947115384617</v>
      </c>
      <c r="K438" s="614">
        <f t="shared" si="30"/>
        <v>4996565</v>
      </c>
      <c r="L438" s="854" t="s">
        <v>165</v>
      </c>
      <c r="M438" s="854" t="s">
        <v>159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>632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94"/>
      <c r="AB438" s="833"/>
      <c r="AC438" s="198"/>
      <c r="AD438" s="198"/>
    </row>
    <row r="439" spans="1:30" s="606" customFormat="1" ht="15.75" customHeight="1">
      <c r="A439" s="204" t="str">
        <f>IF(B439&lt;&gt;"",IF(AND(B439&gt;=_TM1,B439&lt;=_TM2,OR(TH!L439="1111",TH!M439="1111")),TH!D439,""),"")</f>
        <v/>
      </c>
      <c r="B439" s="36">
        <f t="shared" si="31"/>
        <v>5</v>
      </c>
      <c r="C439" s="191">
        <v>40691</v>
      </c>
      <c r="D439" s="191" t="s">
        <v>968</v>
      </c>
      <c r="E439" s="191">
        <v>40691</v>
      </c>
      <c r="F439" s="192" t="s">
        <v>893</v>
      </c>
      <c r="G439" s="498" t="s">
        <v>861</v>
      </c>
      <c r="H439" s="7" t="s">
        <v>733</v>
      </c>
      <c r="I439" s="256">
        <v>51</v>
      </c>
      <c r="J439" s="256">
        <v>26161.470588235294</v>
      </c>
      <c r="K439" s="614">
        <f t="shared" si="30"/>
        <v>1334235</v>
      </c>
      <c r="L439" s="854" t="s">
        <v>165</v>
      </c>
      <c r="M439" s="854" t="s">
        <v>159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>632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94"/>
      <c r="AB439" s="833"/>
      <c r="AC439" s="198"/>
      <c r="AD439" s="198"/>
    </row>
    <row r="440" spans="1:30" s="606" customFormat="1" ht="15.75" customHeight="1">
      <c r="A440" s="204" t="str">
        <f>IF(B440&lt;&gt;"",IF(AND(B440&gt;=_TM1,B440&lt;=_TM2,OR(TH!L440="1111",TH!M440="1111")),TH!D440,""),"")</f>
        <v/>
      </c>
      <c r="B440" s="36">
        <f t="shared" si="31"/>
        <v>5</v>
      </c>
      <c r="C440" s="191">
        <v>40691</v>
      </c>
      <c r="D440" s="191" t="s">
        <v>969</v>
      </c>
      <c r="E440" s="191">
        <v>40691</v>
      </c>
      <c r="F440" s="192" t="s">
        <v>895</v>
      </c>
      <c r="G440" s="498" t="s">
        <v>862</v>
      </c>
      <c r="H440" s="7" t="s">
        <v>733</v>
      </c>
      <c r="I440" s="256">
        <v>406</v>
      </c>
      <c r="J440" s="256">
        <v>25075.512315270935</v>
      </c>
      <c r="K440" s="614">
        <f t="shared" ref="K440:K471" si="32">ROUND(I440*J440,0)</f>
        <v>10180658</v>
      </c>
      <c r="L440" s="854" t="s">
        <v>165</v>
      </c>
      <c r="M440" s="854" t="s">
        <v>159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>632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94"/>
      <c r="AB440" s="833"/>
      <c r="AC440" s="198"/>
      <c r="AD440" s="198"/>
    </row>
    <row r="441" spans="1:30" s="606" customFormat="1" ht="15.75" customHeight="1">
      <c r="A441" s="204" t="str">
        <f>IF(B441&lt;&gt;"",IF(AND(B441&gt;=_TM1,B441&lt;=_TM2,OR(TH!L441="1111",TH!M441="1111")),TH!D441,""),"")</f>
        <v/>
      </c>
      <c r="B441" s="36">
        <f t="shared" si="31"/>
        <v>5</v>
      </c>
      <c r="C441" s="191">
        <v>40691</v>
      </c>
      <c r="D441" s="191" t="s">
        <v>969</v>
      </c>
      <c r="E441" s="191">
        <v>40691</v>
      </c>
      <c r="F441" s="192" t="s">
        <v>896</v>
      </c>
      <c r="G441" s="498" t="s">
        <v>862</v>
      </c>
      <c r="H441" s="7" t="s">
        <v>733</v>
      </c>
      <c r="I441" s="256">
        <v>50</v>
      </c>
      <c r="J441" s="256">
        <v>5808.52</v>
      </c>
      <c r="K441" s="614">
        <f t="shared" si="32"/>
        <v>290426</v>
      </c>
      <c r="L441" s="854" t="s">
        <v>165</v>
      </c>
      <c r="M441" s="854" t="s">
        <v>159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>632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94"/>
      <c r="AB441" s="833"/>
      <c r="AC441" s="198"/>
      <c r="AD441" s="198"/>
    </row>
    <row r="442" spans="1:30" s="606" customFormat="1" ht="15.75" customHeight="1">
      <c r="A442" s="204" t="str">
        <f>IF(B442&lt;&gt;"",IF(AND(B442&gt;=_TM1,B442&lt;=_TM2,OR(TH!L442="1111",TH!M442="1111")),TH!D442,""),"")</f>
        <v/>
      </c>
      <c r="B442" s="36">
        <f t="shared" si="31"/>
        <v>5</v>
      </c>
      <c r="C442" s="191">
        <v>40691</v>
      </c>
      <c r="D442" s="191" t="s">
        <v>969</v>
      </c>
      <c r="E442" s="191">
        <v>40691</v>
      </c>
      <c r="F442" s="192" t="s">
        <v>897</v>
      </c>
      <c r="G442" s="498" t="s">
        <v>862</v>
      </c>
      <c r="H442" s="7" t="s">
        <v>733</v>
      </c>
      <c r="I442" s="256">
        <v>68</v>
      </c>
      <c r="J442" s="256">
        <v>2471.7647058823532</v>
      </c>
      <c r="K442" s="614">
        <f t="shared" si="32"/>
        <v>168080</v>
      </c>
      <c r="L442" s="854" t="s">
        <v>165</v>
      </c>
      <c r="M442" s="854" t="s">
        <v>159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>632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94"/>
      <c r="AB442" s="833"/>
      <c r="AC442" s="198"/>
      <c r="AD442" s="198"/>
    </row>
    <row r="443" spans="1:30" s="606" customFormat="1" ht="15.75" customHeight="1">
      <c r="A443" s="204" t="str">
        <f>IF(B443&lt;&gt;"",IF(AND(B443&gt;=_TM1,B443&lt;=_TM2,OR(TH!L443="1111",TH!M443="1111")),TH!D443,""),"")</f>
        <v/>
      </c>
      <c r="B443" s="36">
        <f t="shared" si="31"/>
        <v>5</v>
      </c>
      <c r="C443" s="191">
        <v>40691</v>
      </c>
      <c r="D443" s="191" t="s">
        <v>969</v>
      </c>
      <c r="E443" s="191">
        <v>40691</v>
      </c>
      <c r="F443" s="192" t="s">
        <v>898</v>
      </c>
      <c r="G443" s="498" t="s">
        <v>862</v>
      </c>
      <c r="H443" s="7" t="s">
        <v>733</v>
      </c>
      <c r="I443" s="256">
        <v>300</v>
      </c>
      <c r="J443" s="256">
        <v>2471.7633333333333</v>
      </c>
      <c r="K443" s="614">
        <f t="shared" si="32"/>
        <v>741529</v>
      </c>
      <c r="L443" s="854" t="s">
        <v>165</v>
      </c>
      <c r="M443" s="854" t="s">
        <v>159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>632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94"/>
      <c r="AB443" s="833"/>
      <c r="AC443" s="198"/>
      <c r="AD443" s="198"/>
    </row>
    <row r="444" spans="1:30" s="606" customFormat="1" ht="15.75" customHeight="1">
      <c r="A444" s="204" t="str">
        <f>IF(B444&lt;&gt;"",IF(AND(B444&gt;=_TM1,B444&lt;=_TM2,OR(TH!L444="1111",TH!M444="1111")),TH!D444,""),"")</f>
        <v/>
      </c>
      <c r="B444" s="36">
        <f t="shared" si="31"/>
        <v>5</v>
      </c>
      <c r="C444" s="191">
        <v>40691</v>
      </c>
      <c r="D444" s="191" t="s">
        <v>969</v>
      </c>
      <c r="E444" s="191">
        <v>40691</v>
      </c>
      <c r="F444" s="192" t="s">
        <v>899</v>
      </c>
      <c r="G444" s="498" t="s">
        <v>862</v>
      </c>
      <c r="H444" s="7" t="s">
        <v>733</v>
      </c>
      <c r="I444" s="256">
        <v>40</v>
      </c>
      <c r="J444" s="256">
        <v>2471.7750000000001</v>
      </c>
      <c r="K444" s="614">
        <f t="shared" si="32"/>
        <v>98871</v>
      </c>
      <c r="L444" s="854" t="s">
        <v>165</v>
      </c>
      <c r="M444" s="854" t="s">
        <v>159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>632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94"/>
      <c r="AB444" s="833"/>
      <c r="AC444" s="198"/>
      <c r="AD444" s="198"/>
    </row>
    <row r="445" spans="1:30" s="606" customFormat="1" ht="15.75" customHeight="1">
      <c r="A445" s="204" t="str">
        <f>IF(B445&lt;&gt;"",IF(AND(B445&gt;=_TM1,B445&lt;=_TM2,OR(TH!L445="1111",TH!M445="1111")),TH!D445,""),"")</f>
        <v/>
      </c>
      <c r="B445" s="36">
        <f t="shared" si="31"/>
        <v>5</v>
      </c>
      <c r="C445" s="191">
        <v>40691</v>
      </c>
      <c r="D445" s="191" t="s">
        <v>969</v>
      </c>
      <c r="E445" s="191">
        <v>40691</v>
      </c>
      <c r="F445" s="192" t="s">
        <v>900</v>
      </c>
      <c r="G445" s="498" t="s">
        <v>862</v>
      </c>
      <c r="H445" s="7" t="s">
        <v>733</v>
      </c>
      <c r="I445" s="258">
        <v>34</v>
      </c>
      <c r="J445" s="258">
        <v>3584</v>
      </c>
      <c r="K445" s="614">
        <f t="shared" si="32"/>
        <v>121856</v>
      </c>
      <c r="L445" s="854" t="s">
        <v>165</v>
      </c>
      <c r="M445" s="854" t="s">
        <v>159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>632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94"/>
      <c r="AB445" s="833"/>
      <c r="AC445" s="198"/>
      <c r="AD445" s="198"/>
    </row>
    <row r="446" spans="1:30" s="606" customFormat="1" ht="15.75" customHeight="1">
      <c r="A446" s="204" t="str">
        <f>IF(B446&lt;&gt;"",IF(AND(B446&gt;=_TM1,B446&lt;=_TM2,OR(TH!L446="1111",TH!M446="1111")),TH!D446,""),"")</f>
        <v/>
      </c>
      <c r="B446" s="36">
        <f t="shared" si="31"/>
        <v>5</v>
      </c>
      <c r="C446" s="191">
        <v>40691</v>
      </c>
      <c r="D446" s="191" t="s">
        <v>969</v>
      </c>
      <c r="E446" s="191">
        <v>40691</v>
      </c>
      <c r="F446" s="192" t="s">
        <v>901</v>
      </c>
      <c r="G446" s="498" t="s">
        <v>862</v>
      </c>
      <c r="H446" s="7" t="s">
        <v>733</v>
      </c>
      <c r="I446" s="256">
        <v>140</v>
      </c>
      <c r="J446" s="256">
        <v>3584.0142857142855</v>
      </c>
      <c r="K446" s="614">
        <f t="shared" si="32"/>
        <v>501762</v>
      </c>
      <c r="L446" s="854" t="s">
        <v>165</v>
      </c>
      <c r="M446" s="854" t="s">
        <v>159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>632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94"/>
      <c r="AB446" s="833"/>
      <c r="AC446" s="198"/>
      <c r="AD446" s="198"/>
    </row>
    <row r="447" spans="1:30" s="606" customFormat="1" ht="15.75" customHeight="1">
      <c r="A447" s="204" t="str">
        <f>IF(B447&lt;&gt;"",IF(AND(B447&gt;=_TM1,B447&lt;=_TM2,OR(TH!L447="1111",TH!M447="1111")),TH!D447,""),"")</f>
        <v/>
      </c>
      <c r="B447" s="36">
        <f t="shared" si="31"/>
        <v>5</v>
      </c>
      <c r="C447" s="191">
        <v>40691</v>
      </c>
      <c r="D447" s="191" t="s">
        <v>969</v>
      </c>
      <c r="E447" s="191">
        <v>40691</v>
      </c>
      <c r="F447" s="192" t="s">
        <v>902</v>
      </c>
      <c r="G447" s="498" t="s">
        <v>862</v>
      </c>
      <c r="H447" s="7" t="s">
        <v>733</v>
      </c>
      <c r="I447" s="256">
        <v>140</v>
      </c>
      <c r="J447" s="256">
        <v>9372.5142857142855</v>
      </c>
      <c r="K447" s="614">
        <f t="shared" si="32"/>
        <v>1312152</v>
      </c>
      <c r="L447" s="854" t="s">
        <v>165</v>
      </c>
      <c r="M447" s="854" t="s">
        <v>159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632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94"/>
      <c r="AB447" s="833"/>
      <c r="AC447" s="198"/>
      <c r="AD447" s="198"/>
    </row>
    <row r="448" spans="1:30" s="606" customFormat="1" ht="15.75" customHeight="1">
      <c r="A448" s="204" t="str">
        <f>IF(B448&lt;&gt;"",IF(AND(B448&gt;=_TM1,B448&lt;=_TM2,OR(TH!L448="1111",TH!M448="1111")),TH!D448,""),"")</f>
        <v/>
      </c>
      <c r="B448" s="36">
        <f t="shared" si="31"/>
        <v>5</v>
      </c>
      <c r="C448" s="191">
        <v>40691</v>
      </c>
      <c r="D448" s="191" t="s">
        <v>970</v>
      </c>
      <c r="E448" s="191">
        <v>40691</v>
      </c>
      <c r="F448" s="192" t="s">
        <v>892</v>
      </c>
      <c r="G448" s="498" t="s">
        <v>863</v>
      </c>
      <c r="H448" s="7" t="s">
        <v>733</v>
      </c>
      <c r="I448" s="256">
        <v>10</v>
      </c>
      <c r="J448" s="256">
        <v>13959.5</v>
      </c>
      <c r="K448" s="614">
        <f t="shared" si="32"/>
        <v>139595</v>
      </c>
      <c r="L448" s="854" t="s">
        <v>165</v>
      </c>
      <c r="M448" s="854" t="s">
        <v>159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>632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94"/>
      <c r="AB448" s="833"/>
      <c r="AC448" s="198"/>
      <c r="AD448" s="198"/>
    </row>
    <row r="449" spans="1:30" s="606" customFormat="1" ht="15.75" customHeight="1">
      <c r="A449" s="204" t="str">
        <f>IF(B449&lt;&gt;"",IF(AND(B449&gt;=_TM1,B449&lt;=_TM2,OR(TH!L449="1111",TH!M449="1111")),TH!D449,""),"")</f>
        <v/>
      </c>
      <c r="B449" s="36">
        <f t="shared" si="31"/>
        <v>5</v>
      </c>
      <c r="C449" s="191">
        <v>40691</v>
      </c>
      <c r="D449" s="191" t="s">
        <v>970</v>
      </c>
      <c r="E449" s="191">
        <v>40691</v>
      </c>
      <c r="F449" s="192" t="s">
        <v>903</v>
      </c>
      <c r="G449" s="498" t="s">
        <v>863</v>
      </c>
      <c r="H449" s="7" t="s">
        <v>733</v>
      </c>
      <c r="I449" s="256">
        <v>68</v>
      </c>
      <c r="J449" s="256">
        <v>9979.5147058823532</v>
      </c>
      <c r="K449" s="614">
        <f t="shared" si="32"/>
        <v>678607</v>
      </c>
      <c r="L449" s="854" t="s">
        <v>165</v>
      </c>
      <c r="M449" s="854" t="s">
        <v>159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>632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94"/>
      <c r="AB449" s="833"/>
      <c r="AC449" s="198"/>
      <c r="AD449" s="198"/>
    </row>
    <row r="450" spans="1:30" s="606" customFormat="1" ht="15.75" customHeight="1">
      <c r="A450" s="204" t="str">
        <f>IF(B450&lt;&gt;"",IF(AND(B450&gt;=_TM1,B450&lt;=_TM2,OR(TH!L450="1111",TH!M450="1111")),TH!D450,""),"")</f>
        <v/>
      </c>
      <c r="B450" s="36">
        <f t="shared" si="31"/>
        <v>5</v>
      </c>
      <c r="C450" s="191">
        <v>40691</v>
      </c>
      <c r="D450" s="191" t="s">
        <v>970</v>
      </c>
      <c r="E450" s="191">
        <v>40691</v>
      </c>
      <c r="F450" s="192" t="s">
        <v>904</v>
      </c>
      <c r="G450" s="498" t="s">
        <v>863</v>
      </c>
      <c r="H450" s="7" t="s">
        <v>733</v>
      </c>
      <c r="I450" s="256">
        <v>300</v>
      </c>
      <c r="J450" s="256">
        <v>12946.513333333334</v>
      </c>
      <c r="K450" s="614">
        <f t="shared" si="32"/>
        <v>3883954</v>
      </c>
      <c r="L450" s="854" t="s">
        <v>165</v>
      </c>
      <c r="M450" s="854" t="s">
        <v>159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>632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94"/>
      <c r="AB450" s="833"/>
      <c r="AC450" s="198"/>
      <c r="AD450" s="198"/>
    </row>
    <row r="451" spans="1:30" s="606" customFormat="1" ht="15.75" customHeight="1">
      <c r="A451" s="204" t="str">
        <f>IF(B451&lt;&gt;"",IF(AND(B451&gt;=_TM1,B451&lt;=_TM2,OR(TH!L451="1111",TH!M451="1111")),TH!D451,""),"")</f>
        <v/>
      </c>
      <c r="B451" s="36">
        <f t="shared" si="31"/>
        <v>5</v>
      </c>
      <c r="C451" s="191">
        <v>40691</v>
      </c>
      <c r="D451" s="191" t="s">
        <v>970</v>
      </c>
      <c r="E451" s="191">
        <v>40691</v>
      </c>
      <c r="F451" s="192" t="s">
        <v>905</v>
      </c>
      <c r="G451" s="498" t="s">
        <v>863</v>
      </c>
      <c r="H451" s="7" t="s">
        <v>733</v>
      </c>
      <c r="I451" s="256">
        <v>40</v>
      </c>
      <c r="J451" s="256">
        <v>14589.525</v>
      </c>
      <c r="K451" s="614">
        <f t="shared" si="32"/>
        <v>583581</v>
      </c>
      <c r="L451" s="854" t="s">
        <v>165</v>
      </c>
      <c r="M451" s="854" t="s">
        <v>159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>632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94"/>
      <c r="AB451" s="833"/>
      <c r="AC451" s="198"/>
      <c r="AD451" s="198"/>
    </row>
    <row r="452" spans="1:30" s="606" customFormat="1" ht="15.75" customHeight="1">
      <c r="A452" s="204" t="str">
        <f>IF(B452&lt;&gt;"",IF(AND(B452&gt;=_TM1,B452&lt;=_TM2,OR(TH!L452="1111",TH!M452="1111")),TH!D452,""),"")</f>
        <v/>
      </c>
      <c r="B452" s="36">
        <f t="shared" si="31"/>
        <v>5</v>
      </c>
      <c r="C452" s="191">
        <f t="shared" ref="C452:C483" si="33">E452</f>
        <v>40691</v>
      </c>
      <c r="D452" s="191" t="s">
        <v>1116</v>
      </c>
      <c r="E452" s="191">
        <v>40691</v>
      </c>
      <c r="F452" s="192" t="s">
        <v>742</v>
      </c>
      <c r="G452" s="498"/>
      <c r="H452" s="628" t="s">
        <v>1092</v>
      </c>
      <c r="I452" s="256">
        <v>181</v>
      </c>
      <c r="J452" s="256">
        <v>18284.513812154695</v>
      </c>
      <c r="K452" s="614">
        <f t="shared" si="32"/>
        <v>3309497</v>
      </c>
      <c r="L452" s="39" t="s">
        <v>159</v>
      </c>
      <c r="M452" s="724" t="s">
        <v>157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94"/>
      <c r="AB452" s="198"/>
      <c r="AC452" s="198"/>
      <c r="AD452" s="198"/>
    </row>
    <row r="453" spans="1:30" s="606" customFormat="1" ht="15.75" customHeight="1">
      <c r="A453" s="204" t="str">
        <f>IF(B453&lt;&gt;"",IF(AND(B453&gt;=_TM1,B453&lt;=_TM2,OR(TH!L453="1111",TH!M453="1111")),TH!D453,""),"")</f>
        <v/>
      </c>
      <c r="B453" s="36">
        <f t="shared" si="31"/>
        <v>5</v>
      </c>
      <c r="C453" s="191">
        <f t="shared" si="33"/>
        <v>40691</v>
      </c>
      <c r="D453" s="191" t="s">
        <v>1116</v>
      </c>
      <c r="E453" s="191">
        <v>40691</v>
      </c>
      <c r="F453" s="192" t="s">
        <v>866</v>
      </c>
      <c r="G453" s="498"/>
      <c r="H453" s="628" t="s">
        <v>1092</v>
      </c>
      <c r="I453" s="256">
        <v>254</v>
      </c>
      <c r="J453" s="256">
        <v>2480.51968503937</v>
      </c>
      <c r="K453" s="614">
        <f t="shared" si="32"/>
        <v>630052</v>
      </c>
      <c r="L453" s="39" t="s">
        <v>159</v>
      </c>
      <c r="M453" s="724" t="s">
        <v>157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94"/>
      <c r="AB453" s="198"/>
      <c r="AC453" s="198"/>
      <c r="AD453" s="198"/>
    </row>
    <row r="454" spans="1:30" s="606" customFormat="1" ht="15.75" customHeight="1">
      <c r="A454" s="204" t="str">
        <f>IF(B454&lt;&gt;"",IF(AND(B454&gt;=_TM1,B454&lt;=_TM2,OR(TH!L454="1111",TH!M454="1111")),TH!D454,""),"")</f>
        <v/>
      </c>
      <c r="B454" s="36">
        <f t="shared" si="31"/>
        <v>5</v>
      </c>
      <c r="C454" s="191">
        <f t="shared" si="33"/>
        <v>40691</v>
      </c>
      <c r="D454" s="191" t="s">
        <v>1116</v>
      </c>
      <c r="E454" s="191">
        <v>40691</v>
      </c>
      <c r="F454" s="192" t="s">
        <v>867</v>
      </c>
      <c r="G454" s="498"/>
      <c r="H454" s="628" t="s">
        <v>1092</v>
      </c>
      <c r="I454" s="258">
        <v>408</v>
      </c>
      <c r="J454" s="258">
        <v>14206.571078431372</v>
      </c>
      <c r="K454" s="614">
        <f t="shared" si="32"/>
        <v>5796281</v>
      </c>
      <c r="L454" s="39" t="s">
        <v>159</v>
      </c>
      <c r="M454" s="724" t="s">
        <v>157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94"/>
      <c r="AB454" s="198"/>
      <c r="AC454" s="198"/>
      <c r="AD454" s="198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31"/>
        <v>5</v>
      </c>
      <c r="C455" s="191">
        <f t="shared" si="33"/>
        <v>40691</v>
      </c>
      <c r="D455" s="191" t="s">
        <v>1116</v>
      </c>
      <c r="E455" s="191">
        <v>40691</v>
      </c>
      <c r="F455" s="192" t="s">
        <v>868</v>
      </c>
      <c r="G455" s="498"/>
      <c r="H455" s="628" t="s">
        <v>1092</v>
      </c>
      <c r="I455" s="258">
        <v>345</v>
      </c>
      <c r="J455" s="258">
        <v>9372.5130434782604</v>
      </c>
      <c r="K455" s="614">
        <f t="shared" si="32"/>
        <v>3233517</v>
      </c>
      <c r="L455" s="39" t="s">
        <v>159</v>
      </c>
      <c r="M455" s="724" t="s">
        <v>157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94"/>
      <c r="AB455" s="198"/>
      <c r="AC455" s="198"/>
      <c r="AD455" s="198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31"/>
        <v>5</v>
      </c>
      <c r="C456" s="191">
        <f t="shared" si="33"/>
        <v>40691</v>
      </c>
      <c r="D456" s="191" t="s">
        <v>1116</v>
      </c>
      <c r="E456" s="191">
        <v>40691</v>
      </c>
      <c r="F456" s="192" t="s">
        <v>869</v>
      </c>
      <c r="G456" s="498"/>
      <c r="H456" s="628" t="s">
        <v>1092</v>
      </c>
      <c r="I456" s="256">
        <v>4</v>
      </c>
      <c r="J456" s="256">
        <v>9979.5</v>
      </c>
      <c r="K456" s="614">
        <f t="shared" si="32"/>
        <v>39918</v>
      </c>
      <c r="L456" s="39" t="s">
        <v>159</v>
      </c>
      <c r="M456" s="724" t="s">
        <v>157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94"/>
      <c r="AB456" s="198"/>
      <c r="AC456" s="198"/>
      <c r="AD456" s="198"/>
    </row>
    <row r="457" spans="1:30" s="606" customFormat="1" ht="15.75" customHeight="1">
      <c r="A457" s="204" t="str">
        <f>IF(B457&lt;&gt;"",IF(AND(B457&gt;=_TM1,B457&lt;=_TM2,OR(TH!L457="1111",TH!M457="1111")),TH!D457,""),"")</f>
        <v/>
      </c>
      <c r="B457" s="36">
        <f t="shared" si="31"/>
        <v>5</v>
      </c>
      <c r="C457" s="191">
        <f t="shared" si="33"/>
        <v>40691</v>
      </c>
      <c r="D457" s="191" t="s">
        <v>1116</v>
      </c>
      <c r="E457" s="191">
        <v>40691</v>
      </c>
      <c r="F457" s="192" t="s">
        <v>870</v>
      </c>
      <c r="G457" s="498"/>
      <c r="H457" s="628" t="s">
        <v>1092</v>
      </c>
      <c r="I457" s="256">
        <v>67</v>
      </c>
      <c r="J457" s="256">
        <v>9979.507462686568</v>
      </c>
      <c r="K457" s="614">
        <f t="shared" si="32"/>
        <v>668627</v>
      </c>
      <c r="L457" s="39" t="s">
        <v>159</v>
      </c>
      <c r="M457" s="724" t="s">
        <v>157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94"/>
      <c r="AB457" s="198"/>
      <c r="AC457" s="198"/>
      <c r="AD457" s="198"/>
    </row>
    <row r="458" spans="1:30" s="606" customFormat="1" ht="15.75" customHeight="1">
      <c r="A458" s="204" t="str">
        <f>IF(B458&lt;&gt;"",IF(AND(B458&gt;=_TM1,B458&lt;=_TM2,OR(TH!L458="1111",TH!M458="1111")),TH!D458,""),"")</f>
        <v/>
      </c>
      <c r="B458" s="36">
        <f t="shared" si="31"/>
        <v>5</v>
      </c>
      <c r="C458" s="191">
        <f t="shared" si="33"/>
        <v>40691</v>
      </c>
      <c r="D458" s="191" t="s">
        <v>1116</v>
      </c>
      <c r="E458" s="191">
        <v>40691</v>
      </c>
      <c r="F458" s="192" t="s">
        <v>871</v>
      </c>
      <c r="G458" s="498"/>
      <c r="H458" s="628" t="s">
        <v>1092</v>
      </c>
      <c r="I458" s="256">
        <v>27</v>
      </c>
      <c r="J458" s="256">
        <v>16143.518518518518</v>
      </c>
      <c r="K458" s="614">
        <f t="shared" si="32"/>
        <v>435875</v>
      </c>
      <c r="L458" s="39" t="s">
        <v>159</v>
      </c>
      <c r="M458" s="724" t="s">
        <v>157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94"/>
      <c r="AB458" s="198"/>
      <c r="AC458" s="198"/>
      <c r="AD458" s="198"/>
    </row>
    <row r="459" spans="1:30" s="606" customFormat="1" ht="15.75" customHeight="1">
      <c r="A459" s="204" t="str">
        <f>IF(B459&lt;&gt;"",IF(AND(B459&gt;=_TM1,B459&lt;=_TM2,OR(TH!L459="1111",TH!M459="1111")),TH!D459,""),"")</f>
        <v/>
      </c>
      <c r="B459" s="36">
        <f t="shared" si="31"/>
        <v>5</v>
      </c>
      <c r="C459" s="191">
        <f t="shared" si="33"/>
        <v>40691</v>
      </c>
      <c r="D459" s="191" t="s">
        <v>1116</v>
      </c>
      <c r="E459" s="191">
        <v>40691</v>
      </c>
      <c r="F459" s="192" t="s">
        <v>872</v>
      </c>
      <c r="G459" s="498"/>
      <c r="H459" s="628" t="s">
        <v>1092</v>
      </c>
      <c r="I459" s="256">
        <v>16</v>
      </c>
      <c r="J459" s="256">
        <v>7483.5</v>
      </c>
      <c r="K459" s="614">
        <f t="shared" si="32"/>
        <v>119736</v>
      </c>
      <c r="L459" s="39" t="s">
        <v>159</v>
      </c>
      <c r="M459" s="724" t="s">
        <v>157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94"/>
      <c r="AB459" s="198"/>
      <c r="AC459" s="198"/>
      <c r="AD459" s="198"/>
    </row>
    <row r="460" spans="1:30" s="606" customFormat="1" ht="15.75" customHeight="1">
      <c r="A460" s="204" t="str">
        <f>IF(B460&lt;&gt;"",IF(AND(B460&gt;=_TM1,B460&lt;=_TM2,OR(TH!L460="1111",TH!M460="1111")),TH!D460,""),"")</f>
        <v/>
      </c>
      <c r="B460" s="36">
        <f t="shared" si="31"/>
        <v>5</v>
      </c>
      <c r="C460" s="191">
        <f t="shared" si="33"/>
        <v>40691</v>
      </c>
      <c r="D460" s="191" t="s">
        <v>1116</v>
      </c>
      <c r="E460" s="191">
        <v>40691</v>
      </c>
      <c r="F460" s="192" t="s">
        <v>873</v>
      </c>
      <c r="G460" s="498"/>
      <c r="H460" s="628" t="s">
        <v>1092</v>
      </c>
      <c r="I460" s="256">
        <v>127</v>
      </c>
      <c r="J460" s="256">
        <v>16143.511811023622</v>
      </c>
      <c r="K460" s="614">
        <f t="shared" si="32"/>
        <v>2050226</v>
      </c>
      <c r="L460" s="39" t="s">
        <v>159</v>
      </c>
      <c r="M460" s="724" t="s">
        <v>157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94"/>
      <c r="AB460" s="198"/>
      <c r="AC460" s="198"/>
      <c r="AD460" s="198"/>
    </row>
    <row r="461" spans="1:30" s="606" customFormat="1" ht="15.75" customHeight="1">
      <c r="A461" s="204" t="str">
        <f>IF(B461&lt;&gt;"",IF(AND(B461&gt;=_TM1,B461&lt;=_TM2,OR(TH!L461="1111",TH!M461="1111")),TH!D461,""),"")</f>
        <v/>
      </c>
      <c r="B461" s="36">
        <f t="shared" si="31"/>
        <v>5</v>
      </c>
      <c r="C461" s="191">
        <f t="shared" si="33"/>
        <v>40691</v>
      </c>
      <c r="D461" s="191" t="s">
        <v>1117</v>
      </c>
      <c r="E461" s="191">
        <v>40691</v>
      </c>
      <c r="F461" s="192" t="s">
        <v>874</v>
      </c>
      <c r="G461" s="498"/>
      <c r="H461" s="628" t="s">
        <v>1092</v>
      </c>
      <c r="I461" s="256">
        <v>5</v>
      </c>
      <c r="J461" s="256">
        <v>5808.6</v>
      </c>
      <c r="K461" s="614">
        <f t="shared" si="32"/>
        <v>29043</v>
      </c>
      <c r="L461" s="39" t="s">
        <v>159</v>
      </c>
      <c r="M461" s="724" t="s">
        <v>157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94"/>
      <c r="AB461" s="198"/>
      <c r="AC461" s="198"/>
      <c r="AD461" s="198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31"/>
        <v>5</v>
      </c>
      <c r="C462" s="191">
        <f t="shared" si="33"/>
        <v>40691</v>
      </c>
      <c r="D462" s="191" t="s">
        <v>1117</v>
      </c>
      <c r="E462" s="191">
        <v>40691</v>
      </c>
      <c r="F462" s="192" t="s">
        <v>875</v>
      </c>
      <c r="G462" s="498"/>
      <c r="H462" s="628" t="s">
        <v>1092</v>
      </c>
      <c r="I462" s="256">
        <v>3</v>
      </c>
      <c r="J462" s="256">
        <v>9979.6666666666661</v>
      </c>
      <c r="K462" s="614">
        <f t="shared" si="32"/>
        <v>29939</v>
      </c>
      <c r="L462" s="39" t="s">
        <v>159</v>
      </c>
      <c r="M462" s="724" t="s">
        <v>157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94"/>
      <c r="AB462" s="198"/>
      <c r="AC462" s="198"/>
      <c r="AD462" s="198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31"/>
        <v>5</v>
      </c>
      <c r="C463" s="191">
        <f t="shared" si="33"/>
        <v>40691</v>
      </c>
      <c r="D463" s="191" t="s">
        <v>1117</v>
      </c>
      <c r="E463" s="191">
        <v>40691</v>
      </c>
      <c r="F463" s="192" t="s">
        <v>876</v>
      </c>
      <c r="G463" s="498"/>
      <c r="H463" s="628" t="s">
        <v>1092</v>
      </c>
      <c r="I463" s="256">
        <v>12</v>
      </c>
      <c r="J463" s="256">
        <v>17484.5</v>
      </c>
      <c r="K463" s="614">
        <f t="shared" si="32"/>
        <v>209814</v>
      </c>
      <c r="L463" s="39" t="s">
        <v>159</v>
      </c>
      <c r="M463" s="724" t="s">
        <v>157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94"/>
      <c r="AB463" s="198"/>
      <c r="AC463" s="198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31"/>
        <v>5</v>
      </c>
      <c r="C464" s="191">
        <f t="shared" si="33"/>
        <v>40691</v>
      </c>
      <c r="D464" s="191" t="s">
        <v>1117</v>
      </c>
      <c r="E464" s="191">
        <v>40691</v>
      </c>
      <c r="F464" s="192" t="s">
        <v>877</v>
      </c>
      <c r="G464" s="498"/>
      <c r="H464" s="628" t="s">
        <v>1092</v>
      </c>
      <c r="I464" s="256">
        <v>9</v>
      </c>
      <c r="J464" s="256">
        <v>7759.5555555555557</v>
      </c>
      <c r="K464" s="614">
        <f t="shared" si="32"/>
        <v>69836</v>
      </c>
      <c r="L464" s="39" t="s">
        <v>159</v>
      </c>
      <c r="M464" s="724" t="s">
        <v>157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94"/>
      <c r="AB464" s="198"/>
      <c r="AC464" s="198"/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31"/>
        <v>5</v>
      </c>
      <c r="C465" s="191">
        <f t="shared" si="33"/>
        <v>40691</v>
      </c>
      <c r="D465" s="191" t="s">
        <v>1117</v>
      </c>
      <c r="E465" s="191">
        <v>40691</v>
      </c>
      <c r="F465" s="192" t="s">
        <v>878</v>
      </c>
      <c r="G465" s="498"/>
      <c r="H465" s="628" t="s">
        <v>1092</v>
      </c>
      <c r="I465" s="256">
        <v>8</v>
      </c>
      <c r="J465" s="256">
        <v>9979.5</v>
      </c>
      <c r="K465" s="614">
        <f t="shared" si="32"/>
        <v>79836</v>
      </c>
      <c r="L465" s="39" t="s">
        <v>159</v>
      </c>
      <c r="M465" s="724" t="s">
        <v>157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94"/>
      <c r="AB465" s="198"/>
      <c r="AC465" s="198"/>
      <c r="AD465" s="198"/>
    </row>
    <row r="466" spans="1:30" s="606" customFormat="1" ht="15.75" customHeight="1">
      <c r="A466" s="204" t="str">
        <f>IF(B466&lt;&gt;"",IF(AND(B466&gt;=_TM1,B466&lt;=_TM2,OR(TH!L466="1111",TH!M466="1111")),TH!D466,""),"")</f>
        <v/>
      </c>
      <c r="B466" s="36">
        <f t="shared" si="31"/>
        <v>5</v>
      </c>
      <c r="C466" s="191">
        <f t="shared" si="33"/>
        <v>40691</v>
      </c>
      <c r="D466" s="191" t="s">
        <v>1117</v>
      </c>
      <c r="E466" s="191">
        <v>40691</v>
      </c>
      <c r="F466" s="192" t="s">
        <v>879</v>
      </c>
      <c r="G466" s="498"/>
      <c r="H466" s="628" t="s">
        <v>1092</v>
      </c>
      <c r="I466" s="256">
        <v>7</v>
      </c>
      <c r="J466" s="256">
        <v>9979.5714285714294</v>
      </c>
      <c r="K466" s="614">
        <f t="shared" si="32"/>
        <v>69857</v>
      </c>
      <c r="L466" s="39" t="s">
        <v>159</v>
      </c>
      <c r="M466" s="724" t="s">
        <v>157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94"/>
      <c r="AB466" s="198"/>
      <c r="AC466" s="198"/>
      <c r="AD466" s="198"/>
    </row>
    <row r="467" spans="1:30" s="606" customFormat="1" ht="15.75" customHeight="1">
      <c r="A467" s="204" t="str">
        <f>IF(B467&lt;&gt;"",IF(AND(B467&gt;=_TM1,B467&lt;=_TM2,OR(TH!L467="1111",TH!M467="1111")),TH!D467,""),"")</f>
        <v/>
      </c>
      <c r="B467" s="36">
        <f t="shared" si="31"/>
        <v>5</v>
      </c>
      <c r="C467" s="191">
        <f t="shared" si="33"/>
        <v>40691</v>
      </c>
      <c r="D467" s="191" t="s">
        <v>1117</v>
      </c>
      <c r="E467" s="191">
        <v>40691</v>
      </c>
      <c r="F467" s="192" t="s">
        <v>880</v>
      </c>
      <c r="G467" s="498"/>
      <c r="H467" s="628" t="s">
        <v>1092</v>
      </c>
      <c r="I467" s="256">
        <v>13</v>
      </c>
      <c r="J467" s="256">
        <v>12946.538461538461</v>
      </c>
      <c r="K467" s="614">
        <f t="shared" si="32"/>
        <v>168305</v>
      </c>
      <c r="L467" s="39" t="s">
        <v>159</v>
      </c>
      <c r="M467" s="724" t="s">
        <v>157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94"/>
      <c r="AB467" s="198"/>
      <c r="AC467" s="198"/>
      <c r="AD467" s="198"/>
    </row>
    <row r="468" spans="1:30" s="606" customFormat="1" ht="15.75" customHeight="1">
      <c r="A468" s="204" t="str">
        <f>IF(B468&lt;&gt;"",IF(AND(B468&gt;=_TM1,B468&lt;=_TM2,OR(TH!L468="1111",TH!M468="1111")),TH!D468,""),"")</f>
        <v/>
      </c>
      <c r="B468" s="36">
        <f t="shared" si="31"/>
        <v>5</v>
      </c>
      <c r="C468" s="191">
        <f t="shared" si="33"/>
        <v>40691</v>
      </c>
      <c r="D468" s="191" t="s">
        <v>1117</v>
      </c>
      <c r="E468" s="191">
        <v>40691</v>
      </c>
      <c r="F468" s="192" t="s">
        <v>882</v>
      </c>
      <c r="G468" s="498"/>
      <c r="H468" s="628" t="s">
        <v>1092</v>
      </c>
      <c r="I468" s="256">
        <v>5</v>
      </c>
      <c r="J468" s="256">
        <v>12946.6</v>
      </c>
      <c r="K468" s="614">
        <f t="shared" si="32"/>
        <v>64733</v>
      </c>
      <c r="L468" s="39" t="s">
        <v>159</v>
      </c>
      <c r="M468" s="724" t="s">
        <v>157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94"/>
      <c r="AB468" s="198"/>
      <c r="AC468" s="198"/>
      <c r="AD468" s="198"/>
    </row>
    <row r="469" spans="1:30" s="606" customFormat="1" ht="15.75" customHeight="1">
      <c r="A469" s="204" t="str">
        <f>IF(B469&lt;&gt;"",IF(AND(B469&gt;=_TM1,B469&lt;=_TM2,OR(TH!L469="1111",TH!M469="1111")),TH!D469,""),"")</f>
        <v/>
      </c>
      <c r="B469" s="36">
        <f t="shared" si="31"/>
        <v>5</v>
      </c>
      <c r="C469" s="191">
        <f t="shared" si="33"/>
        <v>40691</v>
      </c>
      <c r="D469" s="191" t="s">
        <v>1117</v>
      </c>
      <c r="E469" s="191">
        <v>40691</v>
      </c>
      <c r="F469" s="192" t="s">
        <v>883</v>
      </c>
      <c r="G469" s="498"/>
      <c r="H469" s="628" t="s">
        <v>1092</v>
      </c>
      <c r="I469" s="256">
        <v>22</v>
      </c>
      <c r="J469" s="256">
        <v>17821.5</v>
      </c>
      <c r="K469" s="614">
        <f t="shared" si="32"/>
        <v>392073</v>
      </c>
      <c r="L469" s="39" t="s">
        <v>159</v>
      </c>
      <c r="M469" s="724" t="s">
        <v>157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94"/>
      <c r="AB469" s="198"/>
      <c r="AC469" s="198"/>
      <c r="AD469" s="198"/>
    </row>
    <row r="470" spans="1:30" s="606" customFormat="1" ht="15.75" customHeight="1">
      <c r="A470" s="204" t="str">
        <f>IF(B470&lt;&gt;"",IF(AND(B470&gt;=_TM1,B470&lt;=_TM2,OR(TH!L470="1111",TH!M470="1111")),TH!D470,""),"")</f>
        <v/>
      </c>
      <c r="B470" s="36">
        <f t="shared" si="31"/>
        <v>5</v>
      </c>
      <c r="C470" s="191">
        <f t="shared" si="33"/>
        <v>40691</v>
      </c>
      <c r="D470" s="191" t="s">
        <v>1118</v>
      </c>
      <c r="E470" s="191">
        <v>40691</v>
      </c>
      <c r="F470" s="192" t="s">
        <v>884</v>
      </c>
      <c r="G470" s="498"/>
      <c r="H470" s="628" t="s">
        <v>1092</v>
      </c>
      <c r="I470" s="256">
        <v>245</v>
      </c>
      <c r="J470" s="256">
        <v>7483.5142857142855</v>
      </c>
      <c r="K470" s="614">
        <f t="shared" si="32"/>
        <v>1833461</v>
      </c>
      <c r="L470" s="39" t="s">
        <v>159</v>
      </c>
      <c r="M470" s="724" t="s">
        <v>157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94"/>
      <c r="AB470" s="198"/>
      <c r="AC470" s="198"/>
      <c r="AD470" s="198"/>
    </row>
    <row r="471" spans="1:30" s="606" customFormat="1" ht="15.75" customHeight="1">
      <c r="A471" s="204" t="str">
        <f>IF(B471&lt;&gt;"",IF(AND(B471&gt;=_TM1,B471&lt;=_TM2,OR(TH!L471="1111",TH!M471="1111")),TH!D471,""),"")</f>
        <v/>
      </c>
      <c r="B471" s="36">
        <f t="shared" si="31"/>
        <v>5</v>
      </c>
      <c r="C471" s="191">
        <f t="shared" si="33"/>
        <v>40691</v>
      </c>
      <c r="D471" s="191" t="s">
        <v>1118</v>
      </c>
      <c r="E471" s="191">
        <v>40691</v>
      </c>
      <c r="F471" s="192" t="s">
        <v>885</v>
      </c>
      <c r="G471" s="498"/>
      <c r="H471" s="628" t="s">
        <v>1092</v>
      </c>
      <c r="I471" s="256">
        <v>429</v>
      </c>
      <c r="J471" s="256">
        <v>24018.659673659673</v>
      </c>
      <c r="K471" s="614">
        <f t="shared" si="32"/>
        <v>10304005</v>
      </c>
      <c r="L471" s="39" t="s">
        <v>159</v>
      </c>
      <c r="M471" s="724" t="s">
        <v>157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94"/>
      <c r="AB471" s="198"/>
      <c r="AC471" s="198"/>
      <c r="AD471" s="198"/>
    </row>
    <row r="472" spans="1:30" s="606" customFormat="1" ht="15.75" customHeight="1">
      <c r="A472" s="204" t="str">
        <f>IF(B472&lt;&gt;"",IF(AND(B472&gt;=_TM1,B472&lt;=_TM2,OR(TH!L472="1111",TH!M472="1111")),TH!D472,""),"")</f>
        <v/>
      </c>
      <c r="B472" s="36">
        <f t="shared" si="31"/>
        <v>5</v>
      </c>
      <c r="C472" s="191">
        <f t="shared" si="33"/>
        <v>40691</v>
      </c>
      <c r="D472" s="191" t="s">
        <v>1118</v>
      </c>
      <c r="E472" s="191">
        <v>40691</v>
      </c>
      <c r="F472" s="192" t="s">
        <v>873</v>
      </c>
      <c r="G472" s="498"/>
      <c r="H472" s="628" t="s">
        <v>1092</v>
      </c>
      <c r="I472" s="256">
        <v>22</v>
      </c>
      <c r="J472" s="256">
        <v>16143.5</v>
      </c>
      <c r="K472" s="614">
        <f t="shared" ref="K472:K503" si="34">ROUND(I472*J472,0)</f>
        <v>355157</v>
      </c>
      <c r="L472" s="39" t="s">
        <v>159</v>
      </c>
      <c r="M472" s="724" t="s">
        <v>157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94"/>
      <c r="AB472" s="198"/>
      <c r="AC472" s="198"/>
      <c r="AD472" s="198"/>
    </row>
    <row r="473" spans="1:30" s="606" customFormat="1" ht="15.75" customHeight="1">
      <c r="A473" s="204" t="str">
        <f>IF(B473&lt;&gt;"",IF(AND(B473&gt;=_TM1,B473&lt;=_TM2,OR(TH!L473="1111",TH!M473="1111")),TH!D473,""),"")</f>
        <v/>
      </c>
      <c r="B473" s="36">
        <f t="shared" ref="B473:B536" si="35">IF(C473&lt;&gt;"",MONTH(C473),"")</f>
        <v>5</v>
      </c>
      <c r="C473" s="191">
        <f t="shared" si="33"/>
        <v>40691</v>
      </c>
      <c r="D473" s="191" t="s">
        <v>1118</v>
      </c>
      <c r="E473" s="191">
        <v>40691</v>
      </c>
      <c r="F473" s="192" t="s">
        <v>886</v>
      </c>
      <c r="G473" s="498"/>
      <c r="H473" s="628" t="s">
        <v>1092</v>
      </c>
      <c r="I473" s="256">
        <v>4</v>
      </c>
      <c r="J473" s="256">
        <v>16143.5</v>
      </c>
      <c r="K473" s="614">
        <f t="shared" si="34"/>
        <v>64574</v>
      </c>
      <c r="L473" s="39" t="s">
        <v>159</v>
      </c>
      <c r="M473" s="724" t="s">
        <v>157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94"/>
      <c r="AB473" s="198"/>
      <c r="AC473" s="198"/>
      <c r="AD473" s="198"/>
    </row>
    <row r="474" spans="1:30" s="606" customFormat="1" ht="15.75" customHeight="1">
      <c r="A474" s="204" t="str">
        <f>IF(B474&lt;&gt;"",IF(AND(B474&gt;=_TM1,B474&lt;=_TM2,OR(TH!L474="1111",TH!M474="1111")),TH!D474,""),"")</f>
        <v/>
      </c>
      <c r="B474" s="36">
        <f t="shared" si="35"/>
        <v>5</v>
      </c>
      <c r="C474" s="191">
        <f t="shared" si="33"/>
        <v>40691</v>
      </c>
      <c r="D474" s="191" t="s">
        <v>1118</v>
      </c>
      <c r="E474" s="191">
        <v>40691</v>
      </c>
      <c r="F474" s="192" t="s">
        <v>887</v>
      </c>
      <c r="G474" s="498"/>
      <c r="H474" s="628" t="s">
        <v>1092</v>
      </c>
      <c r="I474" s="256">
        <v>2</v>
      </c>
      <c r="J474" s="256">
        <v>14857.5</v>
      </c>
      <c r="K474" s="614">
        <f t="shared" si="34"/>
        <v>29715</v>
      </c>
      <c r="L474" s="39" t="s">
        <v>159</v>
      </c>
      <c r="M474" s="724" t="s">
        <v>157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94"/>
      <c r="AB474" s="198"/>
      <c r="AC474" s="198"/>
      <c r="AD474" s="198"/>
    </row>
    <row r="475" spans="1:30" s="606" customFormat="1" ht="15.75" customHeight="1">
      <c r="A475" s="204" t="str">
        <f>IF(B475&lt;&gt;"",IF(AND(B475&gt;=_TM1,B475&lt;=_TM2,OR(TH!L475="1111",TH!M475="1111")),TH!D475,""),"")</f>
        <v/>
      </c>
      <c r="B475" s="36">
        <f t="shared" si="35"/>
        <v>5</v>
      </c>
      <c r="C475" s="191">
        <f t="shared" si="33"/>
        <v>40691</v>
      </c>
      <c r="D475" s="191" t="s">
        <v>1118</v>
      </c>
      <c r="E475" s="191">
        <v>40691</v>
      </c>
      <c r="F475" s="192" t="s">
        <v>867</v>
      </c>
      <c r="G475" s="498"/>
      <c r="H475" s="628" t="s">
        <v>1092</v>
      </c>
      <c r="I475" s="256">
        <v>3</v>
      </c>
      <c r="J475" s="256">
        <v>14857.666666666666</v>
      </c>
      <c r="K475" s="614">
        <f t="shared" si="34"/>
        <v>44573</v>
      </c>
      <c r="L475" s="39" t="s">
        <v>159</v>
      </c>
      <c r="M475" s="724" t="s">
        <v>157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94"/>
      <c r="AB475" s="198"/>
      <c r="AC475" s="198"/>
      <c r="AD475" s="198"/>
    </row>
    <row r="476" spans="1:30" s="606" customFormat="1" ht="15.75" customHeight="1">
      <c r="A476" s="204" t="str">
        <f>IF(B476&lt;&gt;"",IF(AND(B476&gt;=_TM1,B476&lt;=_TM2,OR(TH!L476="1111",TH!M476="1111")),TH!D476,""),"")</f>
        <v/>
      </c>
      <c r="B476" s="36">
        <f t="shared" si="35"/>
        <v>5</v>
      </c>
      <c r="C476" s="191">
        <f t="shared" si="33"/>
        <v>40691</v>
      </c>
      <c r="D476" s="191" t="s">
        <v>1118</v>
      </c>
      <c r="E476" s="191">
        <v>40691</v>
      </c>
      <c r="F476" s="192" t="s">
        <v>871</v>
      </c>
      <c r="G476" s="498"/>
      <c r="H476" s="628" t="s">
        <v>1092</v>
      </c>
      <c r="I476" s="256">
        <v>1</v>
      </c>
      <c r="J476" s="256">
        <v>14858</v>
      </c>
      <c r="K476" s="614">
        <f t="shared" si="34"/>
        <v>14858</v>
      </c>
      <c r="L476" s="39" t="s">
        <v>159</v>
      </c>
      <c r="M476" s="724" t="s">
        <v>157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94"/>
      <c r="AB476" s="198"/>
      <c r="AC476" s="198"/>
      <c r="AD476" s="198"/>
    </row>
    <row r="477" spans="1:30" s="606" customFormat="1" ht="15.75" customHeight="1">
      <c r="A477" s="204" t="str">
        <f>IF(B477&lt;&gt;"",IF(AND(B477&gt;=_TM1,B477&lt;=_TM2,OR(TH!L477="1111",TH!M477="1111")),TH!D477,""),"")</f>
        <v/>
      </c>
      <c r="B477" s="36">
        <f t="shared" si="35"/>
        <v>5</v>
      </c>
      <c r="C477" s="191">
        <f t="shared" si="33"/>
        <v>40691</v>
      </c>
      <c r="D477" s="191" t="s">
        <v>1118</v>
      </c>
      <c r="E477" s="191">
        <v>40691</v>
      </c>
      <c r="F477" s="192" t="s">
        <v>868</v>
      </c>
      <c r="G477" s="498"/>
      <c r="H477" s="628" t="s">
        <v>1092</v>
      </c>
      <c r="I477" s="256">
        <v>5</v>
      </c>
      <c r="J477" s="256">
        <v>9372.6</v>
      </c>
      <c r="K477" s="614">
        <f t="shared" si="34"/>
        <v>46863</v>
      </c>
      <c r="L477" s="39" t="s">
        <v>159</v>
      </c>
      <c r="M477" s="724" t="s">
        <v>157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94"/>
      <c r="AB477" s="198"/>
      <c r="AC477" s="198"/>
      <c r="AD477" s="198"/>
    </row>
    <row r="478" spans="1:30" s="606" customFormat="1" ht="15.75" customHeight="1">
      <c r="A478" s="204" t="str">
        <f>IF(B478&lt;&gt;"",IF(AND(B478&gt;=_TM1,B478&lt;=_TM2,OR(TH!L478="1111",TH!M478="1111")),TH!D478,""),"")</f>
        <v/>
      </c>
      <c r="B478" s="36">
        <f t="shared" si="35"/>
        <v>5</v>
      </c>
      <c r="C478" s="191">
        <f t="shared" si="33"/>
        <v>40691</v>
      </c>
      <c r="D478" s="191" t="s">
        <v>1118</v>
      </c>
      <c r="E478" s="191">
        <v>40691</v>
      </c>
      <c r="F478" s="192" t="s">
        <v>891</v>
      </c>
      <c r="G478" s="498"/>
      <c r="H478" s="628" t="s">
        <v>1092</v>
      </c>
      <c r="I478" s="256">
        <v>344</v>
      </c>
      <c r="J478" s="256">
        <v>16694.151162790698</v>
      </c>
      <c r="K478" s="614">
        <f t="shared" si="34"/>
        <v>5742788</v>
      </c>
      <c r="L478" s="39" t="s">
        <v>159</v>
      </c>
      <c r="M478" s="724" t="s">
        <v>157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94"/>
      <c r="AB478" s="198"/>
      <c r="AC478" s="198"/>
      <c r="AD478" s="198"/>
    </row>
    <row r="479" spans="1:30" s="606" customFormat="1" ht="15.75" customHeight="1">
      <c r="A479" s="204" t="str">
        <f>IF(B479&lt;&gt;"",IF(AND(B479&gt;=_TM1,B479&lt;=_TM2,OR(TH!L479="1111",TH!M479="1111")),TH!D479,""),"")</f>
        <v/>
      </c>
      <c r="B479" s="36">
        <f t="shared" si="35"/>
        <v>5</v>
      </c>
      <c r="C479" s="191">
        <f t="shared" si="33"/>
        <v>40691</v>
      </c>
      <c r="D479" s="191" t="s">
        <v>1119</v>
      </c>
      <c r="E479" s="191">
        <v>40691</v>
      </c>
      <c r="F479" s="192" t="s">
        <v>889</v>
      </c>
      <c r="G479" s="498"/>
      <c r="H479" s="628" t="s">
        <v>1092</v>
      </c>
      <c r="I479" s="256">
        <v>239</v>
      </c>
      <c r="J479" s="256">
        <v>5808.5146443514641</v>
      </c>
      <c r="K479" s="614">
        <f t="shared" si="34"/>
        <v>1388235</v>
      </c>
      <c r="L479" s="39" t="s">
        <v>159</v>
      </c>
      <c r="M479" s="724" t="s">
        <v>157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94"/>
      <c r="AB479" s="198"/>
      <c r="AC479" s="198"/>
      <c r="AD479" s="198"/>
    </row>
    <row r="480" spans="1:30" s="606" customFormat="1" ht="15.75" customHeight="1">
      <c r="A480" s="204" t="str">
        <f>IF(B480&lt;&gt;"",IF(AND(B480&gt;=_TM1,B480&lt;=_TM2,OR(TH!L480="1111",TH!M480="1111")),TH!D480,""),"")</f>
        <v/>
      </c>
      <c r="B480" s="36">
        <f t="shared" si="35"/>
        <v>5</v>
      </c>
      <c r="C480" s="191">
        <f t="shared" si="33"/>
        <v>40691</v>
      </c>
      <c r="D480" s="191" t="s">
        <v>1119</v>
      </c>
      <c r="E480" s="191">
        <v>40691</v>
      </c>
      <c r="F480" s="192" t="s">
        <v>890</v>
      </c>
      <c r="G480" s="498"/>
      <c r="H480" s="628" t="s">
        <v>1092</v>
      </c>
      <c r="I480" s="256">
        <v>102</v>
      </c>
      <c r="J480" s="256">
        <v>3584.0098039215686</v>
      </c>
      <c r="K480" s="614">
        <f t="shared" si="34"/>
        <v>365569</v>
      </c>
      <c r="L480" s="39" t="s">
        <v>159</v>
      </c>
      <c r="M480" s="724" t="s">
        <v>157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94"/>
      <c r="AB480" s="198"/>
      <c r="AC480" s="198"/>
      <c r="AD480" s="198"/>
    </row>
    <row r="481" spans="1:30" s="606" customFormat="1" ht="15.75" customHeight="1">
      <c r="A481" s="204" t="str">
        <f>IF(B481&lt;&gt;"",IF(AND(B481&gt;=_TM1,B481&lt;=_TM2,OR(TH!L481="1111",TH!M481="1111")),TH!D481,""),"")</f>
        <v/>
      </c>
      <c r="B481" s="36">
        <f t="shared" si="35"/>
        <v>5</v>
      </c>
      <c r="C481" s="191">
        <f t="shared" si="33"/>
        <v>40691</v>
      </c>
      <c r="D481" s="191" t="s">
        <v>1119</v>
      </c>
      <c r="E481" s="191">
        <v>40691</v>
      </c>
      <c r="F481" s="192" t="s">
        <v>892</v>
      </c>
      <c r="G481" s="498"/>
      <c r="H481" s="628" t="s">
        <v>1092</v>
      </c>
      <c r="I481" s="256">
        <v>24</v>
      </c>
      <c r="J481" s="256">
        <v>13959.5</v>
      </c>
      <c r="K481" s="614">
        <f t="shared" si="34"/>
        <v>335028</v>
      </c>
      <c r="L481" s="39" t="s">
        <v>159</v>
      </c>
      <c r="M481" s="724" t="s">
        <v>157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94"/>
      <c r="AB481" s="198"/>
      <c r="AC481" s="198"/>
      <c r="AD481" s="198"/>
    </row>
    <row r="482" spans="1:30" s="606" customFormat="1" ht="15.75" customHeight="1">
      <c r="A482" s="204" t="str">
        <f>IF(B482&lt;&gt;"",IF(AND(B482&gt;=_TM1,B482&lt;=_TM2,OR(TH!L482="1111",TH!M482="1111")),TH!D482,""),"")</f>
        <v/>
      </c>
      <c r="B482" s="36">
        <f t="shared" si="35"/>
        <v>5</v>
      </c>
      <c r="C482" s="191">
        <f t="shared" si="33"/>
        <v>40691</v>
      </c>
      <c r="D482" s="191" t="s">
        <v>1119</v>
      </c>
      <c r="E482" s="191">
        <v>40691</v>
      </c>
      <c r="F482" s="192" t="s">
        <v>885</v>
      </c>
      <c r="G482" s="498"/>
      <c r="H482" s="628" t="s">
        <v>1092</v>
      </c>
      <c r="I482" s="256">
        <v>208</v>
      </c>
      <c r="J482" s="256">
        <v>24021.947115384617</v>
      </c>
      <c r="K482" s="614">
        <f t="shared" si="34"/>
        <v>4996565</v>
      </c>
      <c r="L482" s="39" t="s">
        <v>159</v>
      </c>
      <c r="M482" s="724" t="s">
        <v>157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94"/>
      <c r="AB482" s="198"/>
      <c r="AC482" s="198"/>
      <c r="AD482" s="198"/>
    </row>
    <row r="483" spans="1:30" s="606" customFormat="1" ht="15.75" customHeight="1">
      <c r="A483" s="204" t="str">
        <f>IF(B483&lt;&gt;"",IF(AND(B483&gt;=_TM1,B483&lt;=_TM2,OR(TH!L483="1111",TH!M483="1111")),TH!D483,""),"")</f>
        <v/>
      </c>
      <c r="B483" s="36">
        <f t="shared" si="35"/>
        <v>5</v>
      </c>
      <c r="C483" s="191">
        <f t="shared" si="33"/>
        <v>40691</v>
      </c>
      <c r="D483" s="191" t="s">
        <v>1119</v>
      </c>
      <c r="E483" s="191">
        <v>40691</v>
      </c>
      <c r="F483" s="192" t="s">
        <v>893</v>
      </c>
      <c r="G483" s="498"/>
      <c r="H483" s="628" t="s">
        <v>1092</v>
      </c>
      <c r="I483" s="256">
        <v>51</v>
      </c>
      <c r="J483" s="256">
        <v>26161.470588235294</v>
      </c>
      <c r="K483" s="614">
        <f t="shared" si="34"/>
        <v>1334235</v>
      </c>
      <c r="L483" s="39" t="s">
        <v>159</v>
      </c>
      <c r="M483" s="724" t="s">
        <v>157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94"/>
      <c r="AB483" s="198"/>
      <c r="AC483" s="198"/>
      <c r="AD483" s="198"/>
    </row>
    <row r="484" spans="1:30" s="606" customFormat="1" ht="15.75" customHeight="1">
      <c r="A484" s="204" t="str">
        <f>IF(B484&lt;&gt;"",IF(AND(B484&gt;=_TM1,B484&lt;=_TM2,OR(TH!L484="1111",TH!M484="1111")),TH!D484,""),"")</f>
        <v/>
      </c>
      <c r="B484" s="36">
        <f t="shared" si="35"/>
        <v>5</v>
      </c>
      <c r="C484" s="191">
        <f t="shared" ref="C484:C507" si="36">E484</f>
        <v>40691</v>
      </c>
      <c r="D484" s="191" t="s">
        <v>1119</v>
      </c>
      <c r="E484" s="191">
        <v>40691</v>
      </c>
      <c r="F484" s="192" t="s">
        <v>895</v>
      </c>
      <c r="G484" s="498"/>
      <c r="H484" s="628" t="s">
        <v>1092</v>
      </c>
      <c r="I484" s="256">
        <v>406</v>
      </c>
      <c r="J484" s="256">
        <v>25075.512315270935</v>
      </c>
      <c r="K484" s="614">
        <f t="shared" si="34"/>
        <v>10180658</v>
      </c>
      <c r="L484" s="39" t="s">
        <v>159</v>
      </c>
      <c r="M484" s="724" t="s">
        <v>157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94"/>
      <c r="AB484" s="198"/>
      <c r="AC484" s="198"/>
      <c r="AD484" s="198"/>
    </row>
    <row r="485" spans="1:30" s="606" customFormat="1" ht="15.75" customHeight="1">
      <c r="A485" s="204" t="str">
        <f>IF(B485&lt;&gt;"",IF(AND(B485&gt;=_TM1,B485&lt;=_TM2,OR(TH!L485="1111",TH!M485="1111")),TH!D485,""),"")</f>
        <v/>
      </c>
      <c r="B485" s="36">
        <f t="shared" si="35"/>
        <v>5</v>
      </c>
      <c r="C485" s="191">
        <f t="shared" si="36"/>
        <v>40691</v>
      </c>
      <c r="D485" s="191" t="s">
        <v>1119</v>
      </c>
      <c r="E485" s="191">
        <v>40691</v>
      </c>
      <c r="F485" s="192" t="s">
        <v>896</v>
      </c>
      <c r="G485" s="498"/>
      <c r="H485" s="628" t="s">
        <v>1092</v>
      </c>
      <c r="I485" s="256">
        <v>50</v>
      </c>
      <c r="J485" s="256">
        <v>5808.52</v>
      </c>
      <c r="K485" s="614">
        <f t="shared" si="34"/>
        <v>290426</v>
      </c>
      <c r="L485" s="39" t="s">
        <v>159</v>
      </c>
      <c r="M485" s="724" t="s">
        <v>157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94"/>
      <c r="AB485" s="198"/>
      <c r="AC485" s="198"/>
      <c r="AD485" s="198"/>
    </row>
    <row r="486" spans="1:30" s="606" customFormat="1" ht="15.75" customHeight="1">
      <c r="A486" s="204" t="str">
        <f>IF(B486&lt;&gt;"",IF(AND(B486&gt;=_TM1,B486&lt;=_TM2,OR(TH!L486="1111",TH!M486="1111")),TH!D486,""),"")</f>
        <v/>
      </c>
      <c r="B486" s="36">
        <f t="shared" si="35"/>
        <v>5</v>
      </c>
      <c r="C486" s="191">
        <f t="shared" si="36"/>
        <v>40691</v>
      </c>
      <c r="D486" s="191" t="s">
        <v>1119</v>
      </c>
      <c r="E486" s="191">
        <v>40691</v>
      </c>
      <c r="F486" s="192" t="s">
        <v>897</v>
      </c>
      <c r="G486" s="498"/>
      <c r="H486" s="628" t="s">
        <v>1092</v>
      </c>
      <c r="I486" s="256">
        <v>68</v>
      </c>
      <c r="J486" s="256">
        <v>2471.7647058823532</v>
      </c>
      <c r="K486" s="614">
        <f t="shared" si="34"/>
        <v>168080</v>
      </c>
      <c r="L486" s="39" t="s">
        <v>159</v>
      </c>
      <c r="M486" s="724" t="s">
        <v>157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94"/>
      <c r="AB486" s="198"/>
      <c r="AC486" s="198"/>
      <c r="AD486" s="198"/>
    </row>
    <row r="487" spans="1:30" s="606" customFormat="1" ht="15.75" customHeight="1">
      <c r="A487" s="204" t="str">
        <f>IF(B487&lt;&gt;"",IF(AND(B487&gt;=_TM1,B487&lt;=_TM2,OR(TH!L487="1111",TH!M487="1111")),TH!D487,""),"")</f>
        <v/>
      </c>
      <c r="B487" s="36">
        <f t="shared" si="35"/>
        <v>5</v>
      </c>
      <c r="C487" s="191">
        <f t="shared" si="36"/>
        <v>40691</v>
      </c>
      <c r="D487" s="191" t="s">
        <v>1119</v>
      </c>
      <c r="E487" s="191">
        <v>40691</v>
      </c>
      <c r="F487" s="192" t="s">
        <v>898</v>
      </c>
      <c r="G487" s="498"/>
      <c r="H487" s="628" t="s">
        <v>1092</v>
      </c>
      <c r="I487" s="256">
        <v>300</v>
      </c>
      <c r="J487" s="256">
        <v>2471.7633333333333</v>
      </c>
      <c r="K487" s="614">
        <f t="shared" si="34"/>
        <v>741529</v>
      </c>
      <c r="L487" s="39" t="s">
        <v>159</v>
      </c>
      <c r="M487" s="724" t="s">
        <v>157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94"/>
      <c r="AB487" s="198"/>
      <c r="AC487" s="198"/>
      <c r="AD487" s="198"/>
    </row>
    <row r="488" spans="1:30" s="606" customFormat="1" ht="15.75" customHeight="1">
      <c r="A488" s="204" t="str">
        <f>IF(B488&lt;&gt;"",IF(AND(B488&gt;=_TM1,B488&lt;=_TM2,OR(TH!L488="1111",TH!M488="1111")),TH!D488,""),"")</f>
        <v/>
      </c>
      <c r="B488" s="36">
        <f t="shared" si="35"/>
        <v>5</v>
      </c>
      <c r="C488" s="191">
        <f t="shared" si="36"/>
        <v>40691</v>
      </c>
      <c r="D488" s="191" t="s">
        <v>1120</v>
      </c>
      <c r="E488" s="191">
        <v>40691</v>
      </c>
      <c r="F488" s="192" t="s">
        <v>899</v>
      </c>
      <c r="G488" s="498"/>
      <c r="H488" s="628" t="s">
        <v>1092</v>
      </c>
      <c r="I488" s="256">
        <v>40</v>
      </c>
      <c r="J488" s="256">
        <v>2471.7750000000001</v>
      </c>
      <c r="K488" s="614">
        <f t="shared" si="34"/>
        <v>98871</v>
      </c>
      <c r="L488" s="39" t="s">
        <v>159</v>
      </c>
      <c r="M488" s="724" t="s">
        <v>157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94"/>
      <c r="AB488" s="198"/>
      <c r="AC488" s="198"/>
      <c r="AD488" s="198"/>
    </row>
    <row r="489" spans="1:30" s="606" customFormat="1" ht="15.75" customHeight="1">
      <c r="A489" s="204" t="str">
        <f>IF(B489&lt;&gt;"",IF(AND(B489&gt;=_TM1,B489&lt;=_TM2,OR(TH!L489="1111",TH!M489="1111")),TH!D489,""),"")</f>
        <v/>
      </c>
      <c r="B489" s="36">
        <f t="shared" si="35"/>
        <v>5</v>
      </c>
      <c r="C489" s="191">
        <f t="shared" si="36"/>
        <v>40691</v>
      </c>
      <c r="D489" s="191" t="s">
        <v>1120</v>
      </c>
      <c r="E489" s="191">
        <v>40691</v>
      </c>
      <c r="F489" s="192" t="s">
        <v>900</v>
      </c>
      <c r="G489" s="498"/>
      <c r="H489" s="628" t="s">
        <v>1092</v>
      </c>
      <c r="I489" s="256">
        <v>34</v>
      </c>
      <c r="J489" s="256">
        <v>3584</v>
      </c>
      <c r="K489" s="614">
        <f t="shared" si="34"/>
        <v>121856</v>
      </c>
      <c r="L489" s="39" t="s">
        <v>159</v>
      </c>
      <c r="M489" s="724" t="s">
        <v>157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94"/>
      <c r="AB489" s="198"/>
      <c r="AC489" s="198"/>
      <c r="AD489" s="198"/>
    </row>
    <row r="490" spans="1:30" s="606" customFormat="1" ht="15.75" customHeight="1">
      <c r="A490" s="204" t="str">
        <f>IF(B490&lt;&gt;"",IF(AND(B490&gt;=_TM1,B490&lt;=_TM2,OR(TH!L490="1111",TH!M490="1111")),TH!D490,""),"")</f>
        <v/>
      </c>
      <c r="B490" s="36">
        <f t="shared" si="35"/>
        <v>5</v>
      </c>
      <c r="C490" s="191">
        <f t="shared" si="36"/>
        <v>40691</v>
      </c>
      <c r="D490" s="191" t="s">
        <v>1120</v>
      </c>
      <c r="E490" s="191">
        <v>40691</v>
      </c>
      <c r="F490" s="192" t="s">
        <v>901</v>
      </c>
      <c r="G490" s="498"/>
      <c r="H490" s="628" t="s">
        <v>1092</v>
      </c>
      <c r="I490" s="256">
        <v>140</v>
      </c>
      <c r="J490" s="256">
        <v>3584.0142857142855</v>
      </c>
      <c r="K490" s="614">
        <f t="shared" si="34"/>
        <v>501762</v>
      </c>
      <c r="L490" s="39" t="s">
        <v>159</v>
      </c>
      <c r="M490" s="724" t="s">
        <v>157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94"/>
      <c r="AB490" s="198"/>
      <c r="AC490" s="198"/>
      <c r="AD490" s="198"/>
    </row>
    <row r="491" spans="1:30" s="606" customFormat="1" ht="15.75" customHeight="1">
      <c r="A491" s="204" t="str">
        <f>IF(B491&lt;&gt;"",IF(AND(B491&gt;=_TM1,B491&lt;=_TM2,OR(TH!L491="1111",TH!M491="1111")),TH!D491,""),"")</f>
        <v/>
      </c>
      <c r="B491" s="36">
        <f t="shared" si="35"/>
        <v>5</v>
      </c>
      <c r="C491" s="191">
        <f t="shared" si="36"/>
        <v>40691</v>
      </c>
      <c r="D491" s="191" t="s">
        <v>1120</v>
      </c>
      <c r="E491" s="191">
        <v>40691</v>
      </c>
      <c r="F491" s="192" t="s">
        <v>902</v>
      </c>
      <c r="G491" s="498"/>
      <c r="H491" s="628" t="s">
        <v>1092</v>
      </c>
      <c r="I491" s="256">
        <v>140</v>
      </c>
      <c r="J491" s="256">
        <v>9372.5142857142855</v>
      </c>
      <c r="K491" s="614">
        <f t="shared" si="34"/>
        <v>1312152</v>
      </c>
      <c r="L491" s="39" t="s">
        <v>159</v>
      </c>
      <c r="M491" s="724" t="s">
        <v>157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94"/>
      <c r="AB491" s="198"/>
      <c r="AC491" s="198"/>
      <c r="AD491" s="198"/>
    </row>
    <row r="492" spans="1:30" s="606" customFormat="1" ht="15.75" customHeight="1">
      <c r="A492" s="204" t="str">
        <f>IF(B492&lt;&gt;"",IF(AND(B492&gt;=_TM1,B492&lt;=_TM2,OR(TH!L492="1111",TH!M492="1111")),TH!D492,""),"")</f>
        <v/>
      </c>
      <c r="B492" s="36">
        <f t="shared" si="35"/>
        <v>5</v>
      </c>
      <c r="C492" s="191">
        <f t="shared" si="36"/>
        <v>40691</v>
      </c>
      <c r="D492" s="191" t="s">
        <v>1120</v>
      </c>
      <c r="E492" s="191">
        <v>40691</v>
      </c>
      <c r="F492" s="192" t="s">
        <v>892</v>
      </c>
      <c r="G492" s="498"/>
      <c r="H492" s="628" t="s">
        <v>1092</v>
      </c>
      <c r="I492" s="256">
        <v>10</v>
      </c>
      <c r="J492" s="256">
        <v>13959.5</v>
      </c>
      <c r="K492" s="614">
        <f t="shared" si="34"/>
        <v>139595</v>
      </c>
      <c r="L492" s="39" t="s">
        <v>159</v>
      </c>
      <c r="M492" s="724" t="s">
        <v>157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94"/>
      <c r="AB492" s="198"/>
      <c r="AC492" s="198"/>
      <c r="AD492" s="198"/>
    </row>
    <row r="493" spans="1:30" s="606" customFormat="1" ht="15.75" customHeight="1">
      <c r="A493" s="204" t="str">
        <f>IF(B493&lt;&gt;"",IF(AND(B493&gt;=_TM1,B493&lt;=_TM2,OR(TH!L493="1111",TH!M493="1111")),TH!D493,""),"")</f>
        <v/>
      </c>
      <c r="B493" s="36">
        <f t="shared" si="35"/>
        <v>5</v>
      </c>
      <c r="C493" s="191">
        <f t="shared" si="36"/>
        <v>40691</v>
      </c>
      <c r="D493" s="191" t="s">
        <v>1120</v>
      </c>
      <c r="E493" s="191">
        <v>40691</v>
      </c>
      <c r="F493" s="192" t="s">
        <v>903</v>
      </c>
      <c r="G493" s="498"/>
      <c r="H493" s="628" t="s">
        <v>1092</v>
      </c>
      <c r="I493" s="256">
        <v>68</v>
      </c>
      <c r="J493" s="256">
        <v>9979.5147058823532</v>
      </c>
      <c r="K493" s="614">
        <f t="shared" si="34"/>
        <v>678607</v>
      </c>
      <c r="L493" s="39" t="s">
        <v>159</v>
      </c>
      <c r="M493" s="724" t="s">
        <v>157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94"/>
      <c r="AB493" s="198"/>
      <c r="AC493" s="198"/>
      <c r="AD493" s="198"/>
    </row>
    <row r="494" spans="1:30" s="606" customFormat="1" ht="15.75" customHeight="1">
      <c r="A494" s="204" t="str">
        <f>IF(B494&lt;&gt;"",IF(AND(B494&gt;=_TM1,B494&lt;=_TM2,OR(TH!L494="1111",TH!M494="1111")),TH!D494,""),"")</f>
        <v/>
      </c>
      <c r="B494" s="36">
        <f t="shared" si="35"/>
        <v>5</v>
      </c>
      <c r="C494" s="191">
        <f t="shared" si="36"/>
        <v>40691</v>
      </c>
      <c r="D494" s="191" t="s">
        <v>1120</v>
      </c>
      <c r="E494" s="191">
        <v>40691</v>
      </c>
      <c r="F494" s="192" t="s">
        <v>904</v>
      </c>
      <c r="G494" s="498"/>
      <c r="H494" s="628" t="s">
        <v>1092</v>
      </c>
      <c r="I494" s="256">
        <v>300</v>
      </c>
      <c r="J494" s="256">
        <v>12946.513333333334</v>
      </c>
      <c r="K494" s="614">
        <f t="shared" si="34"/>
        <v>3883954</v>
      </c>
      <c r="L494" s="39" t="s">
        <v>159</v>
      </c>
      <c r="M494" s="724" t="s">
        <v>157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94"/>
      <c r="AB494" s="198"/>
      <c r="AC494" s="198"/>
      <c r="AD494" s="198"/>
    </row>
    <row r="495" spans="1:30" s="606" customFormat="1" ht="15.75" customHeight="1">
      <c r="A495" s="204" t="str">
        <f>IF(B495&lt;&gt;"",IF(AND(B495&gt;=_TM1,B495&lt;=_TM2,OR(TH!L495="1111",TH!M495="1111")),TH!D495,""),"")</f>
        <v/>
      </c>
      <c r="B495" s="36">
        <f t="shared" si="35"/>
        <v>5</v>
      </c>
      <c r="C495" s="191">
        <f t="shared" si="36"/>
        <v>40691</v>
      </c>
      <c r="D495" s="191" t="s">
        <v>1120</v>
      </c>
      <c r="E495" s="191">
        <v>40691</v>
      </c>
      <c r="F495" s="192" t="s">
        <v>905</v>
      </c>
      <c r="G495" s="498"/>
      <c r="H495" s="628" t="s">
        <v>1092</v>
      </c>
      <c r="I495" s="256">
        <v>40</v>
      </c>
      <c r="J495" s="256">
        <v>14589.525</v>
      </c>
      <c r="K495" s="614">
        <f t="shared" si="34"/>
        <v>583581</v>
      </c>
      <c r="L495" s="39" t="s">
        <v>159</v>
      </c>
      <c r="M495" s="724" t="s">
        <v>157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94"/>
      <c r="AB495" s="198"/>
      <c r="AC495" s="198"/>
      <c r="AD495" s="198"/>
    </row>
    <row r="496" spans="1:30" s="606" customFormat="1" ht="15.75" customHeight="1">
      <c r="A496" s="204" t="str">
        <f>IF(B496&lt;&gt;"",IF(AND(B496&gt;=_TM1,B496&lt;=_TM2,OR(TH!L496="1111",TH!M496="1111")),TH!D496,""),"")</f>
        <v/>
      </c>
      <c r="B496" s="36">
        <f t="shared" si="35"/>
        <v>5</v>
      </c>
      <c r="C496" s="191">
        <f t="shared" si="36"/>
        <v>40692</v>
      </c>
      <c r="D496" s="720" t="s">
        <v>1101</v>
      </c>
      <c r="E496" s="191">
        <v>40692</v>
      </c>
      <c r="F496" s="298" t="s">
        <v>478</v>
      </c>
      <c r="G496" s="498"/>
      <c r="H496" s="628" t="s">
        <v>1092</v>
      </c>
      <c r="I496" s="256">
        <v>943</v>
      </c>
      <c r="J496" s="256">
        <v>4592</v>
      </c>
      <c r="K496" s="614">
        <f t="shared" si="34"/>
        <v>4330256</v>
      </c>
      <c r="L496" s="39" t="s">
        <v>157</v>
      </c>
      <c r="M496" s="724" t="s">
        <v>151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>154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94"/>
      <c r="AB496" s="198"/>
      <c r="AC496" s="198"/>
      <c r="AD496" s="198"/>
    </row>
    <row r="497" spans="1:30" s="606" customFormat="1" ht="15.75" customHeight="1">
      <c r="A497" s="204" t="str">
        <f>IF(B497&lt;&gt;"",IF(AND(B497&gt;=_TM1,B497&lt;=_TM2,OR(TH!L497="1111",TH!M497="1111")),TH!D497,""),"")</f>
        <v/>
      </c>
      <c r="B497" s="36">
        <f t="shared" si="35"/>
        <v>5</v>
      </c>
      <c r="C497" s="191">
        <f t="shared" si="36"/>
        <v>40692</v>
      </c>
      <c r="D497" s="720" t="s">
        <v>1101</v>
      </c>
      <c r="E497" s="191">
        <v>40692</v>
      </c>
      <c r="F497" s="298" t="s">
        <v>387</v>
      </c>
      <c r="G497" s="498"/>
      <c r="H497" s="628" t="s">
        <v>1092</v>
      </c>
      <c r="I497" s="839">
        <v>303</v>
      </c>
      <c r="J497" s="256">
        <v>4449</v>
      </c>
      <c r="K497" s="614">
        <f t="shared" si="34"/>
        <v>1348047</v>
      </c>
      <c r="L497" s="39" t="s">
        <v>157</v>
      </c>
      <c r="M497" s="724" t="s">
        <v>151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154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>x</v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94"/>
      <c r="AB497" s="198"/>
      <c r="AC497" s="198"/>
      <c r="AD497" s="198"/>
    </row>
    <row r="498" spans="1:30" s="606" customFormat="1" ht="15.75" customHeight="1">
      <c r="A498" s="204" t="str">
        <f>IF(B498&lt;&gt;"",IF(AND(B498&gt;=_TM1,B498&lt;=_TM2,OR(TH!L498="1111",TH!M498="1111")),TH!D498,""),"")</f>
        <v/>
      </c>
      <c r="B498" s="36">
        <f t="shared" si="35"/>
        <v>5</v>
      </c>
      <c r="C498" s="191">
        <f t="shared" si="36"/>
        <v>40692</v>
      </c>
      <c r="D498" s="720" t="s">
        <v>1101</v>
      </c>
      <c r="E498" s="191">
        <v>40692</v>
      </c>
      <c r="F498" s="189" t="s">
        <v>497</v>
      </c>
      <c r="G498" s="498"/>
      <c r="H498" s="628" t="s">
        <v>1092</v>
      </c>
      <c r="I498" s="260">
        <v>30</v>
      </c>
      <c r="J498" s="260">
        <v>11587</v>
      </c>
      <c r="K498" s="614">
        <f t="shared" si="34"/>
        <v>347610</v>
      </c>
      <c r="L498" s="39" t="s">
        <v>157</v>
      </c>
      <c r="M498" s="724" t="s">
        <v>151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94"/>
      <c r="AB498" s="198"/>
      <c r="AC498" s="198"/>
      <c r="AD498" s="198"/>
    </row>
    <row r="499" spans="1:30" s="831" customFormat="1" ht="15.75" customHeight="1">
      <c r="A499" s="204" t="str">
        <f>IF(B499&lt;&gt;"",IF(AND(B499&gt;=_TM1,B499&lt;=_TM2,OR(TH!L499="1111",TH!M499="1111")),TH!D499,""),"")</f>
        <v/>
      </c>
      <c r="B499" s="36">
        <f t="shared" si="35"/>
        <v>5</v>
      </c>
      <c r="C499" s="191">
        <f t="shared" si="36"/>
        <v>40692</v>
      </c>
      <c r="D499" s="720" t="s">
        <v>1101</v>
      </c>
      <c r="E499" s="191">
        <v>40692</v>
      </c>
      <c r="F499" s="189" t="s">
        <v>583</v>
      </c>
      <c r="G499" s="498"/>
      <c r="H499" s="628" t="s">
        <v>1092</v>
      </c>
      <c r="I499" s="260">
        <v>101</v>
      </c>
      <c r="J499" s="260">
        <v>35566</v>
      </c>
      <c r="K499" s="614">
        <f t="shared" si="34"/>
        <v>3592166</v>
      </c>
      <c r="L499" s="39" t="s">
        <v>157</v>
      </c>
      <c r="M499" s="724" t="s">
        <v>151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>154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94"/>
      <c r="AB499" s="198"/>
      <c r="AC499" s="198"/>
      <c r="AD499" s="198"/>
    </row>
    <row r="500" spans="1:30" s="831" customFormat="1" ht="15.75" customHeight="1">
      <c r="A500" s="204" t="str">
        <f>IF(B500&lt;&gt;"",IF(AND(B500&gt;=_TM1,B500&lt;=_TM2,OR(TH!L500="1111",TH!M500="1111")),TH!D500,""),"")</f>
        <v/>
      </c>
      <c r="B500" s="36">
        <f t="shared" si="35"/>
        <v>5</v>
      </c>
      <c r="C500" s="191">
        <f t="shared" si="36"/>
        <v>40692</v>
      </c>
      <c r="D500" s="720" t="s">
        <v>1101</v>
      </c>
      <c r="E500" s="191">
        <v>40692</v>
      </c>
      <c r="F500" s="189" t="s">
        <v>636</v>
      </c>
      <c r="G500" s="498"/>
      <c r="H500" s="628" t="s">
        <v>1092</v>
      </c>
      <c r="I500" s="256">
        <v>101</v>
      </c>
      <c r="J500" s="256">
        <v>35812</v>
      </c>
      <c r="K500" s="614">
        <f t="shared" si="34"/>
        <v>3617012</v>
      </c>
      <c r="L500" s="39" t="s">
        <v>157</v>
      </c>
      <c r="M500" s="724" t="s">
        <v>151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>154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94"/>
      <c r="AB500" s="198"/>
      <c r="AC500" s="198"/>
      <c r="AD500" s="198"/>
    </row>
    <row r="501" spans="1:30" s="831" customFormat="1" ht="15.75" customHeight="1">
      <c r="A501" s="204" t="str">
        <f>IF(B501&lt;&gt;"",IF(AND(B501&gt;=_TM1,B501&lt;=_TM2,OR(TH!L501="1111",TH!M501="1111")),TH!D501,""),"")</f>
        <v/>
      </c>
      <c r="B501" s="36">
        <f t="shared" si="35"/>
        <v>5</v>
      </c>
      <c r="C501" s="191">
        <f t="shared" si="36"/>
        <v>40692</v>
      </c>
      <c r="D501" s="720" t="s">
        <v>1101</v>
      </c>
      <c r="E501" s="191">
        <v>40692</v>
      </c>
      <c r="F501" s="40" t="s">
        <v>591</v>
      </c>
      <c r="G501" s="498"/>
      <c r="H501" s="628" t="s">
        <v>1092</v>
      </c>
      <c r="I501" s="258">
        <v>10</v>
      </c>
      <c r="J501" s="258">
        <v>35301</v>
      </c>
      <c r="K501" s="614">
        <f t="shared" si="34"/>
        <v>353010</v>
      </c>
      <c r="L501" s="39" t="s">
        <v>157</v>
      </c>
      <c r="M501" s="724" t="s">
        <v>151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154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94"/>
      <c r="AB501" s="198"/>
      <c r="AC501" s="198"/>
      <c r="AD501" s="198"/>
    </row>
    <row r="502" spans="1:30" s="831" customFormat="1" ht="15.75" customHeight="1">
      <c r="A502" s="204" t="str">
        <f>IF(B502&lt;&gt;"",IF(AND(B502&gt;=_TM1,B502&lt;=_TM2,OR(TH!L502="1111",TH!M502="1111")),TH!D502,""),"")</f>
        <v/>
      </c>
      <c r="B502" s="36">
        <f t="shared" si="35"/>
        <v>5</v>
      </c>
      <c r="C502" s="191">
        <f t="shared" si="36"/>
        <v>40692</v>
      </c>
      <c r="D502" s="720" t="s">
        <v>1101</v>
      </c>
      <c r="E502" s="191">
        <v>40692</v>
      </c>
      <c r="F502" s="40" t="s">
        <v>622</v>
      </c>
      <c r="G502" s="498"/>
      <c r="H502" s="628" t="s">
        <v>1092</v>
      </c>
      <c r="I502" s="256">
        <v>8</v>
      </c>
      <c r="J502" s="256">
        <v>23906</v>
      </c>
      <c r="K502" s="614">
        <f t="shared" si="34"/>
        <v>191248</v>
      </c>
      <c r="L502" s="39" t="s">
        <v>157</v>
      </c>
      <c r="M502" s="724" t="s">
        <v>151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>154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94"/>
      <c r="AB502" s="198"/>
      <c r="AC502" s="198"/>
      <c r="AD502" s="198"/>
    </row>
    <row r="503" spans="1:30" s="831" customFormat="1" ht="15.75" customHeight="1">
      <c r="A503" s="204" t="str">
        <f>IF(B503&lt;&gt;"",IF(AND(B503&gt;=_TM1,B503&lt;=_TM2,OR(TH!L503="1111",TH!M503="1111")),TH!D503,""),"")</f>
        <v/>
      </c>
      <c r="B503" s="36">
        <f t="shared" si="35"/>
        <v>5</v>
      </c>
      <c r="C503" s="191">
        <f t="shared" si="36"/>
        <v>40692</v>
      </c>
      <c r="D503" s="720" t="s">
        <v>1101</v>
      </c>
      <c r="E503" s="191">
        <v>40692</v>
      </c>
      <c r="F503" s="40" t="s">
        <v>622</v>
      </c>
      <c r="G503" s="498"/>
      <c r="H503" s="628" t="s">
        <v>1092</v>
      </c>
      <c r="I503" s="256">
        <v>38</v>
      </c>
      <c r="J503" s="256">
        <v>23906</v>
      </c>
      <c r="K503" s="614">
        <f t="shared" si="34"/>
        <v>908428</v>
      </c>
      <c r="L503" s="39" t="s">
        <v>157</v>
      </c>
      <c r="M503" s="724" t="s">
        <v>151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>154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94"/>
      <c r="AB503" s="198"/>
      <c r="AC503" s="198"/>
      <c r="AD503" s="198"/>
    </row>
    <row r="504" spans="1:30" s="831" customFormat="1" ht="15.75" customHeight="1">
      <c r="A504" s="204" t="str">
        <f>IF(B504&lt;&gt;"",IF(AND(B504&gt;=_TM1,B504&lt;=_TM2,OR(TH!L504="1111",TH!M504="1111")),TH!D504,""),"")</f>
        <v/>
      </c>
      <c r="B504" s="36">
        <f t="shared" si="35"/>
        <v>5</v>
      </c>
      <c r="C504" s="191">
        <f t="shared" si="36"/>
        <v>40692</v>
      </c>
      <c r="D504" s="720" t="s">
        <v>1101</v>
      </c>
      <c r="E504" s="191">
        <v>40692</v>
      </c>
      <c r="F504" s="189" t="s">
        <v>583</v>
      </c>
      <c r="G504" s="498"/>
      <c r="H504" s="628" t="s">
        <v>1092</v>
      </c>
      <c r="I504" s="256">
        <v>23.5</v>
      </c>
      <c r="J504" s="256">
        <v>35566</v>
      </c>
      <c r="K504" s="614">
        <f t="shared" ref="K504" si="37">ROUND(I504*J504,0)</f>
        <v>835801</v>
      </c>
      <c r="L504" s="39" t="s">
        <v>157</v>
      </c>
      <c r="M504" s="724" t="s">
        <v>151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>154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94"/>
      <c r="AB504" s="198"/>
      <c r="AC504" s="198"/>
      <c r="AD504" s="198"/>
    </row>
    <row r="505" spans="1:30" s="831" customFormat="1" ht="15.75" customHeight="1">
      <c r="A505" s="204" t="str">
        <f>IF(B505&lt;&gt;"",IF(AND(B505&gt;=_TM1,B505&lt;=_TM2,OR(TH!L505="1111",TH!M505="1111")),TH!D505,""),"")</f>
        <v/>
      </c>
      <c r="B505" s="36">
        <f t="shared" si="35"/>
        <v>5</v>
      </c>
      <c r="C505" s="720">
        <f t="shared" si="36"/>
        <v>40694</v>
      </c>
      <c r="D505" s="184" t="s">
        <v>687</v>
      </c>
      <c r="E505" s="725">
        <v>40694</v>
      </c>
      <c r="F505" s="721" t="str">
        <f>"Thanh toán tiền lương tháng "&amp;MONTH(E505)&amp;"/"&amp;YEAR(E505)</f>
        <v>Thanh toán tiền lương tháng 5/2011</v>
      </c>
      <c r="G505" s="722"/>
      <c r="H505" s="628" t="s">
        <v>363</v>
      </c>
      <c r="I505" s="494"/>
      <c r="J505" s="494"/>
      <c r="K505" s="723">
        <v>13250000</v>
      </c>
      <c r="L505" s="724" t="s">
        <v>262</v>
      </c>
      <c r="M505" s="724" t="s">
        <v>46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>x</v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94"/>
      <c r="AB505" s="606"/>
      <c r="AC505" s="606"/>
      <c r="AD505" s="606"/>
    </row>
    <row r="506" spans="1:30" s="831" customFormat="1" ht="15.75" customHeight="1">
      <c r="A506" s="204" t="str">
        <f>IF(B506&lt;&gt;"",IF(AND(B506&gt;=_TM1,B506&lt;=_TM2,OR(TH!L506="1111",TH!M506="1111")),TH!D506,""),"")</f>
        <v/>
      </c>
      <c r="B506" s="36">
        <f t="shared" si="35"/>
        <v>5</v>
      </c>
      <c r="C506" s="720">
        <f t="shared" si="36"/>
        <v>40694</v>
      </c>
      <c r="D506" s="720" t="s">
        <v>337</v>
      </c>
      <c r="E506" s="725">
        <v>40694</v>
      </c>
      <c r="F506" s="721" t="s">
        <v>947</v>
      </c>
      <c r="G506" s="722"/>
      <c r="H506" s="628"/>
      <c r="I506" s="494"/>
      <c r="J506" s="494"/>
      <c r="K506" s="723">
        <v>7025000</v>
      </c>
      <c r="L506" s="724" t="s">
        <v>75</v>
      </c>
      <c r="M506" s="724" t="s">
        <v>262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>642</v>
      </c>
      <c r="V506" s="52" t="str">
        <f>IF(OR(TH!L506=TH!$V$7,M506=TH!$V$7),"x","")</f>
        <v>x</v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94"/>
      <c r="AB506" s="606"/>
      <c r="AC506" s="606"/>
      <c r="AD506" s="606"/>
    </row>
    <row r="507" spans="1:30" s="831" customFormat="1" ht="15.75" customHeight="1">
      <c r="A507" s="204" t="str">
        <f>IF(B507&lt;&gt;"",IF(AND(B507&gt;=_TM1,B507&lt;=_TM2,OR(TH!L507="1111",TH!M507="1111")),TH!D507,""),"")</f>
        <v/>
      </c>
      <c r="B507" s="36">
        <f t="shared" si="35"/>
        <v>5</v>
      </c>
      <c r="C507" s="720">
        <f t="shared" si="36"/>
        <v>40694</v>
      </c>
      <c r="D507" s="720" t="s">
        <v>337</v>
      </c>
      <c r="E507" s="725">
        <v>40694</v>
      </c>
      <c r="F507" s="721" t="s">
        <v>785</v>
      </c>
      <c r="G507" s="722"/>
      <c r="H507" s="628"/>
      <c r="I507" s="494"/>
      <c r="J507" s="494"/>
      <c r="K507" s="723">
        <v>6225000</v>
      </c>
      <c r="L507" s="724" t="s">
        <v>157</v>
      </c>
      <c r="M507" s="724" t="s">
        <v>262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>154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94"/>
      <c r="AB507" s="606"/>
      <c r="AC507" s="606"/>
      <c r="AD507" s="606"/>
    </row>
    <row r="508" spans="1:30" s="831" customFormat="1" ht="15.75" customHeight="1">
      <c r="A508" s="204" t="str">
        <f>IF(B508&lt;&gt;"",IF(AND(B508&gt;=_TM1,B508&lt;=_TM2,OR(TH!L508="1111",TH!M508="1111")),TH!D508,""),"")</f>
        <v/>
      </c>
      <c r="B508" s="36">
        <f t="shared" si="35"/>
        <v>5</v>
      </c>
      <c r="C508" s="191">
        <v>40694</v>
      </c>
      <c r="D508" s="191" t="s">
        <v>954</v>
      </c>
      <c r="E508" s="191">
        <v>40694</v>
      </c>
      <c r="F508" s="192" t="s">
        <v>1207</v>
      </c>
      <c r="G508" s="498" t="s">
        <v>864</v>
      </c>
      <c r="H508" s="210" t="s">
        <v>906</v>
      </c>
      <c r="I508" s="256"/>
      <c r="J508" s="256"/>
      <c r="K508" s="614">
        <v>9705088</v>
      </c>
      <c r="L508" s="194" t="s">
        <v>46</v>
      </c>
      <c r="M508" s="194" t="s">
        <v>259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94"/>
      <c r="AB508" s="833"/>
      <c r="AC508" s="198"/>
      <c r="AD508" s="198"/>
    </row>
    <row r="509" spans="1:30" s="831" customFormat="1" ht="15.75" customHeight="1">
      <c r="A509" s="204" t="str">
        <f>IF(B509&lt;&gt;"",IF(AND(B509&gt;=_TM1,B509&lt;=_TM2,OR(TH!L509="1111",TH!M509="1111")),TH!D509,""),"")</f>
        <v/>
      </c>
      <c r="B509" s="36">
        <f t="shared" si="35"/>
        <v>5</v>
      </c>
      <c r="C509" s="191">
        <v>40694</v>
      </c>
      <c r="D509" s="191" t="s">
        <v>950</v>
      </c>
      <c r="E509" s="191">
        <v>40694</v>
      </c>
      <c r="F509" s="192" t="s">
        <v>909</v>
      </c>
      <c r="G509" s="498" t="s">
        <v>865</v>
      </c>
      <c r="H509" s="7" t="s">
        <v>910</v>
      </c>
      <c r="I509" s="256"/>
      <c r="J509" s="256"/>
      <c r="K509" s="614">
        <v>481008</v>
      </c>
      <c r="L509" s="194" t="s">
        <v>46</v>
      </c>
      <c r="M509" s="194" t="s">
        <v>259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>x</v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94"/>
      <c r="AB509" s="833"/>
      <c r="AC509" s="198"/>
      <c r="AD509" s="198"/>
    </row>
    <row r="510" spans="1:30" s="831" customFormat="1" ht="15.75" customHeight="1">
      <c r="A510" s="204" t="str">
        <f>IF(B510&lt;&gt;"",IF(AND(B510&gt;=_TM1,B510&lt;=_TM2,OR(TH!L510="1111",TH!M510="1111")),TH!D510,""),"")</f>
        <v/>
      </c>
      <c r="B510" s="36">
        <f t="shared" si="35"/>
        <v>5</v>
      </c>
      <c r="C510" s="191">
        <v>40694</v>
      </c>
      <c r="D510" s="191" t="s">
        <v>971</v>
      </c>
      <c r="E510" s="191">
        <v>40694</v>
      </c>
      <c r="F510" s="192" t="s">
        <v>907</v>
      </c>
      <c r="G510" s="498" t="s">
        <v>864</v>
      </c>
      <c r="H510" s="210" t="s">
        <v>906</v>
      </c>
      <c r="I510" s="256">
        <v>943</v>
      </c>
      <c r="J510" s="256">
        <v>7229</v>
      </c>
      <c r="K510" s="614">
        <v>6816947</v>
      </c>
      <c r="L510" s="194" t="s">
        <v>259</v>
      </c>
      <c r="M510" s="194" t="s">
        <v>167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94"/>
      <c r="AB510" s="833"/>
      <c r="AC510" s="198"/>
      <c r="AD510" s="198"/>
    </row>
    <row r="511" spans="1:30" s="831" customFormat="1" ht="15.75" customHeight="1">
      <c r="A511" s="204" t="str">
        <f>IF(B511&lt;&gt;"",IF(AND(B511&gt;=_TM1,B511&lt;=_TM2,OR(TH!L511="1111",TH!M511="1111")),TH!D511,""),"")</f>
        <v/>
      </c>
      <c r="B511" s="36">
        <f t="shared" si="35"/>
        <v>5</v>
      </c>
      <c r="C511" s="191">
        <v>40694</v>
      </c>
      <c r="D511" s="191" t="s">
        <v>971</v>
      </c>
      <c r="E511" s="191">
        <v>40694</v>
      </c>
      <c r="F511" s="192" t="s">
        <v>908</v>
      </c>
      <c r="G511" s="498" t="s">
        <v>864</v>
      </c>
      <c r="H511" s="210" t="s">
        <v>906</v>
      </c>
      <c r="I511" s="256">
        <v>303</v>
      </c>
      <c r="J511" s="256">
        <v>6620</v>
      </c>
      <c r="K511" s="614">
        <v>2005860</v>
      </c>
      <c r="L511" s="194" t="s">
        <v>259</v>
      </c>
      <c r="M511" s="194" t="s">
        <v>167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94"/>
      <c r="AB511" s="833"/>
      <c r="AC511" s="198"/>
      <c r="AD511" s="198"/>
    </row>
    <row r="512" spans="1:30" s="831" customFormat="1" ht="15.75" customHeight="1">
      <c r="A512" s="204" t="str">
        <f>IF(B512&lt;&gt;"",IF(AND(B512&gt;=_TM1,B512&lt;=_TM2,OR(TH!L512="1111",TH!M512="1111")),TH!D512,""),"")</f>
        <v/>
      </c>
      <c r="B512" s="36">
        <f t="shared" si="35"/>
        <v>5</v>
      </c>
      <c r="C512" s="191">
        <v>40694</v>
      </c>
      <c r="D512" s="191" t="s">
        <v>971</v>
      </c>
      <c r="E512" s="191">
        <v>40694</v>
      </c>
      <c r="F512" s="192" t="s">
        <v>835</v>
      </c>
      <c r="G512" s="498" t="s">
        <v>864</v>
      </c>
      <c r="H512" s="210" t="s">
        <v>906</v>
      </c>
      <c r="I512" s="256"/>
      <c r="J512" s="256"/>
      <c r="K512" s="614">
        <v>882281</v>
      </c>
      <c r="L512" s="194" t="s">
        <v>259</v>
      </c>
      <c r="M512" s="194" t="s">
        <v>731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94"/>
      <c r="AB512" s="833"/>
      <c r="AC512" s="198"/>
      <c r="AD512" s="198"/>
    </row>
    <row r="513" spans="1:30" s="831" customFormat="1" ht="15.75" customHeight="1">
      <c r="A513" s="204" t="str">
        <f>IF(B513&lt;&gt;"",IF(AND(B513&gt;=_TM1,B513&lt;=_TM2,OR(TH!L513="1111",TH!M513="1111")),TH!D513,""),"")</f>
        <v/>
      </c>
      <c r="B513" s="36">
        <f t="shared" si="35"/>
        <v>5</v>
      </c>
      <c r="C513" s="191">
        <v>40694</v>
      </c>
      <c r="D513" s="191" t="s">
        <v>972</v>
      </c>
      <c r="E513" s="191">
        <v>40694</v>
      </c>
      <c r="F513" s="192" t="s">
        <v>909</v>
      </c>
      <c r="G513" s="498" t="s">
        <v>865</v>
      </c>
      <c r="H513" s="7" t="s">
        <v>910</v>
      </c>
      <c r="I513" s="256">
        <v>30</v>
      </c>
      <c r="J513" s="256">
        <v>14576</v>
      </c>
      <c r="K513" s="614">
        <v>437280</v>
      </c>
      <c r="L513" s="194" t="s">
        <v>259</v>
      </c>
      <c r="M513" s="194" t="s">
        <v>167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94"/>
      <c r="AB513" s="833"/>
      <c r="AC513" s="198"/>
      <c r="AD513" s="198"/>
    </row>
    <row r="514" spans="1:30" s="831" customFormat="1" ht="15.75" customHeight="1">
      <c r="A514" s="204" t="str">
        <f>IF(B514&lt;&gt;"",IF(AND(B514&gt;=_TM1,B514&lt;=_TM2,OR(TH!L514="1111",TH!M514="1111")),TH!D514,""),"")</f>
        <v/>
      </c>
      <c r="B514" s="36">
        <f t="shared" si="35"/>
        <v>5</v>
      </c>
      <c r="C514" s="191">
        <v>40694</v>
      </c>
      <c r="D514" s="191" t="s">
        <v>972</v>
      </c>
      <c r="E514" s="191">
        <v>40694</v>
      </c>
      <c r="F514" s="192" t="s">
        <v>848</v>
      </c>
      <c r="G514" s="498" t="s">
        <v>865</v>
      </c>
      <c r="H514" s="7" t="s">
        <v>910</v>
      </c>
      <c r="I514" s="258"/>
      <c r="J514" s="258"/>
      <c r="K514" s="614">
        <v>43728</v>
      </c>
      <c r="L514" s="194" t="s">
        <v>259</v>
      </c>
      <c r="M514" s="194" t="s">
        <v>731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94"/>
      <c r="AB514" s="833"/>
      <c r="AC514" s="198"/>
      <c r="AD514" s="198"/>
    </row>
    <row r="515" spans="1:30" s="831" customFormat="1" ht="15.75" customHeight="1">
      <c r="A515" s="204" t="str">
        <f>IF(B515&lt;&gt;"",IF(AND(B515&gt;=_TM1,B515&lt;=_TM2,OR(TH!L515="1111",TH!M515="1111")),TH!D515,""),"")</f>
        <v/>
      </c>
      <c r="B515" s="36">
        <f t="shared" si="35"/>
        <v>5</v>
      </c>
      <c r="C515" s="191">
        <v>40694</v>
      </c>
      <c r="D515" s="191" t="s">
        <v>971</v>
      </c>
      <c r="E515" s="191">
        <v>40694</v>
      </c>
      <c r="F515" s="192" t="s">
        <v>907</v>
      </c>
      <c r="G515" s="498" t="s">
        <v>864</v>
      </c>
      <c r="H515" s="210" t="s">
        <v>906</v>
      </c>
      <c r="I515" s="256">
        <v>943</v>
      </c>
      <c r="J515" s="256">
        <v>5951.5132555673381</v>
      </c>
      <c r="K515" s="614">
        <f t="shared" ref="K515:K520" si="38">ROUND(I515*J515,0)</f>
        <v>5612277</v>
      </c>
      <c r="L515" s="854" t="s">
        <v>165</v>
      </c>
      <c r="M515" s="854" t="s">
        <v>159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>632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94"/>
      <c r="AB515" s="833"/>
      <c r="AC515" s="198"/>
      <c r="AD515" s="198"/>
    </row>
    <row r="516" spans="1:30" s="831" customFormat="1" ht="15.75" customHeight="1">
      <c r="A516" s="204" t="str">
        <f>IF(B516&lt;&gt;"",IF(AND(B516&gt;=_TM1,B516&lt;=_TM2,OR(TH!L516="1111",TH!M516="1111")),TH!D516,""),"")</f>
        <v/>
      </c>
      <c r="B516" s="36">
        <f t="shared" si="35"/>
        <v>5</v>
      </c>
      <c r="C516" s="191">
        <v>40694</v>
      </c>
      <c r="D516" s="191" t="s">
        <v>971</v>
      </c>
      <c r="E516" s="191">
        <v>40694</v>
      </c>
      <c r="F516" s="192" t="s">
        <v>908</v>
      </c>
      <c r="G516" s="498" t="s">
        <v>864</v>
      </c>
      <c r="H516" s="210" t="s">
        <v>906</v>
      </c>
      <c r="I516" s="256">
        <v>303</v>
      </c>
      <c r="J516" s="256">
        <v>5808.5115511551157</v>
      </c>
      <c r="K516" s="614">
        <f t="shared" si="38"/>
        <v>1759979</v>
      </c>
      <c r="L516" s="854" t="s">
        <v>165</v>
      </c>
      <c r="M516" s="854" t="s">
        <v>159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632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94"/>
      <c r="AB516" s="833"/>
      <c r="AC516" s="198"/>
      <c r="AD516" s="198"/>
    </row>
    <row r="517" spans="1:30" s="831" customFormat="1" ht="15.75" customHeight="1">
      <c r="A517" s="204" t="str">
        <f>IF(B517&lt;&gt;"",IF(AND(B517&gt;=_TM1,B517&lt;=_TM2,OR(TH!L517="1111",TH!M517="1111")),TH!D517,""),"")</f>
        <v/>
      </c>
      <c r="B517" s="36">
        <f t="shared" si="35"/>
        <v>5</v>
      </c>
      <c r="C517" s="191">
        <v>40694</v>
      </c>
      <c r="D517" s="191" t="s">
        <v>972</v>
      </c>
      <c r="E517" s="191">
        <v>40694</v>
      </c>
      <c r="F517" s="192" t="s">
        <v>909</v>
      </c>
      <c r="G517" s="498" t="s">
        <v>865</v>
      </c>
      <c r="H517" s="7" t="s">
        <v>910</v>
      </c>
      <c r="I517" s="256">
        <v>30</v>
      </c>
      <c r="J517" s="256">
        <v>12946.5</v>
      </c>
      <c r="K517" s="614">
        <f t="shared" si="38"/>
        <v>388395</v>
      </c>
      <c r="L517" s="854" t="s">
        <v>165</v>
      </c>
      <c r="M517" s="854" t="s">
        <v>159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>632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94"/>
      <c r="AB517" s="833"/>
      <c r="AC517" s="198"/>
      <c r="AD517" s="198"/>
    </row>
    <row r="518" spans="1:30" s="831" customFormat="1" ht="15.75" customHeight="1">
      <c r="A518" s="204" t="str">
        <f>IF(B518&lt;&gt;"",IF(AND(B518&gt;=_TM1,B518&lt;=_TM2,OR(TH!L518="1111",TH!M518="1111")),TH!D518,""),"")</f>
        <v/>
      </c>
      <c r="B518" s="36">
        <f t="shared" si="35"/>
        <v>5</v>
      </c>
      <c r="C518" s="191">
        <f>E518</f>
        <v>40694</v>
      </c>
      <c r="D518" s="191" t="s">
        <v>1121</v>
      </c>
      <c r="E518" s="191">
        <v>40694</v>
      </c>
      <c r="F518" s="192" t="s">
        <v>907</v>
      </c>
      <c r="G518" s="498"/>
      <c r="H518" s="628" t="s">
        <v>1092</v>
      </c>
      <c r="I518" s="256">
        <v>943</v>
      </c>
      <c r="J518" s="256">
        <v>5951.5132555673381</v>
      </c>
      <c r="K518" s="614">
        <f t="shared" si="38"/>
        <v>5612277</v>
      </c>
      <c r="L518" s="39" t="s">
        <v>159</v>
      </c>
      <c r="M518" s="724" t="s">
        <v>157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94"/>
      <c r="AB518" s="198"/>
      <c r="AC518" s="198"/>
      <c r="AD518" s="198"/>
    </row>
    <row r="519" spans="1:30" s="831" customFormat="1" ht="15.75" customHeight="1">
      <c r="A519" s="204" t="str">
        <f>IF(B519&lt;&gt;"",IF(AND(B519&gt;=_TM1,B519&lt;=_TM2,OR(TH!L519="1111",TH!M519="1111")),TH!D519,""),"")</f>
        <v/>
      </c>
      <c r="B519" s="36">
        <f t="shared" si="35"/>
        <v>5</v>
      </c>
      <c r="C519" s="191">
        <f>E519</f>
        <v>40694</v>
      </c>
      <c r="D519" s="191" t="s">
        <v>1121</v>
      </c>
      <c r="E519" s="191">
        <v>40694</v>
      </c>
      <c r="F519" s="192" t="s">
        <v>908</v>
      </c>
      <c r="G519" s="498"/>
      <c r="H519" s="628" t="s">
        <v>1092</v>
      </c>
      <c r="I519" s="256">
        <v>303</v>
      </c>
      <c r="J519" s="256">
        <v>5808.5115511551157</v>
      </c>
      <c r="K519" s="614">
        <f t="shared" si="38"/>
        <v>1759979</v>
      </c>
      <c r="L519" s="39" t="s">
        <v>159</v>
      </c>
      <c r="M519" s="724" t="s">
        <v>157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94"/>
      <c r="AB519" s="198"/>
      <c r="AC519" s="198"/>
      <c r="AD519" s="198"/>
    </row>
    <row r="520" spans="1:30" s="831" customFormat="1" ht="15.75" customHeight="1">
      <c r="A520" s="204" t="str">
        <f>IF(B520&lt;&gt;"",IF(AND(B520&gt;=_TM1,B520&lt;=_TM2,OR(TH!L520="1111",TH!M520="1111")),TH!D520,""),"")</f>
        <v/>
      </c>
      <c r="B520" s="36">
        <f t="shared" si="35"/>
        <v>5</v>
      </c>
      <c r="C520" s="191">
        <f>E520</f>
        <v>40694</v>
      </c>
      <c r="D520" s="191" t="s">
        <v>1121</v>
      </c>
      <c r="E520" s="191">
        <v>40694</v>
      </c>
      <c r="F520" s="192" t="s">
        <v>909</v>
      </c>
      <c r="G520" s="498"/>
      <c r="H520" s="628" t="s">
        <v>1092</v>
      </c>
      <c r="I520" s="256">
        <v>30</v>
      </c>
      <c r="J520" s="256">
        <v>12946.5</v>
      </c>
      <c r="K520" s="614">
        <f t="shared" si="38"/>
        <v>388395</v>
      </c>
      <c r="L520" s="39" t="s">
        <v>159</v>
      </c>
      <c r="M520" s="724" t="s">
        <v>157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94"/>
      <c r="AB520" s="198"/>
      <c r="AC520" s="198"/>
      <c r="AD520" s="198"/>
    </row>
    <row r="521" spans="1:30" s="831" customFormat="1" ht="15.75" customHeight="1">
      <c r="A521" s="204" t="str">
        <f>IF(B521&lt;&gt;"",IF(AND(B521&gt;=_TM1,B521&lt;=_TM2,OR(TH!L521="1111",TH!M521="1111")),TH!D521,""),"")</f>
        <v/>
      </c>
      <c r="B521" s="36">
        <f t="shared" si="35"/>
        <v>6</v>
      </c>
      <c r="C521" s="191">
        <v>40695</v>
      </c>
      <c r="D521" s="191" t="s">
        <v>951</v>
      </c>
      <c r="E521" s="191">
        <v>40695</v>
      </c>
      <c r="F521" s="192" t="s">
        <v>1208</v>
      </c>
      <c r="G521" s="498" t="s">
        <v>737</v>
      </c>
      <c r="H521" s="193" t="s">
        <v>738</v>
      </c>
      <c r="I521" s="256"/>
      <c r="J521" s="256"/>
      <c r="K521" s="614">
        <v>10474619</v>
      </c>
      <c r="L521" s="194" t="s">
        <v>46</v>
      </c>
      <c r="M521" s="194" t="s">
        <v>259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>x</v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94"/>
      <c r="AB521" s="833"/>
      <c r="AC521" s="198"/>
      <c r="AD521" s="198"/>
    </row>
    <row r="522" spans="1:30" s="831" customFormat="1" ht="15.75" customHeight="1">
      <c r="A522" s="204" t="str">
        <f>IF(B522&lt;&gt;"",IF(AND(B522&gt;=_TM1,B522&lt;=_TM2,OR(TH!L522="1111",TH!M522="1111")),TH!D522,""),"")</f>
        <v/>
      </c>
      <c r="B522" s="36">
        <f t="shared" si="35"/>
        <v>6</v>
      </c>
      <c r="C522" s="191">
        <v>40695</v>
      </c>
      <c r="D522" s="191" t="s">
        <v>973</v>
      </c>
      <c r="E522" s="191">
        <v>40695</v>
      </c>
      <c r="F522" s="192" t="s">
        <v>736</v>
      </c>
      <c r="G522" s="498" t="s">
        <v>737</v>
      </c>
      <c r="H522" s="193" t="s">
        <v>738</v>
      </c>
      <c r="I522" s="256">
        <v>101</v>
      </c>
      <c r="J522" s="256">
        <v>43865</v>
      </c>
      <c r="K522" s="614">
        <v>4430365</v>
      </c>
      <c r="L522" s="194" t="s">
        <v>259</v>
      </c>
      <c r="M522" s="194" t="s">
        <v>167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94"/>
      <c r="AB522" s="833"/>
      <c r="AC522" s="198"/>
      <c r="AD522" s="198"/>
    </row>
    <row r="523" spans="1:30" s="831" customFormat="1" ht="15.75" customHeight="1">
      <c r="A523" s="204" t="str">
        <f>IF(B523&lt;&gt;"",IF(AND(B523&gt;=_TM1,B523&lt;=_TM2,OR(TH!L523="1111",TH!M523="1111")),TH!D523,""),"")</f>
        <v/>
      </c>
      <c r="B523" s="36">
        <f t="shared" si="35"/>
        <v>6</v>
      </c>
      <c r="C523" s="191">
        <v>40695</v>
      </c>
      <c r="D523" s="191" t="s">
        <v>973</v>
      </c>
      <c r="E523" s="191">
        <v>40695</v>
      </c>
      <c r="F523" s="192" t="s">
        <v>739</v>
      </c>
      <c r="G523" s="498" t="s">
        <v>737</v>
      </c>
      <c r="H523" s="193" t="s">
        <v>738</v>
      </c>
      <c r="I523" s="256">
        <v>101</v>
      </c>
      <c r="J523" s="256">
        <v>50416</v>
      </c>
      <c r="K523" s="614">
        <v>5092016</v>
      </c>
      <c r="L523" s="194" t="s">
        <v>259</v>
      </c>
      <c r="M523" s="194" t="s">
        <v>167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94"/>
      <c r="AB523" s="833"/>
      <c r="AC523" s="198"/>
      <c r="AD523" s="198"/>
    </row>
    <row r="524" spans="1:30" s="831" customFormat="1" ht="15.75" customHeight="1">
      <c r="A524" s="204" t="str">
        <f>IF(B524&lt;&gt;"",IF(AND(B524&gt;=_TM1,B524&lt;=_TM2,OR(TH!L524="1111",TH!M524="1111")),TH!D524,""),"")</f>
        <v/>
      </c>
      <c r="B524" s="36">
        <f t="shared" si="35"/>
        <v>6</v>
      </c>
      <c r="C524" s="191">
        <v>40695</v>
      </c>
      <c r="D524" s="191" t="s">
        <v>973</v>
      </c>
      <c r="E524" s="191">
        <v>40695</v>
      </c>
      <c r="F524" s="192" t="s">
        <v>740</v>
      </c>
      <c r="G524" s="498" t="s">
        <v>737</v>
      </c>
      <c r="H524" s="193" t="s">
        <v>738</v>
      </c>
      <c r="I524" s="256"/>
      <c r="J524" s="256"/>
      <c r="K524" s="614">
        <v>952238</v>
      </c>
      <c r="L524" s="194" t="s">
        <v>259</v>
      </c>
      <c r="M524" s="194" t="s">
        <v>731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94"/>
      <c r="AB524" s="833"/>
      <c r="AC524" s="198"/>
      <c r="AD524" s="198"/>
    </row>
    <row r="525" spans="1:30" s="831" customFormat="1" ht="15.75" customHeight="1">
      <c r="A525" s="204" t="str">
        <f>IF(B525&lt;&gt;"",IF(AND(B525&gt;=_TM1,B525&lt;=_TM2,OR(TH!L525="1111",TH!M525="1111")),TH!D525,""),"")</f>
        <v/>
      </c>
      <c r="B525" s="832">
        <f t="shared" si="35"/>
        <v>6</v>
      </c>
      <c r="C525" s="191">
        <v>40695</v>
      </c>
      <c r="D525" s="191" t="s">
        <v>973</v>
      </c>
      <c r="E525" s="191">
        <v>40695</v>
      </c>
      <c r="F525" s="192" t="s">
        <v>736</v>
      </c>
      <c r="G525" s="498" t="s">
        <v>737</v>
      </c>
      <c r="H525" s="193" t="s">
        <v>738</v>
      </c>
      <c r="I525" s="256">
        <v>101</v>
      </c>
      <c r="J525" s="256">
        <v>36925.514851485146</v>
      </c>
      <c r="K525" s="614">
        <f>ROUND(I525*J525,0)</f>
        <v>3729477</v>
      </c>
      <c r="L525" s="854" t="s">
        <v>165</v>
      </c>
      <c r="M525" s="854" t="s">
        <v>159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>632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94"/>
      <c r="AB525" s="833"/>
      <c r="AC525" s="833"/>
      <c r="AD525" s="833"/>
    </row>
    <row r="526" spans="1:30" s="831" customFormat="1" ht="15.75" customHeight="1">
      <c r="A526" s="204" t="str">
        <f>IF(B526&lt;&gt;"",IF(AND(B526&gt;=_TM1,B526&lt;=_TM2,OR(TH!L526="1111",TH!M526="1111")),TH!D526,""),"")</f>
        <v/>
      </c>
      <c r="B526" s="36">
        <f t="shared" si="35"/>
        <v>6</v>
      </c>
      <c r="C526" s="191">
        <v>40695</v>
      </c>
      <c r="D526" s="191" t="s">
        <v>973</v>
      </c>
      <c r="E526" s="191">
        <v>40695</v>
      </c>
      <c r="F526" s="192" t="s">
        <v>739</v>
      </c>
      <c r="G526" s="498" t="s">
        <v>737</v>
      </c>
      <c r="H526" s="193" t="s">
        <v>738</v>
      </c>
      <c r="I526" s="256">
        <v>101</v>
      </c>
      <c r="J526" s="256">
        <v>37171.514851485146</v>
      </c>
      <c r="K526" s="614">
        <f>ROUND(I526*J526,0)</f>
        <v>3754323</v>
      </c>
      <c r="L526" s="854" t="s">
        <v>165</v>
      </c>
      <c r="M526" s="854" t="s">
        <v>159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>632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94"/>
      <c r="AB526" s="833"/>
      <c r="AC526" s="198"/>
      <c r="AD526" s="198"/>
    </row>
    <row r="527" spans="1:30" s="831" customFormat="1" ht="15.75" customHeight="1">
      <c r="A527" s="204" t="str">
        <f>IF(B527&lt;&gt;"",IF(AND(B527&gt;=_TM1,B527&lt;=_TM2,OR(TH!L527="1111",TH!M527="1111")),TH!D527,""),"")</f>
        <v/>
      </c>
      <c r="B527" s="36">
        <f t="shared" si="35"/>
        <v>6</v>
      </c>
      <c r="C527" s="191">
        <f t="shared" ref="C527:C590" si="39">E527</f>
        <v>40695</v>
      </c>
      <c r="D527" s="191" t="s">
        <v>1122</v>
      </c>
      <c r="E527" s="191">
        <v>40695</v>
      </c>
      <c r="F527" s="192" t="s">
        <v>736</v>
      </c>
      <c r="G527" s="498"/>
      <c r="H527" s="628" t="s">
        <v>1092</v>
      </c>
      <c r="I527" s="256">
        <v>101</v>
      </c>
      <c r="J527" s="256">
        <v>36925.514851485146</v>
      </c>
      <c r="K527" s="614">
        <f>ROUND(I527*J527,0)</f>
        <v>3729477</v>
      </c>
      <c r="L527" s="39" t="s">
        <v>159</v>
      </c>
      <c r="M527" s="724" t="s">
        <v>157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94"/>
      <c r="AB527" s="198"/>
      <c r="AC527" s="198"/>
      <c r="AD527" s="198"/>
    </row>
    <row r="528" spans="1:30" s="831" customFormat="1" ht="15.75" customHeight="1">
      <c r="A528" s="204" t="str">
        <f>IF(B528&lt;&gt;"",IF(AND(B528&gt;=_TM1,B528&lt;=_TM2,OR(TH!L528="1111",TH!M528="1111")),TH!D528,""),"")</f>
        <v/>
      </c>
      <c r="B528" s="36">
        <f t="shared" si="35"/>
        <v>6</v>
      </c>
      <c r="C528" s="191">
        <f t="shared" si="39"/>
        <v>40695</v>
      </c>
      <c r="D528" s="191" t="s">
        <v>1122</v>
      </c>
      <c r="E528" s="191">
        <v>40695</v>
      </c>
      <c r="F528" s="192" t="s">
        <v>739</v>
      </c>
      <c r="G528" s="498"/>
      <c r="H528" s="628" t="s">
        <v>1092</v>
      </c>
      <c r="I528" s="256">
        <v>101</v>
      </c>
      <c r="J528" s="256">
        <v>37171.514851485146</v>
      </c>
      <c r="K528" s="614">
        <f>ROUND(I528*J528,0)</f>
        <v>3754323</v>
      </c>
      <c r="L528" s="39" t="s">
        <v>159</v>
      </c>
      <c r="M528" s="724" t="s">
        <v>157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94"/>
      <c r="AB528" s="198"/>
      <c r="AC528" s="198"/>
      <c r="AD528" s="198"/>
    </row>
    <row r="529" spans="1:30" s="831" customFormat="1" ht="15.75" customHeight="1">
      <c r="A529" s="204" t="str">
        <f>IF(B529&lt;&gt;"",IF(AND(B529&gt;=_TM1,B529&lt;=_TM2,OR(TH!L529="1111",TH!M529="1111")),TH!D529,""),"")</f>
        <v/>
      </c>
      <c r="B529" s="36">
        <f t="shared" si="35"/>
        <v>6</v>
      </c>
      <c r="C529" s="191">
        <f t="shared" si="39"/>
        <v>40696</v>
      </c>
      <c r="D529" s="184" t="s">
        <v>688</v>
      </c>
      <c r="E529" s="191">
        <v>40696</v>
      </c>
      <c r="F529" s="192" t="s">
        <v>343</v>
      </c>
      <c r="G529" s="498" t="s">
        <v>532</v>
      </c>
      <c r="H529" s="193" t="s">
        <v>533</v>
      </c>
      <c r="I529" s="256"/>
      <c r="J529" s="256"/>
      <c r="K529" s="38">
        <v>256500</v>
      </c>
      <c r="L529" s="194" t="s">
        <v>75</v>
      </c>
      <c r="M529" s="194" t="s">
        <v>46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>642</v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94"/>
      <c r="AB529" s="606"/>
      <c r="AC529" s="606"/>
      <c r="AD529" s="606"/>
    </row>
    <row r="530" spans="1:30" s="831" customFormat="1" ht="15.75" customHeight="1">
      <c r="A530" s="204" t="str">
        <f>IF(B530&lt;&gt;"",IF(AND(B530&gt;=_TM1,B530&lt;=_TM2,OR(TH!L530="1111",TH!M530="1111")),TH!D530,""),"")</f>
        <v/>
      </c>
      <c r="B530" s="36">
        <f t="shared" si="35"/>
        <v>6</v>
      </c>
      <c r="C530" s="184">
        <f t="shared" si="39"/>
        <v>40697</v>
      </c>
      <c r="D530" s="184" t="s">
        <v>333</v>
      </c>
      <c r="E530" s="184">
        <v>40697</v>
      </c>
      <c r="F530" s="189" t="s">
        <v>335</v>
      </c>
      <c r="G530" s="616" t="s">
        <v>330</v>
      </c>
      <c r="H530" s="193" t="s">
        <v>733</v>
      </c>
      <c r="I530" s="256"/>
      <c r="J530" s="256"/>
      <c r="K530" s="614">
        <v>67418088</v>
      </c>
      <c r="L530" s="615" t="s">
        <v>23</v>
      </c>
      <c r="M530" s="615" t="s">
        <v>259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>x</v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94"/>
      <c r="AB530" s="606"/>
      <c r="AC530" s="606"/>
      <c r="AD530" s="606"/>
    </row>
    <row r="531" spans="1:30" s="831" customFormat="1" ht="15.75" customHeight="1">
      <c r="A531" s="204" t="str">
        <f>IF(B531&lt;&gt;"",IF(AND(B531&gt;=_TM1,B531&lt;=_TM2,OR(TH!L531="1111",TH!M531="1111")),TH!D531,""),"")</f>
        <v/>
      </c>
      <c r="B531" s="36">
        <f t="shared" si="35"/>
        <v>6</v>
      </c>
      <c r="C531" s="191">
        <f t="shared" si="39"/>
        <v>40699</v>
      </c>
      <c r="D531" s="720" t="s">
        <v>1102</v>
      </c>
      <c r="E531" s="191">
        <v>40699</v>
      </c>
      <c r="F531" s="40" t="s">
        <v>557</v>
      </c>
      <c r="G531" s="498"/>
      <c r="H531" s="628" t="s">
        <v>1092</v>
      </c>
      <c r="I531" s="256">
        <v>415</v>
      </c>
      <c r="J531" s="256">
        <v>24005</v>
      </c>
      <c r="K531" s="614">
        <f t="shared" ref="K531:K539" si="40">ROUND(I531*J531,0)</f>
        <v>9962075</v>
      </c>
      <c r="L531" s="39" t="s">
        <v>157</v>
      </c>
      <c r="M531" s="724" t="s">
        <v>151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>154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94"/>
      <c r="AB531" s="198"/>
      <c r="AC531" s="198"/>
      <c r="AD531" s="198"/>
    </row>
    <row r="532" spans="1:30" s="831" customFormat="1" ht="15.75" customHeight="1">
      <c r="A532" s="204" t="str">
        <f>IF(B532&lt;&gt;"",IF(AND(B532&gt;=_TM1,B532&lt;=_TM2,OR(TH!L532="1111",TH!M532="1111")),TH!D532,""),"")</f>
        <v/>
      </c>
      <c r="B532" s="36">
        <f t="shared" si="35"/>
        <v>6</v>
      </c>
      <c r="C532" s="191">
        <f t="shared" si="39"/>
        <v>40699</v>
      </c>
      <c r="D532" s="720" t="s">
        <v>1102</v>
      </c>
      <c r="E532" s="191">
        <v>40699</v>
      </c>
      <c r="F532" s="40" t="s">
        <v>557</v>
      </c>
      <c r="G532" s="498"/>
      <c r="H532" s="628" t="s">
        <v>1092</v>
      </c>
      <c r="I532" s="256">
        <v>369</v>
      </c>
      <c r="J532" s="256">
        <v>24005</v>
      </c>
      <c r="K532" s="614">
        <f t="shared" si="40"/>
        <v>8857845</v>
      </c>
      <c r="L532" s="39" t="s">
        <v>157</v>
      </c>
      <c r="M532" s="724" t="s">
        <v>151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>154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94"/>
      <c r="AB532" s="198"/>
      <c r="AC532" s="198"/>
      <c r="AD532" s="198"/>
    </row>
    <row r="533" spans="1:30" s="831" customFormat="1" ht="15.75" customHeight="1">
      <c r="A533" s="204" t="str">
        <f>IF(B533&lt;&gt;"",IF(AND(B533&gt;=_TM1,B533&lt;=_TM2,OR(TH!L533="1111",TH!M533="1111")),TH!D533,""),"")</f>
        <v/>
      </c>
      <c r="B533" s="36">
        <f t="shared" si="35"/>
        <v>6</v>
      </c>
      <c r="C533" s="191">
        <f t="shared" si="39"/>
        <v>40699</v>
      </c>
      <c r="D533" s="720" t="s">
        <v>1102</v>
      </c>
      <c r="E533" s="191">
        <v>40699</v>
      </c>
      <c r="F533" s="189" t="s">
        <v>496</v>
      </c>
      <c r="G533" s="498"/>
      <c r="H533" s="628" t="s">
        <v>1092</v>
      </c>
      <c r="I533" s="256">
        <v>1</v>
      </c>
      <c r="J533" s="256">
        <v>16462</v>
      </c>
      <c r="K533" s="614">
        <f t="shared" si="40"/>
        <v>16462</v>
      </c>
      <c r="L533" s="39" t="s">
        <v>157</v>
      </c>
      <c r="M533" s="724" t="s">
        <v>151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>154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94"/>
      <c r="AB533" s="198"/>
      <c r="AC533" s="198"/>
      <c r="AD533" s="198"/>
    </row>
    <row r="534" spans="1:30" s="831" customFormat="1" ht="15.75" customHeight="1">
      <c r="A534" s="204" t="str">
        <f>IF(B534&lt;&gt;"",IF(AND(B534&gt;=_TM1,B534&lt;=_TM2,OR(TH!L534="1111",TH!M534="1111")),TH!D534,""),"")</f>
        <v/>
      </c>
      <c r="B534" s="36">
        <f t="shared" si="35"/>
        <v>6</v>
      </c>
      <c r="C534" s="191">
        <f t="shared" si="39"/>
        <v>40699</v>
      </c>
      <c r="D534" s="720" t="s">
        <v>1102</v>
      </c>
      <c r="E534" s="191">
        <v>40699</v>
      </c>
      <c r="F534" s="189" t="s">
        <v>562</v>
      </c>
      <c r="G534" s="498"/>
      <c r="H534" s="628" t="s">
        <v>1092</v>
      </c>
      <c r="I534" s="258">
        <v>1</v>
      </c>
      <c r="J534" s="258">
        <v>18390</v>
      </c>
      <c r="K534" s="614">
        <f t="shared" si="40"/>
        <v>18390</v>
      </c>
      <c r="L534" s="39" t="s">
        <v>157</v>
      </c>
      <c r="M534" s="724" t="s">
        <v>151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>154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94"/>
      <c r="AB534" s="198"/>
      <c r="AC534" s="198"/>
      <c r="AD534" s="198"/>
    </row>
    <row r="535" spans="1:30" s="831" customFormat="1" ht="15.75" customHeight="1">
      <c r="A535" s="204" t="str">
        <f>IF(B535&lt;&gt;"",IF(AND(B535&gt;=_TM1,B535&lt;=_TM2,OR(TH!L535="1111",TH!M535="1111")),TH!D535,""),"")</f>
        <v/>
      </c>
      <c r="B535" s="36">
        <f t="shared" si="35"/>
        <v>6</v>
      </c>
      <c r="C535" s="191">
        <f t="shared" si="39"/>
        <v>40699</v>
      </c>
      <c r="D535" s="720" t="s">
        <v>1102</v>
      </c>
      <c r="E535" s="191">
        <v>40699</v>
      </c>
      <c r="F535" s="40" t="s">
        <v>596</v>
      </c>
      <c r="G535" s="498"/>
      <c r="H535" s="628" t="s">
        <v>1092</v>
      </c>
      <c r="I535" s="256">
        <v>21</v>
      </c>
      <c r="J535" s="256">
        <v>15946</v>
      </c>
      <c r="K535" s="614">
        <f t="shared" si="40"/>
        <v>334866</v>
      </c>
      <c r="L535" s="39" t="s">
        <v>157</v>
      </c>
      <c r="M535" s="724" t="s">
        <v>151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>154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94"/>
      <c r="AB535" s="198"/>
      <c r="AC535" s="198"/>
      <c r="AD535" s="198"/>
    </row>
    <row r="536" spans="1:30" s="831" customFormat="1" ht="15.75" customHeight="1">
      <c r="A536" s="204" t="str">
        <f>IF(B536&lt;&gt;"",IF(AND(B536&gt;=_TM1,B536&lt;=_TM2,OR(TH!L536="1111",TH!M536="1111")),TH!D536,""),"")</f>
        <v/>
      </c>
      <c r="B536" s="36">
        <f t="shared" si="35"/>
        <v>6</v>
      </c>
      <c r="C536" s="191">
        <f t="shared" si="39"/>
        <v>40699</v>
      </c>
      <c r="D536" s="720" t="s">
        <v>1102</v>
      </c>
      <c r="E536" s="191">
        <v>40699</v>
      </c>
      <c r="F536" s="886" t="s">
        <v>596</v>
      </c>
      <c r="G536" s="498"/>
      <c r="H536" s="628" t="s">
        <v>1092</v>
      </c>
      <c r="I536" s="256">
        <v>33</v>
      </c>
      <c r="J536" s="256">
        <v>15946</v>
      </c>
      <c r="K536" s="614">
        <f t="shared" si="40"/>
        <v>526218</v>
      </c>
      <c r="L536" s="39" t="s">
        <v>157</v>
      </c>
      <c r="M536" s="724" t="s">
        <v>151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>154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94"/>
      <c r="AB536" s="198"/>
      <c r="AC536" s="198"/>
      <c r="AD536" s="198"/>
    </row>
    <row r="537" spans="1:30" s="831" customFormat="1" ht="15.75" customHeight="1">
      <c r="A537" s="204" t="str">
        <f>IF(B537&lt;&gt;"",IF(AND(B537&gt;=_TM1,B537&lt;=_TM2,OR(TH!L537="1111",TH!M537="1111")),TH!D537,""),"")</f>
        <v/>
      </c>
      <c r="B537" s="36">
        <f t="shared" ref="B537:B600" si="41">IF(C537&lt;&gt;"",MONTH(C537),"")</f>
        <v>6</v>
      </c>
      <c r="C537" s="191">
        <f t="shared" si="39"/>
        <v>40699</v>
      </c>
      <c r="D537" s="720" t="s">
        <v>1102</v>
      </c>
      <c r="E537" s="191">
        <v>40699</v>
      </c>
      <c r="F537" s="40" t="s">
        <v>595</v>
      </c>
      <c r="G537" s="498"/>
      <c r="H537" s="628" t="s">
        <v>1092</v>
      </c>
      <c r="I537" s="256">
        <v>395</v>
      </c>
      <c r="J537" s="256">
        <v>16660</v>
      </c>
      <c r="K537" s="614">
        <f t="shared" si="40"/>
        <v>6580700</v>
      </c>
      <c r="L537" s="39" t="s">
        <v>157</v>
      </c>
      <c r="M537" s="724" t="s">
        <v>151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>154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94"/>
      <c r="AB537" s="198"/>
      <c r="AC537" s="198"/>
      <c r="AD537" s="198"/>
    </row>
    <row r="538" spans="1:30" s="831" customFormat="1" ht="15.75" customHeight="1">
      <c r="A538" s="204" t="str">
        <f>IF(B538&lt;&gt;"",IF(AND(B538&gt;=_TM1,B538&lt;=_TM2,OR(TH!L538="1111",TH!M538="1111")),TH!D538,""),"")</f>
        <v/>
      </c>
      <c r="B538" s="36">
        <f t="shared" si="41"/>
        <v>6</v>
      </c>
      <c r="C538" s="191">
        <f t="shared" si="39"/>
        <v>40699</v>
      </c>
      <c r="D538" s="720" t="s">
        <v>1102</v>
      </c>
      <c r="E538" s="191">
        <v>40699</v>
      </c>
      <c r="F538" s="189" t="s">
        <v>635</v>
      </c>
      <c r="G538" s="498"/>
      <c r="H538" s="628" t="s">
        <v>1092</v>
      </c>
      <c r="I538" s="256">
        <v>482</v>
      </c>
      <c r="J538" s="256">
        <v>7207</v>
      </c>
      <c r="K538" s="614">
        <f t="shared" si="40"/>
        <v>3473774</v>
      </c>
      <c r="L538" s="39" t="s">
        <v>157</v>
      </c>
      <c r="M538" s="724" t="s">
        <v>151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>154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94"/>
      <c r="AB538" s="198"/>
      <c r="AC538" s="198"/>
      <c r="AD538" s="198"/>
    </row>
    <row r="539" spans="1:30" s="831" customFormat="1" ht="15.75" customHeight="1">
      <c r="A539" s="204" t="str">
        <f>IF(B539&lt;&gt;"",IF(AND(B539&gt;=_TM1,B539&lt;=_TM2,OR(TH!L539="1111",TH!M539="1111")),TH!D539,""),"")</f>
        <v/>
      </c>
      <c r="B539" s="36">
        <f t="shared" si="41"/>
        <v>6</v>
      </c>
      <c r="C539" s="191">
        <f t="shared" si="39"/>
        <v>40699</v>
      </c>
      <c r="D539" s="720" t="s">
        <v>1102</v>
      </c>
      <c r="E539" s="191">
        <v>40699</v>
      </c>
      <c r="F539" s="298" t="s">
        <v>381</v>
      </c>
      <c r="G539" s="498"/>
      <c r="H539" s="628" t="s">
        <v>1092</v>
      </c>
      <c r="I539" s="256">
        <v>56</v>
      </c>
      <c r="J539" s="256">
        <v>14079</v>
      </c>
      <c r="K539" s="614">
        <f t="shared" si="40"/>
        <v>788424</v>
      </c>
      <c r="L539" s="39" t="s">
        <v>157</v>
      </c>
      <c r="M539" s="724" t="s">
        <v>151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>154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94"/>
      <c r="AB539" s="198"/>
      <c r="AC539" s="198"/>
      <c r="AD539" s="198"/>
    </row>
    <row r="540" spans="1:30" s="831" customFormat="1" ht="15.75" customHeight="1">
      <c r="A540" s="204" t="str">
        <f>IF(B540&lt;&gt;"",IF(AND(B540&gt;=_TM1,B540&lt;=_TM2,OR(TH!L540="1111",TH!M540="1111")),TH!D540,""),"")</f>
        <v/>
      </c>
      <c r="B540" s="36">
        <f t="shared" si="41"/>
        <v>6</v>
      </c>
      <c r="C540" s="184">
        <f t="shared" si="39"/>
        <v>40700</v>
      </c>
      <c r="D540" s="184" t="s">
        <v>689</v>
      </c>
      <c r="E540" s="184">
        <v>40700</v>
      </c>
      <c r="F540" s="189" t="s">
        <v>362</v>
      </c>
      <c r="G540" s="616" t="s">
        <v>330</v>
      </c>
      <c r="H540" s="193" t="s">
        <v>363</v>
      </c>
      <c r="I540" s="256"/>
      <c r="J540" s="256"/>
      <c r="K540" s="614">
        <v>30000000</v>
      </c>
      <c r="L540" s="615" t="s">
        <v>23</v>
      </c>
      <c r="M540" s="615" t="s">
        <v>46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>x</v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94"/>
      <c r="AB540" s="606"/>
      <c r="AC540" s="606"/>
      <c r="AD540" s="606"/>
    </row>
    <row r="541" spans="1:30" s="831" customFormat="1" ht="15.75" customHeight="1">
      <c r="A541" s="204" t="str">
        <f>IF(B541&lt;&gt;"",IF(AND(B541&gt;=_TM1,B541&lt;=_TM2,OR(TH!L541="1111",TH!M541="1111")),TH!D541,""),"")</f>
        <v/>
      </c>
      <c r="B541" s="36">
        <f t="shared" si="41"/>
        <v>6</v>
      </c>
      <c r="C541" s="191">
        <f t="shared" si="39"/>
        <v>40700</v>
      </c>
      <c r="D541" s="184" t="s">
        <v>690</v>
      </c>
      <c r="E541" s="191">
        <v>40700</v>
      </c>
      <c r="F541" s="192" t="s">
        <v>682</v>
      </c>
      <c r="G541" s="498" t="s">
        <v>546</v>
      </c>
      <c r="H541" s="7" t="s">
        <v>371</v>
      </c>
      <c r="I541" s="258"/>
      <c r="J541" s="258"/>
      <c r="K541" s="614">
        <v>2980000</v>
      </c>
      <c r="L541" s="194" t="s">
        <v>157</v>
      </c>
      <c r="M541" s="194" t="s">
        <v>46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>154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94"/>
      <c r="AB541" s="606"/>
      <c r="AC541" s="606"/>
      <c r="AD541" s="606"/>
    </row>
    <row r="542" spans="1:30" s="831" customFormat="1" ht="15.75" customHeight="1">
      <c r="A542" s="204" t="str">
        <f>IF(B542&lt;&gt;"",IF(AND(B542&gt;=_TM1,B542&lt;=_TM2,OR(TH!L542="1111",TH!M542="1111")),TH!D542,""),"")</f>
        <v/>
      </c>
      <c r="B542" s="36">
        <f t="shared" si="41"/>
        <v>6</v>
      </c>
      <c r="C542" s="191">
        <f t="shared" si="39"/>
        <v>40700</v>
      </c>
      <c r="D542" s="184" t="s">
        <v>690</v>
      </c>
      <c r="E542" s="191">
        <v>40700</v>
      </c>
      <c r="F542" s="838" t="s">
        <v>342</v>
      </c>
      <c r="G542" s="498" t="s">
        <v>546</v>
      </c>
      <c r="H542" s="7" t="s">
        <v>371</v>
      </c>
      <c r="I542" s="256"/>
      <c r="J542" s="256"/>
      <c r="K542" s="38">
        <v>298000</v>
      </c>
      <c r="L542" s="194" t="s">
        <v>9</v>
      </c>
      <c r="M542" s="194" t="s">
        <v>46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>x</v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94"/>
      <c r="AB542" s="211">
        <v>6</v>
      </c>
      <c r="AC542" s="211"/>
      <c r="AD542" s="606"/>
    </row>
    <row r="543" spans="1:30" s="831" customFormat="1" ht="15.75" customHeight="1">
      <c r="A543" s="204" t="str">
        <f>IF(B543&lt;&gt;"",IF(AND(B543&gt;=_TM1,B543&lt;=_TM2,OR(TH!L543="1111",TH!M543="1111")),TH!D543,""),"")</f>
        <v/>
      </c>
      <c r="B543" s="36">
        <f t="shared" si="41"/>
        <v>6</v>
      </c>
      <c r="C543" s="184">
        <f t="shared" si="39"/>
        <v>40700</v>
      </c>
      <c r="D543" s="184" t="s">
        <v>334</v>
      </c>
      <c r="E543" s="184">
        <v>40700</v>
      </c>
      <c r="F543" s="189" t="s">
        <v>367</v>
      </c>
      <c r="G543" s="616" t="s">
        <v>330</v>
      </c>
      <c r="H543" s="7" t="s">
        <v>531</v>
      </c>
      <c r="I543" s="256"/>
      <c r="J543" s="256"/>
      <c r="K543" s="614">
        <v>100000000</v>
      </c>
      <c r="L543" s="615" t="s">
        <v>8</v>
      </c>
      <c r="M543" s="615" t="s">
        <v>23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>x</v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94"/>
      <c r="AB543" s="606"/>
      <c r="AC543" s="606"/>
      <c r="AD543" s="606"/>
    </row>
    <row r="544" spans="1:30" s="831" customFormat="1" ht="15.75" customHeight="1">
      <c r="A544" s="204" t="str">
        <f>IF(B544&lt;&gt;"",IF(AND(B544&gt;=_TM1,B544&lt;=_TM2,OR(TH!L544="1111",TH!M544="1111")),TH!D544,""),"")</f>
        <v/>
      </c>
      <c r="B544" s="36">
        <f t="shared" si="41"/>
        <v>6</v>
      </c>
      <c r="C544" s="184">
        <f t="shared" si="39"/>
        <v>40700</v>
      </c>
      <c r="D544" s="184" t="s">
        <v>334</v>
      </c>
      <c r="E544" s="184">
        <v>40700</v>
      </c>
      <c r="F544" s="189" t="s">
        <v>336</v>
      </c>
      <c r="G544" s="616" t="s">
        <v>330</v>
      </c>
      <c r="H544" s="7"/>
      <c r="I544" s="256"/>
      <c r="J544" s="256"/>
      <c r="K544" s="614">
        <v>10000</v>
      </c>
      <c r="L544" s="615" t="s">
        <v>75</v>
      </c>
      <c r="M544" s="615" t="s">
        <v>23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>x</v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642</v>
      </c>
      <c r="V544" s="52" t="str">
        <f>IF(OR(TH!L544=TH!$V$7,M544=TH!$V$7),"x","")</f>
        <v>x</v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94"/>
      <c r="AB544" s="606"/>
      <c r="AC544" s="606"/>
      <c r="AD544" s="606"/>
    </row>
    <row r="545" spans="1:30" s="831" customFormat="1" ht="15.75" customHeight="1">
      <c r="A545" s="204" t="str">
        <f>IF(B545&lt;&gt;"",IF(AND(B545&gt;=_TM1,B545&lt;=_TM2,OR(TH!L545="1111",TH!M545="1111")),TH!D545,""),"")</f>
        <v/>
      </c>
      <c r="B545" s="36">
        <f t="shared" si="41"/>
        <v>6</v>
      </c>
      <c r="C545" s="191">
        <f t="shared" si="39"/>
        <v>40700</v>
      </c>
      <c r="D545" s="184" t="s">
        <v>709</v>
      </c>
      <c r="E545" s="191">
        <v>40700</v>
      </c>
      <c r="F545" s="189" t="s">
        <v>489</v>
      </c>
      <c r="G545" s="498" t="s">
        <v>541</v>
      </c>
      <c r="H545" s="7" t="s">
        <v>499</v>
      </c>
      <c r="I545" s="258">
        <v>637</v>
      </c>
      <c r="J545" s="258">
        <v>16925</v>
      </c>
      <c r="K545" s="614">
        <f>ROUND(I545*J545,0)</f>
        <v>10781225</v>
      </c>
      <c r="L545" s="194" t="s">
        <v>151</v>
      </c>
      <c r="M545" s="194" t="s">
        <v>8</v>
      </c>
      <c r="N545" s="52" t="str">
        <f>IF(AND('331-CT'!$E$7=TH!H545,OR(L545="331",M545="331")),"331",IF(AND(OR(L545="131",M545="131"),H545='131-CT'!$E$7),"131",""))</f>
        <v>331</v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94"/>
      <c r="AB545" s="606"/>
      <c r="AC545" s="606"/>
      <c r="AD545" s="606"/>
    </row>
    <row r="546" spans="1:30" s="831" customFormat="1" ht="15.75" customHeight="1">
      <c r="A546" s="204" t="str">
        <f>IF(B546&lt;&gt;"",IF(AND(B546&gt;=_TM1,B546&lt;=_TM2,OR(TH!L546="1111",TH!M546="1111")),TH!D546,""),"")</f>
        <v/>
      </c>
      <c r="B546" s="36">
        <f t="shared" si="41"/>
        <v>6</v>
      </c>
      <c r="C546" s="191">
        <f t="shared" si="39"/>
        <v>40700</v>
      </c>
      <c r="D546" s="184" t="s">
        <v>709</v>
      </c>
      <c r="E546" s="191">
        <v>40700</v>
      </c>
      <c r="F546" s="189" t="s">
        <v>542</v>
      </c>
      <c r="G546" s="498" t="s">
        <v>541</v>
      </c>
      <c r="H546" s="7" t="s">
        <v>499</v>
      </c>
      <c r="I546" s="258">
        <v>100</v>
      </c>
      <c r="J546" s="258">
        <v>19638</v>
      </c>
      <c r="K546" s="614">
        <f>ROUND(I546*J546,0)</f>
        <v>1963800</v>
      </c>
      <c r="L546" s="194" t="s">
        <v>151</v>
      </c>
      <c r="M546" s="194" t="s">
        <v>8</v>
      </c>
      <c r="N546" s="52" t="str">
        <f>IF(AND('331-CT'!$E$7=TH!H546,OR(L546="331",M546="331")),"331",IF(AND(OR(L546="131",M546="131"),H546='131-CT'!$E$7),"131",""))</f>
        <v>331</v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94"/>
      <c r="AB546" s="606"/>
      <c r="AC546" s="606"/>
      <c r="AD546" s="606"/>
    </row>
    <row r="547" spans="1:30" s="831" customFormat="1" ht="15.75" customHeight="1">
      <c r="A547" s="204" t="str">
        <f>IF(B547&lt;&gt;"",IF(AND(B547&gt;=_TM1,B547&lt;=_TM2,OR(TH!L547="1111",TH!M547="1111")),TH!D547,""),"")</f>
        <v/>
      </c>
      <c r="B547" s="36">
        <f t="shared" si="41"/>
        <v>6</v>
      </c>
      <c r="C547" s="191">
        <f t="shared" si="39"/>
        <v>40700</v>
      </c>
      <c r="D547" s="184" t="s">
        <v>709</v>
      </c>
      <c r="E547" s="191">
        <v>40700</v>
      </c>
      <c r="F547" s="189" t="s">
        <v>543</v>
      </c>
      <c r="G547" s="498" t="s">
        <v>541</v>
      </c>
      <c r="H547" s="7" t="s">
        <v>499</v>
      </c>
      <c r="I547" s="258">
        <v>81</v>
      </c>
      <c r="J547" s="258">
        <v>28059</v>
      </c>
      <c r="K547" s="614">
        <f>ROUND(I547*J547,0)</f>
        <v>2272779</v>
      </c>
      <c r="L547" s="194" t="s">
        <v>151</v>
      </c>
      <c r="M547" s="194" t="s">
        <v>8</v>
      </c>
      <c r="N547" s="52" t="str">
        <f>IF(AND('331-CT'!$E$7=TH!H547,OR(L547="331",M547="331")),"331",IF(AND(OR(L547="131",M547="131"),H547='131-CT'!$E$7),"131",""))</f>
        <v>331</v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94"/>
      <c r="AB547" s="606"/>
      <c r="AC547" s="606"/>
      <c r="AD547" s="606"/>
    </row>
    <row r="548" spans="1:30" s="831" customFormat="1" ht="15.75" customHeight="1">
      <c r="A548" s="204" t="str">
        <f>IF(B548&lt;&gt;"",IF(AND(B548&gt;=_TM1,B548&lt;=_TM2,OR(TH!L548="1111",TH!M548="1111")),TH!D548,""),"")</f>
        <v/>
      </c>
      <c r="B548" s="36">
        <f t="shared" si="41"/>
        <v>6</v>
      </c>
      <c r="C548" s="191">
        <f t="shared" si="39"/>
        <v>40700</v>
      </c>
      <c r="D548" s="184" t="s">
        <v>709</v>
      </c>
      <c r="E548" s="191">
        <v>40700</v>
      </c>
      <c r="F548" s="189" t="s">
        <v>544</v>
      </c>
      <c r="G548" s="498" t="s">
        <v>541</v>
      </c>
      <c r="H548" s="7" t="s">
        <v>499</v>
      </c>
      <c r="I548" s="258">
        <v>200</v>
      </c>
      <c r="J548" s="258">
        <v>26854</v>
      </c>
      <c r="K548" s="614">
        <f>ROUND(I548*J548,0)</f>
        <v>5370800</v>
      </c>
      <c r="L548" s="194" t="s">
        <v>151</v>
      </c>
      <c r="M548" s="194" t="s">
        <v>8</v>
      </c>
      <c r="N548" s="52" t="str">
        <f>IF(AND('331-CT'!$E$7=TH!H548,OR(L548="331",M548="331")),"331",IF(AND(OR(L548="131",M548="131"),H548='131-CT'!$E$7),"131",""))</f>
        <v>331</v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94"/>
      <c r="AB548" s="606"/>
      <c r="AC548" s="606"/>
      <c r="AD548" s="606"/>
    </row>
    <row r="549" spans="1:30" s="831" customFormat="1" ht="15.75" customHeight="1">
      <c r="A549" s="204" t="str">
        <f>IF(B549&lt;&gt;"",IF(AND(B549&gt;=_TM1,B549&lt;=_TM2,OR(TH!L549="1111",TH!M549="1111")),TH!D549,""),"")</f>
        <v/>
      </c>
      <c r="B549" s="36">
        <f t="shared" si="41"/>
        <v>6</v>
      </c>
      <c r="C549" s="191">
        <f t="shared" si="39"/>
        <v>40700</v>
      </c>
      <c r="D549" s="184" t="s">
        <v>709</v>
      </c>
      <c r="E549" s="191">
        <v>40700</v>
      </c>
      <c r="F549" s="189" t="s">
        <v>545</v>
      </c>
      <c r="G549" s="498" t="s">
        <v>541</v>
      </c>
      <c r="H549" s="7" t="s">
        <v>499</v>
      </c>
      <c r="I549" s="258">
        <v>52</v>
      </c>
      <c r="J549" s="258">
        <v>32850</v>
      </c>
      <c r="K549" s="614">
        <f>ROUND(I549*J549,0)</f>
        <v>1708200</v>
      </c>
      <c r="L549" s="194" t="s">
        <v>151</v>
      </c>
      <c r="M549" s="194" t="s">
        <v>8</v>
      </c>
      <c r="N549" s="52" t="str">
        <f>IF(AND('331-CT'!$E$7=TH!H549,OR(L549="331",M549="331")),"331",IF(AND(OR(L549="131",M549="131"),H549='131-CT'!$E$7),"131",""))</f>
        <v>331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94"/>
      <c r="AB549" s="606"/>
      <c r="AC549" s="606"/>
      <c r="AD549" s="606"/>
    </row>
    <row r="550" spans="1:30" s="831" customFormat="1" ht="15.75" customHeight="1">
      <c r="A550" s="204" t="str">
        <f>IF(B550&lt;&gt;"",IF(AND(B550&gt;=_TM1,B550&lt;=_TM2,OR(TH!L550="1111",TH!M550="1111")),TH!D550,""),"")</f>
        <v/>
      </c>
      <c r="B550" s="36">
        <f t="shared" si="41"/>
        <v>6</v>
      </c>
      <c r="C550" s="191">
        <f t="shared" si="39"/>
        <v>40700</v>
      </c>
      <c r="D550" s="184" t="s">
        <v>709</v>
      </c>
      <c r="E550" s="191">
        <v>40700</v>
      </c>
      <c r="F550" s="189" t="s">
        <v>380</v>
      </c>
      <c r="G550" s="498" t="s">
        <v>541</v>
      </c>
      <c r="H550" s="7" t="s">
        <v>499</v>
      </c>
      <c r="I550" s="258"/>
      <c r="J550" s="258"/>
      <c r="K550" s="38">
        <v>2209680</v>
      </c>
      <c r="L550" s="194" t="s">
        <v>9</v>
      </c>
      <c r="M550" s="194" t="s">
        <v>8</v>
      </c>
      <c r="N550" s="52" t="str">
        <f>IF(AND('331-CT'!$E$7=TH!H550,OR(L550="331",M550="331")),"331",IF(AND(OR(L550="131",M550="131"),H550='131-CT'!$E$7),"131",""))</f>
        <v>331</v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94"/>
      <c r="AB550" s="211">
        <v>6</v>
      </c>
      <c r="AC550" s="606"/>
      <c r="AD550" s="606"/>
    </row>
    <row r="551" spans="1:30" s="831" customFormat="1" ht="15.75" customHeight="1">
      <c r="A551" s="204" t="str">
        <f>IF(B551&lt;&gt;"",IF(AND(B551&gt;=_TM1,B551&lt;=_TM2,OR(TH!L551="1111",TH!M551="1111")),TH!D551,""),"")</f>
        <v/>
      </c>
      <c r="B551" s="36">
        <f t="shared" si="41"/>
        <v>6</v>
      </c>
      <c r="C551" s="191">
        <f t="shared" si="39"/>
        <v>40701</v>
      </c>
      <c r="D551" s="184" t="s">
        <v>691</v>
      </c>
      <c r="E551" s="191">
        <v>40701</v>
      </c>
      <c r="F551" s="189" t="s">
        <v>1080</v>
      </c>
      <c r="G551" s="498" t="s">
        <v>547</v>
      </c>
      <c r="H551" s="7" t="s">
        <v>548</v>
      </c>
      <c r="I551" s="256"/>
      <c r="J551" s="256"/>
      <c r="K551" s="38">
        <v>15353374</v>
      </c>
      <c r="L551" s="194" t="s">
        <v>8</v>
      </c>
      <c r="M551" s="194" t="s">
        <v>46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>x</v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94"/>
      <c r="AB551" s="606"/>
      <c r="AC551" s="606"/>
      <c r="AD551" s="606"/>
    </row>
    <row r="552" spans="1:30" s="831" customFormat="1" ht="15.75" customHeight="1">
      <c r="A552" s="204" t="str">
        <f>IF(B552&lt;&gt;"",IF(AND(B552&gt;=_TM1,B552&lt;=_TM2,OR(TH!L552="1111",TH!M552="1111")),TH!D552,""),"")</f>
        <v/>
      </c>
      <c r="B552" s="36">
        <f t="shared" si="41"/>
        <v>6</v>
      </c>
      <c r="C552" s="191">
        <f t="shared" si="39"/>
        <v>40701</v>
      </c>
      <c r="D552" s="184" t="s">
        <v>710</v>
      </c>
      <c r="E552" s="191">
        <v>40701</v>
      </c>
      <c r="F552" s="189" t="s">
        <v>549</v>
      </c>
      <c r="G552" s="498" t="s">
        <v>547</v>
      </c>
      <c r="H552" s="7" t="s">
        <v>548</v>
      </c>
      <c r="I552" s="256">
        <v>105</v>
      </c>
      <c r="J552" s="256">
        <v>13954</v>
      </c>
      <c r="K552" s="614">
        <f t="shared" ref="K552:K558" si="42">ROUND(I552*J552,0)</f>
        <v>1465170</v>
      </c>
      <c r="L552" s="194" t="s">
        <v>151</v>
      </c>
      <c r="M552" s="194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94"/>
      <c r="AB552" s="606"/>
      <c r="AC552" s="606"/>
      <c r="AD552" s="606"/>
    </row>
    <row r="553" spans="1:30" s="831" customFormat="1" ht="15.75" customHeight="1">
      <c r="A553" s="204" t="str">
        <f>IF(B553&lt;&gt;"",IF(AND(B553&gt;=_TM1,B553&lt;=_TM2,OR(TH!L553="1111",TH!M553="1111")),TH!D553,""),"")</f>
        <v/>
      </c>
      <c r="B553" s="36">
        <f t="shared" si="41"/>
        <v>6</v>
      </c>
      <c r="C553" s="191">
        <f t="shared" si="39"/>
        <v>40701</v>
      </c>
      <c r="D553" s="184" t="s">
        <v>710</v>
      </c>
      <c r="E553" s="191">
        <v>40701</v>
      </c>
      <c r="F553" s="189" t="s">
        <v>550</v>
      </c>
      <c r="G553" s="498" t="s">
        <v>547</v>
      </c>
      <c r="H553" s="7" t="s">
        <v>548</v>
      </c>
      <c r="I553" s="256">
        <v>130</v>
      </c>
      <c r="J553" s="256">
        <v>22476</v>
      </c>
      <c r="K553" s="614">
        <f t="shared" si="42"/>
        <v>2921880</v>
      </c>
      <c r="L553" s="194" t="s">
        <v>151</v>
      </c>
      <c r="M553" s="194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94"/>
      <c r="AB553" s="606"/>
      <c r="AC553" s="606"/>
      <c r="AD553" s="606"/>
    </row>
    <row r="554" spans="1:30" s="831" customFormat="1" ht="15.75" customHeight="1">
      <c r="A554" s="204" t="str">
        <f>IF(B554&lt;&gt;"",IF(AND(B554&gt;=_TM1,B554&lt;=_TM2,OR(TH!L554="1111",TH!M554="1111")),TH!D554,""),"")</f>
        <v/>
      </c>
      <c r="B554" s="36">
        <f t="shared" si="41"/>
        <v>6</v>
      </c>
      <c r="C554" s="191">
        <f t="shared" si="39"/>
        <v>40701</v>
      </c>
      <c r="D554" s="184" t="s">
        <v>710</v>
      </c>
      <c r="E554" s="191">
        <v>40701</v>
      </c>
      <c r="F554" s="189" t="s">
        <v>551</v>
      </c>
      <c r="G554" s="498" t="s">
        <v>547</v>
      </c>
      <c r="H554" s="7" t="s">
        <v>548</v>
      </c>
      <c r="I554" s="256">
        <v>105</v>
      </c>
      <c r="J554" s="256">
        <v>16973</v>
      </c>
      <c r="K554" s="614">
        <f t="shared" si="42"/>
        <v>1782165</v>
      </c>
      <c r="L554" s="194" t="s">
        <v>151</v>
      </c>
      <c r="M554" s="194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94"/>
      <c r="AB554" s="606"/>
      <c r="AC554" s="606"/>
      <c r="AD554" s="606"/>
    </row>
    <row r="555" spans="1:30" s="831" customFormat="1" ht="15.75" customHeight="1">
      <c r="A555" s="204" t="str">
        <f>IF(B555&lt;&gt;"",IF(AND(B555&gt;=_TM1,B555&lt;=_TM2,OR(TH!L555="1111",TH!M555="1111")),TH!D555,""),"")</f>
        <v/>
      </c>
      <c r="B555" s="36">
        <f t="shared" si="41"/>
        <v>6</v>
      </c>
      <c r="C555" s="191">
        <f t="shared" si="39"/>
        <v>40701</v>
      </c>
      <c r="D555" s="184" t="s">
        <v>710</v>
      </c>
      <c r="E555" s="191">
        <v>40701</v>
      </c>
      <c r="F555" s="189" t="s">
        <v>552</v>
      </c>
      <c r="G555" s="498" t="s">
        <v>547</v>
      </c>
      <c r="H555" s="7" t="s">
        <v>548</v>
      </c>
      <c r="I555" s="256">
        <v>3</v>
      </c>
      <c r="J555" s="256">
        <v>11247</v>
      </c>
      <c r="K555" s="614">
        <f t="shared" si="42"/>
        <v>33741</v>
      </c>
      <c r="L555" s="194" t="s">
        <v>151</v>
      </c>
      <c r="M555" s="194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94"/>
      <c r="AB555" s="211"/>
      <c r="AC555" s="211"/>
      <c r="AD555" s="606"/>
    </row>
    <row r="556" spans="1:30" s="831" customFormat="1" ht="15.75" customHeight="1">
      <c r="A556" s="204" t="str">
        <f>IF(B556&lt;&gt;"",IF(AND(B556&gt;=_TM1,B556&lt;=_TM2,OR(TH!L556="1111",TH!M556="1111")),TH!D556,""),"")</f>
        <v/>
      </c>
      <c r="B556" s="36">
        <f t="shared" si="41"/>
        <v>6</v>
      </c>
      <c r="C556" s="191">
        <f t="shared" si="39"/>
        <v>40701</v>
      </c>
      <c r="D556" s="184" t="s">
        <v>710</v>
      </c>
      <c r="E556" s="191">
        <v>40701</v>
      </c>
      <c r="F556" s="189" t="s">
        <v>553</v>
      </c>
      <c r="G556" s="498" t="s">
        <v>547</v>
      </c>
      <c r="H556" s="7" t="s">
        <v>548</v>
      </c>
      <c r="I556" s="256">
        <v>224</v>
      </c>
      <c r="J556" s="256">
        <v>17368</v>
      </c>
      <c r="K556" s="614">
        <f t="shared" si="42"/>
        <v>3890432</v>
      </c>
      <c r="L556" s="194" t="s">
        <v>151</v>
      </c>
      <c r="M556" s="194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94"/>
      <c r="AB556" s="606"/>
      <c r="AC556" s="606"/>
      <c r="AD556" s="606"/>
    </row>
    <row r="557" spans="1:30" s="831" customFormat="1" ht="15.75" customHeight="1">
      <c r="A557" s="204" t="str">
        <f>IF(B557&lt;&gt;"",IF(AND(B557&gt;=_TM1,B557&lt;=_TM2,OR(TH!L557="1111",TH!M557="1111")),TH!D557,""),"")</f>
        <v/>
      </c>
      <c r="B557" s="36">
        <f t="shared" si="41"/>
        <v>6</v>
      </c>
      <c r="C557" s="191">
        <f t="shared" si="39"/>
        <v>40701</v>
      </c>
      <c r="D557" s="184" t="s">
        <v>710</v>
      </c>
      <c r="E557" s="191">
        <v>40701</v>
      </c>
      <c r="F557" s="189" t="s">
        <v>554</v>
      </c>
      <c r="G557" s="498" t="s">
        <v>547</v>
      </c>
      <c r="H557" s="7" t="s">
        <v>548</v>
      </c>
      <c r="I557" s="256">
        <v>150</v>
      </c>
      <c r="J557" s="256">
        <v>21158</v>
      </c>
      <c r="K557" s="614">
        <f t="shared" si="42"/>
        <v>3173700</v>
      </c>
      <c r="L557" s="194" t="s">
        <v>151</v>
      </c>
      <c r="M557" s="194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94"/>
      <c r="AB557" s="211"/>
      <c r="AC557" s="211"/>
      <c r="AD557" s="606"/>
    </row>
    <row r="558" spans="1:30" s="831" customFormat="1" ht="15.75" customHeight="1">
      <c r="A558" s="204" t="str">
        <f>IF(B558&lt;&gt;"",IF(AND(B558&gt;=_TM1,B558&lt;=_TM2,OR(TH!L558="1111",TH!M558="1111")),TH!D558,""),"")</f>
        <v/>
      </c>
      <c r="B558" s="36">
        <f t="shared" si="41"/>
        <v>6</v>
      </c>
      <c r="C558" s="191">
        <f t="shared" si="39"/>
        <v>40701</v>
      </c>
      <c r="D558" s="184" t="s">
        <v>710</v>
      </c>
      <c r="E558" s="191">
        <v>40701</v>
      </c>
      <c r="F558" s="189" t="s">
        <v>555</v>
      </c>
      <c r="G558" s="498" t="s">
        <v>547</v>
      </c>
      <c r="H558" s="7" t="s">
        <v>548</v>
      </c>
      <c r="I558" s="256">
        <v>45</v>
      </c>
      <c r="J558" s="256">
        <v>15345</v>
      </c>
      <c r="K558" s="614">
        <f t="shared" si="42"/>
        <v>690525</v>
      </c>
      <c r="L558" s="194" t="s">
        <v>151</v>
      </c>
      <c r="M558" s="194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94"/>
      <c r="AB558" s="606"/>
      <c r="AC558" s="606"/>
      <c r="AD558" s="606"/>
    </row>
    <row r="559" spans="1:30" s="831" customFormat="1" ht="15.75" customHeight="1">
      <c r="A559" s="204" t="str">
        <f>IF(B559&lt;&gt;"",IF(AND(B559&gt;=_TM1,B559&lt;=_TM2,OR(TH!L559="1111",TH!M559="1111")),TH!D559,""),"")</f>
        <v/>
      </c>
      <c r="B559" s="36">
        <f t="shared" si="41"/>
        <v>6</v>
      </c>
      <c r="C559" s="191">
        <f t="shared" si="39"/>
        <v>40701</v>
      </c>
      <c r="D559" s="184" t="s">
        <v>710</v>
      </c>
      <c r="E559" s="191">
        <v>40701</v>
      </c>
      <c r="F559" s="189" t="s">
        <v>380</v>
      </c>
      <c r="G559" s="498" t="s">
        <v>547</v>
      </c>
      <c r="H559" s="7" t="s">
        <v>548</v>
      </c>
      <c r="I559" s="256"/>
      <c r="J559" s="256"/>
      <c r="K559" s="38">
        <v>1395761</v>
      </c>
      <c r="L559" s="194" t="s">
        <v>9</v>
      </c>
      <c r="M559" s="194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94"/>
      <c r="AB559" s="211">
        <v>6</v>
      </c>
      <c r="AC559" s="606"/>
      <c r="AD559" s="606"/>
    </row>
    <row r="560" spans="1:30" s="831" customFormat="1" ht="15.75" customHeight="1">
      <c r="A560" s="204" t="str">
        <f>IF(B560&lt;&gt;"",IF(AND(B560&gt;=_TM1,B560&lt;=_TM2,OR(TH!L560="1111",TH!M560="1111")),TH!D560,""),"")</f>
        <v/>
      </c>
      <c r="B560" s="36">
        <f t="shared" si="41"/>
        <v>6</v>
      </c>
      <c r="C560" s="184">
        <f t="shared" si="39"/>
        <v>40702</v>
      </c>
      <c r="D560" s="184" t="s">
        <v>333</v>
      </c>
      <c r="E560" s="184">
        <v>40702</v>
      </c>
      <c r="F560" s="189" t="s">
        <v>335</v>
      </c>
      <c r="G560" s="616" t="s">
        <v>330</v>
      </c>
      <c r="H560" s="193" t="s">
        <v>733</v>
      </c>
      <c r="I560" s="256"/>
      <c r="J560" s="256"/>
      <c r="K560" s="614">
        <v>76032911</v>
      </c>
      <c r="L560" s="615" t="s">
        <v>23</v>
      </c>
      <c r="M560" s="615" t="s">
        <v>259</v>
      </c>
      <c r="N560" s="52" t="str">
        <f>IF(AND('331-CT'!$E$7=TH!H560,OR(L560="331",M560="331")),"331",IF(AND(OR(L560="131",M560="131"),H560='131-CT'!$E$7),"131",""))</f>
        <v>131</v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>x</v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94"/>
      <c r="AB560" s="606"/>
      <c r="AC560" s="606"/>
      <c r="AD560" s="606"/>
    </row>
    <row r="561" spans="1:30" s="831" customFormat="1" ht="15.75" customHeight="1">
      <c r="A561" s="204" t="str">
        <f>IF(B561&lt;&gt;"",IF(AND(B561&gt;=_TM1,B561&lt;=_TM2,OR(TH!L561="1111",TH!M561="1111")),TH!D561,""),"")</f>
        <v/>
      </c>
      <c r="B561" s="36">
        <f t="shared" si="41"/>
        <v>6</v>
      </c>
      <c r="C561" s="191">
        <f t="shared" si="39"/>
        <v>40702</v>
      </c>
      <c r="D561" s="184" t="s">
        <v>711</v>
      </c>
      <c r="E561" s="191">
        <v>40702</v>
      </c>
      <c r="F561" s="192" t="s">
        <v>556</v>
      </c>
      <c r="G561" s="498" t="s">
        <v>558</v>
      </c>
      <c r="H561" s="193" t="s">
        <v>559</v>
      </c>
      <c r="I561" s="256">
        <v>185</v>
      </c>
      <c r="J561" s="256">
        <v>22372</v>
      </c>
      <c r="K561" s="614">
        <f>ROUND(I561*J561,0)</f>
        <v>4138820</v>
      </c>
      <c r="L561" s="194" t="s">
        <v>151</v>
      </c>
      <c r="M561" s="194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94"/>
      <c r="AB561" s="606"/>
      <c r="AC561" s="606"/>
      <c r="AD561" s="606"/>
    </row>
    <row r="562" spans="1:30" s="831" customFormat="1" ht="15.75" customHeight="1">
      <c r="A562" s="204" t="str">
        <f>IF(B562&lt;&gt;"",IF(AND(B562&gt;=_TM1,B562&lt;=_TM2,OR(TH!L562="1111",TH!M562="1111")),TH!D562,""),"")</f>
        <v/>
      </c>
      <c r="B562" s="36">
        <f t="shared" si="41"/>
        <v>6</v>
      </c>
      <c r="C562" s="191">
        <f t="shared" si="39"/>
        <v>40702</v>
      </c>
      <c r="D562" s="184" t="s">
        <v>711</v>
      </c>
      <c r="E562" s="191">
        <v>40702</v>
      </c>
      <c r="F562" s="192" t="s">
        <v>557</v>
      </c>
      <c r="G562" s="498" t="s">
        <v>558</v>
      </c>
      <c r="H562" s="193" t="s">
        <v>559</v>
      </c>
      <c r="I562" s="256">
        <v>500</v>
      </c>
      <c r="J562" s="256">
        <v>24005</v>
      </c>
      <c r="K562" s="614">
        <f>ROUND(I562*J562,0)</f>
        <v>12002500</v>
      </c>
      <c r="L562" s="194" t="s">
        <v>151</v>
      </c>
      <c r="M562" s="194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94"/>
      <c r="AB562" s="606"/>
      <c r="AC562" s="606"/>
      <c r="AD562" s="606"/>
    </row>
    <row r="563" spans="1:30" s="831" customFormat="1" ht="15.75" customHeight="1">
      <c r="A563" s="204" t="str">
        <f>IF(B563&lt;&gt;"",IF(AND(B563&gt;=_TM1,B563&lt;=_TM2,OR(TH!L563="1111",TH!M563="1111")),TH!D563,""),"")</f>
        <v/>
      </c>
      <c r="B563" s="36">
        <f t="shared" si="41"/>
        <v>6</v>
      </c>
      <c r="C563" s="191">
        <f t="shared" si="39"/>
        <v>40702</v>
      </c>
      <c r="D563" s="184" t="s">
        <v>711</v>
      </c>
      <c r="E563" s="191">
        <v>40702</v>
      </c>
      <c r="F563" s="192" t="s">
        <v>560</v>
      </c>
      <c r="G563" s="498" t="s">
        <v>558</v>
      </c>
      <c r="H563" s="193" t="s">
        <v>559</v>
      </c>
      <c r="I563" s="256"/>
      <c r="J563" s="256"/>
      <c r="K563" s="38">
        <v>1614132</v>
      </c>
      <c r="L563" s="194" t="s">
        <v>9</v>
      </c>
      <c r="M563" s="194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94"/>
      <c r="AB563" s="211">
        <v>6</v>
      </c>
      <c r="AC563" s="606"/>
      <c r="AD563" s="606"/>
    </row>
    <row r="564" spans="1:30" s="831" customFormat="1" ht="15.75" customHeight="1">
      <c r="A564" s="204" t="str">
        <f>IF(B564&lt;&gt;"",IF(AND(B564&gt;=_TM1,B564&lt;=_TM2,OR(TH!L564="1111",TH!M564="1111")),TH!D564,""),"")</f>
        <v/>
      </c>
      <c r="B564" s="36">
        <f t="shared" si="41"/>
        <v>6</v>
      </c>
      <c r="C564" s="191">
        <f t="shared" si="39"/>
        <v>40702</v>
      </c>
      <c r="D564" s="720" t="s">
        <v>1103</v>
      </c>
      <c r="E564" s="191">
        <v>40702</v>
      </c>
      <c r="F564" s="298" t="s">
        <v>479</v>
      </c>
      <c r="G564" s="498"/>
      <c r="H564" s="628" t="s">
        <v>1092</v>
      </c>
      <c r="I564" s="256">
        <v>203</v>
      </c>
      <c r="J564" s="256">
        <v>6026</v>
      </c>
      <c r="K564" s="614">
        <f t="shared" ref="K564:K573" si="43">ROUND(I564*J564,0)</f>
        <v>1223278</v>
      </c>
      <c r="L564" s="39" t="s">
        <v>157</v>
      </c>
      <c r="M564" s="724" t="s">
        <v>151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>154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94"/>
      <c r="AB564" s="198"/>
      <c r="AC564" s="198"/>
      <c r="AD564" s="198"/>
    </row>
    <row r="565" spans="1:30" s="831" customFormat="1" ht="15.75" customHeight="1">
      <c r="A565" s="204" t="str">
        <f>IF(B565&lt;&gt;"",IF(AND(B565&gt;=_TM1,B565&lt;=_TM2,OR(TH!L565="1111",TH!M565="1111")),TH!D565,""),"")</f>
        <v/>
      </c>
      <c r="B565" s="36">
        <f t="shared" si="41"/>
        <v>6</v>
      </c>
      <c r="C565" s="191">
        <f t="shared" si="39"/>
        <v>40702</v>
      </c>
      <c r="D565" s="720" t="s">
        <v>1103</v>
      </c>
      <c r="E565" s="191">
        <v>40702</v>
      </c>
      <c r="F565" s="189" t="s">
        <v>387</v>
      </c>
      <c r="G565" s="498"/>
      <c r="H565" s="628" t="s">
        <v>1092</v>
      </c>
      <c r="I565" s="839">
        <v>1</v>
      </c>
      <c r="J565" s="256">
        <v>4449</v>
      </c>
      <c r="K565" s="614">
        <f t="shared" si="43"/>
        <v>4449</v>
      </c>
      <c r="L565" s="39" t="s">
        <v>157</v>
      </c>
      <c r="M565" s="724" t="s">
        <v>151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>154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>x</v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94"/>
      <c r="AB565" s="198"/>
      <c r="AC565" s="198"/>
      <c r="AD565" s="198"/>
    </row>
    <row r="566" spans="1:30" s="831" customFormat="1" ht="15.75" customHeight="1">
      <c r="A566" s="204" t="str">
        <f>IF(B566&lt;&gt;"",IF(AND(B566&gt;=_TM1,B566&lt;=_TM2,OR(TH!L566="1111",TH!M566="1111")),TH!D566,""),"")</f>
        <v/>
      </c>
      <c r="B566" s="36">
        <f t="shared" si="41"/>
        <v>6</v>
      </c>
      <c r="C566" s="191">
        <f t="shared" si="39"/>
        <v>40702</v>
      </c>
      <c r="D566" s="720" t="s">
        <v>1103</v>
      </c>
      <c r="E566" s="191">
        <v>40702</v>
      </c>
      <c r="F566" s="189" t="s">
        <v>496</v>
      </c>
      <c r="G566" s="498"/>
      <c r="H566" s="628" t="s">
        <v>1092</v>
      </c>
      <c r="I566" s="256">
        <v>0.5</v>
      </c>
      <c r="J566" s="256">
        <v>16462</v>
      </c>
      <c r="K566" s="614">
        <f t="shared" si="43"/>
        <v>8231</v>
      </c>
      <c r="L566" s="39" t="s">
        <v>157</v>
      </c>
      <c r="M566" s="724" t="s">
        <v>151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>154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94"/>
      <c r="AB566" s="198"/>
      <c r="AC566" s="198"/>
      <c r="AD566" s="198"/>
    </row>
    <row r="567" spans="1:30" s="831" customFormat="1" ht="15.75" customHeight="1">
      <c r="A567" s="204" t="str">
        <f>IF(B567&lt;&gt;"",IF(AND(B567&gt;=_TM1,B567&lt;=_TM2,OR(TH!L567="1111",TH!M567="1111")),TH!D567,""),"")</f>
        <v/>
      </c>
      <c r="B567" s="36">
        <f t="shared" si="41"/>
        <v>6</v>
      </c>
      <c r="C567" s="191">
        <f t="shared" si="39"/>
        <v>40702</v>
      </c>
      <c r="D567" s="720" t="s">
        <v>1103</v>
      </c>
      <c r="E567" s="191">
        <v>40702</v>
      </c>
      <c r="F567" s="189" t="s">
        <v>478</v>
      </c>
      <c r="G567" s="498"/>
      <c r="H567" s="628" t="s">
        <v>1092</v>
      </c>
      <c r="I567" s="256">
        <v>2</v>
      </c>
      <c r="J567" s="256">
        <v>4592</v>
      </c>
      <c r="K567" s="614">
        <f t="shared" si="43"/>
        <v>9184</v>
      </c>
      <c r="L567" s="39" t="s">
        <v>157</v>
      </c>
      <c r="M567" s="724" t="s">
        <v>151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>154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94"/>
      <c r="AB567" s="198"/>
      <c r="AC567" s="198"/>
      <c r="AD567" s="198"/>
    </row>
    <row r="568" spans="1:30" s="831" customFormat="1" ht="15.75" customHeight="1">
      <c r="A568" s="204" t="str">
        <f>IF(B568&lt;&gt;"",IF(AND(B568&gt;=_TM1,B568&lt;=_TM2,OR(TH!L568="1111",TH!M568="1111")),TH!D568,""),"")</f>
        <v/>
      </c>
      <c r="B568" s="36">
        <f t="shared" si="41"/>
        <v>6</v>
      </c>
      <c r="C568" s="191">
        <f t="shared" si="39"/>
        <v>40702</v>
      </c>
      <c r="D568" s="720" t="s">
        <v>1103</v>
      </c>
      <c r="E568" s="191">
        <v>40702</v>
      </c>
      <c r="F568" s="40" t="s">
        <v>599</v>
      </c>
      <c r="G568" s="498"/>
      <c r="H568" s="628" t="s">
        <v>1092</v>
      </c>
      <c r="I568" s="256">
        <v>0.5</v>
      </c>
      <c r="J568" s="256">
        <v>26894</v>
      </c>
      <c r="K568" s="614">
        <f t="shared" si="43"/>
        <v>13447</v>
      </c>
      <c r="L568" s="39" t="s">
        <v>157</v>
      </c>
      <c r="M568" s="724" t="s">
        <v>151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>154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94"/>
      <c r="AB568" s="198"/>
      <c r="AC568" s="198"/>
      <c r="AD568" s="198"/>
    </row>
    <row r="569" spans="1:30" s="831" customFormat="1" ht="15.75" customHeight="1">
      <c r="A569" s="204" t="str">
        <f>IF(B569&lt;&gt;"",IF(AND(B569&gt;=_TM1,B569&lt;=_TM2,OR(TH!L569="1111",TH!M569="1111")),TH!D569,""),"")</f>
        <v/>
      </c>
      <c r="B569" s="36">
        <f t="shared" si="41"/>
        <v>6</v>
      </c>
      <c r="C569" s="191">
        <f t="shared" si="39"/>
        <v>40702</v>
      </c>
      <c r="D569" s="720" t="s">
        <v>1103</v>
      </c>
      <c r="E569" s="191">
        <v>40702</v>
      </c>
      <c r="F569" s="40" t="s">
        <v>599</v>
      </c>
      <c r="G569" s="498"/>
      <c r="H569" s="628" t="s">
        <v>1092</v>
      </c>
      <c r="I569" s="256">
        <v>4.5</v>
      </c>
      <c r="J569" s="256">
        <v>26894</v>
      </c>
      <c r="K569" s="614">
        <f t="shared" si="43"/>
        <v>121023</v>
      </c>
      <c r="L569" s="39" t="s">
        <v>157</v>
      </c>
      <c r="M569" s="724" t="s">
        <v>151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>154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94"/>
      <c r="AB569" s="198"/>
      <c r="AC569" s="198"/>
      <c r="AD569" s="198"/>
    </row>
    <row r="570" spans="1:30" s="831" customFormat="1" ht="15.75" customHeight="1">
      <c r="A570" s="204" t="str">
        <f>IF(B570&lt;&gt;"",IF(AND(B570&gt;=_TM1,B570&lt;=_TM2,OR(TH!L570="1111",TH!M570="1111")),TH!D570,""),"")</f>
        <v/>
      </c>
      <c r="B570" s="36">
        <f t="shared" si="41"/>
        <v>6</v>
      </c>
      <c r="C570" s="191">
        <f t="shared" si="39"/>
        <v>40702</v>
      </c>
      <c r="D570" s="720" t="s">
        <v>1103</v>
      </c>
      <c r="E570" s="191">
        <v>40702</v>
      </c>
      <c r="F570" s="855" t="s">
        <v>385</v>
      </c>
      <c r="G570" s="498"/>
      <c r="H570" s="628" t="s">
        <v>1092</v>
      </c>
      <c r="I570" s="256">
        <v>291</v>
      </c>
      <c r="J570" s="256">
        <v>6124</v>
      </c>
      <c r="K570" s="614">
        <f t="shared" si="43"/>
        <v>1782084</v>
      </c>
      <c r="L570" s="39" t="s">
        <v>157</v>
      </c>
      <c r="M570" s="724" t="s">
        <v>151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>154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94"/>
      <c r="AB570" s="198"/>
      <c r="AC570" s="198"/>
      <c r="AD570" s="198"/>
    </row>
    <row r="571" spans="1:30" s="831" customFormat="1" ht="15.75" customHeight="1">
      <c r="A571" s="204" t="str">
        <f>IF(B571&lt;&gt;"",IF(AND(B571&gt;=_TM1,B571&lt;=_TM2,OR(TH!L571="1111",TH!M571="1111")),TH!D571,""),"")</f>
        <v/>
      </c>
      <c r="B571" s="36">
        <f t="shared" si="41"/>
        <v>6</v>
      </c>
      <c r="C571" s="191">
        <f t="shared" si="39"/>
        <v>40702</v>
      </c>
      <c r="D571" s="720" t="s">
        <v>1103</v>
      </c>
      <c r="E571" s="191">
        <v>40702</v>
      </c>
      <c r="F571" s="189" t="s">
        <v>385</v>
      </c>
      <c r="G571" s="498"/>
      <c r="H571" s="628" t="s">
        <v>1092</v>
      </c>
      <c r="I571" s="256">
        <v>1</v>
      </c>
      <c r="J571" s="256">
        <v>6124</v>
      </c>
      <c r="K571" s="614">
        <f t="shared" si="43"/>
        <v>6124</v>
      </c>
      <c r="L571" s="39" t="s">
        <v>157</v>
      </c>
      <c r="M571" s="724" t="s">
        <v>151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>154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94"/>
      <c r="AB571" s="198"/>
      <c r="AC571" s="198"/>
      <c r="AD571" s="198"/>
    </row>
    <row r="572" spans="1:30" s="831" customFormat="1" ht="15.75" customHeight="1">
      <c r="A572" s="204" t="str">
        <f>IF(B572&lt;&gt;"",IF(AND(B572&gt;=_TM1,B572&lt;=_TM2,OR(TH!L572="1111",TH!M572="1111")),TH!D572,""),"")</f>
        <v/>
      </c>
      <c r="B572" s="36">
        <f t="shared" si="41"/>
        <v>6</v>
      </c>
      <c r="C572" s="191">
        <f t="shared" si="39"/>
        <v>40702</v>
      </c>
      <c r="D572" s="720" t="s">
        <v>1103</v>
      </c>
      <c r="E572" s="191">
        <v>40702</v>
      </c>
      <c r="F572" s="40" t="s">
        <v>596</v>
      </c>
      <c r="G572" s="498"/>
      <c r="H572" s="628" t="s">
        <v>1092</v>
      </c>
      <c r="I572" s="256">
        <v>120</v>
      </c>
      <c r="J572" s="256">
        <v>15946</v>
      </c>
      <c r="K572" s="614">
        <f t="shared" si="43"/>
        <v>1913520</v>
      </c>
      <c r="L572" s="39" t="s">
        <v>157</v>
      </c>
      <c r="M572" s="724" t="s">
        <v>151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>154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94"/>
      <c r="AB572" s="198"/>
      <c r="AC572" s="198"/>
      <c r="AD572" s="198"/>
    </row>
    <row r="573" spans="1:30" s="833" customFormat="1" ht="15.75" customHeight="1">
      <c r="A573" s="204" t="str">
        <f>IF(B573&lt;&gt;"",IF(AND(B573&gt;=_TM1,B573&lt;=_TM2,OR(TH!L573="1111",TH!M573="1111")),TH!D573,""),"")</f>
        <v/>
      </c>
      <c r="B573" s="36">
        <f t="shared" si="41"/>
        <v>6</v>
      </c>
      <c r="C573" s="191">
        <f t="shared" si="39"/>
        <v>40703</v>
      </c>
      <c r="D573" s="184" t="s">
        <v>712</v>
      </c>
      <c r="E573" s="191">
        <v>40703</v>
      </c>
      <c r="F573" s="192" t="s">
        <v>557</v>
      </c>
      <c r="G573" s="498" t="s">
        <v>561</v>
      </c>
      <c r="H573" s="193" t="s">
        <v>559</v>
      </c>
      <c r="I573" s="256">
        <v>658</v>
      </c>
      <c r="J573" s="256">
        <v>24005</v>
      </c>
      <c r="K573" s="614">
        <f t="shared" si="43"/>
        <v>15795290</v>
      </c>
      <c r="L573" s="194" t="s">
        <v>151</v>
      </c>
      <c r="M573" s="194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94"/>
      <c r="AB573" s="211"/>
      <c r="AC573" s="211"/>
      <c r="AD573" s="606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41"/>
        <v>6</v>
      </c>
      <c r="C574" s="191">
        <f t="shared" si="39"/>
        <v>40703</v>
      </c>
      <c r="D574" s="184" t="s">
        <v>712</v>
      </c>
      <c r="E574" s="191">
        <v>40703</v>
      </c>
      <c r="F574" s="192" t="s">
        <v>560</v>
      </c>
      <c r="G574" s="498" t="s">
        <v>561</v>
      </c>
      <c r="H574" s="193" t="s">
        <v>559</v>
      </c>
      <c r="I574" s="256"/>
      <c r="J574" s="256"/>
      <c r="K574" s="38">
        <v>1579529</v>
      </c>
      <c r="L574" s="194" t="s">
        <v>9</v>
      </c>
      <c r="M574" s="194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94"/>
      <c r="AB574" s="211">
        <v>6</v>
      </c>
      <c r="AC574" s="606"/>
      <c r="AD574" s="606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41"/>
        <v>6</v>
      </c>
      <c r="C575" s="191">
        <f t="shared" si="39"/>
        <v>40704</v>
      </c>
      <c r="D575" s="184" t="s">
        <v>692</v>
      </c>
      <c r="E575" s="191">
        <v>40704</v>
      </c>
      <c r="F575" s="189" t="s">
        <v>1080</v>
      </c>
      <c r="G575" s="498" t="s">
        <v>566</v>
      </c>
      <c r="H575" s="7" t="s">
        <v>548</v>
      </c>
      <c r="I575" s="258"/>
      <c r="J575" s="258"/>
      <c r="K575" s="38">
        <v>10007066</v>
      </c>
      <c r="L575" s="194" t="s">
        <v>8</v>
      </c>
      <c r="M575" s="194" t="s">
        <v>46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>x</v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94"/>
      <c r="AB575" s="606"/>
      <c r="AC575" s="606"/>
      <c r="AD575" s="606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41"/>
        <v>6</v>
      </c>
      <c r="C576" s="191">
        <f t="shared" si="39"/>
        <v>40704</v>
      </c>
      <c r="D576" s="184" t="s">
        <v>713</v>
      </c>
      <c r="E576" s="191">
        <v>40704</v>
      </c>
      <c r="F576" s="189" t="s">
        <v>562</v>
      </c>
      <c r="G576" s="498" t="s">
        <v>566</v>
      </c>
      <c r="H576" s="7" t="s">
        <v>548</v>
      </c>
      <c r="I576" s="256">
        <v>206</v>
      </c>
      <c r="J576" s="256">
        <v>18390</v>
      </c>
      <c r="K576" s="614">
        <f>ROUND(I576*J576,0)</f>
        <v>3788340</v>
      </c>
      <c r="L576" s="194" t="s">
        <v>151</v>
      </c>
      <c r="M576" s="194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94"/>
      <c r="AB576" s="606"/>
      <c r="AC576" s="606"/>
      <c r="AD576" s="606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41"/>
        <v>6</v>
      </c>
      <c r="C577" s="191">
        <f t="shared" si="39"/>
        <v>40704</v>
      </c>
      <c r="D577" s="184" t="s">
        <v>713</v>
      </c>
      <c r="E577" s="191">
        <v>40704</v>
      </c>
      <c r="F577" s="189" t="s">
        <v>563</v>
      </c>
      <c r="G577" s="498" t="s">
        <v>566</v>
      </c>
      <c r="H577" s="7" t="s">
        <v>548</v>
      </c>
      <c r="I577" s="256">
        <v>43</v>
      </c>
      <c r="J577" s="256">
        <v>29843</v>
      </c>
      <c r="K577" s="614">
        <f>ROUND(I577*J577,0)</f>
        <v>1283249</v>
      </c>
      <c r="L577" s="194" t="s">
        <v>151</v>
      </c>
      <c r="M577" s="194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94"/>
      <c r="AB577" s="211"/>
      <c r="AC577" s="211"/>
      <c r="AD577" s="606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41"/>
        <v>6</v>
      </c>
      <c r="C578" s="191">
        <f t="shared" si="39"/>
        <v>40704</v>
      </c>
      <c r="D578" s="184" t="s">
        <v>713</v>
      </c>
      <c r="E578" s="191">
        <v>40704</v>
      </c>
      <c r="F578" s="189" t="s">
        <v>564</v>
      </c>
      <c r="G578" s="498" t="s">
        <v>566</v>
      </c>
      <c r="H578" s="7" t="s">
        <v>548</v>
      </c>
      <c r="I578" s="258">
        <v>43</v>
      </c>
      <c r="J578" s="258">
        <v>28273</v>
      </c>
      <c r="K578" s="614">
        <f>ROUND(I578*J578,0)</f>
        <v>1215739</v>
      </c>
      <c r="L578" s="194" t="s">
        <v>151</v>
      </c>
      <c r="M578" s="194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94"/>
      <c r="AB578" s="606"/>
      <c r="AC578" s="606"/>
      <c r="AD578" s="606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41"/>
        <v>6</v>
      </c>
      <c r="C579" s="191">
        <f t="shared" si="39"/>
        <v>40704</v>
      </c>
      <c r="D579" s="184" t="s">
        <v>713</v>
      </c>
      <c r="E579" s="191">
        <v>40704</v>
      </c>
      <c r="F579" s="189" t="s">
        <v>565</v>
      </c>
      <c r="G579" s="498" t="s">
        <v>566</v>
      </c>
      <c r="H579" s="7" t="s">
        <v>548</v>
      </c>
      <c r="I579" s="256">
        <v>95</v>
      </c>
      <c r="J579" s="256">
        <v>29579</v>
      </c>
      <c r="K579" s="614">
        <f>ROUND(I579*J579,0)</f>
        <v>2810005</v>
      </c>
      <c r="L579" s="194" t="s">
        <v>151</v>
      </c>
      <c r="M579" s="194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94"/>
      <c r="AB579" s="211"/>
      <c r="AC579" s="211"/>
      <c r="AD579" s="606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41"/>
        <v>6</v>
      </c>
      <c r="C580" s="191">
        <f t="shared" si="39"/>
        <v>40704</v>
      </c>
      <c r="D580" s="184" t="s">
        <v>713</v>
      </c>
      <c r="E580" s="191">
        <v>40704</v>
      </c>
      <c r="F580" s="189" t="s">
        <v>380</v>
      </c>
      <c r="G580" s="498" t="s">
        <v>566</v>
      </c>
      <c r="H580" s="7" t="s">
        <v>548</v>
      </c>
      <c r="I580" s="258"/>
      <c r="J580" s="258"/>
      <c r="K580" s="38">
        <v>909733</v>
      </c>
      <c r="L580" s="194" t="s">
        <v>9</v>
      </c>
      <c r="M580" s="194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94"/>
      <c r="AB580" s="211">
        <v>6</v>
      </c>
      <c r="AC580" s="606"/>
      <c r="AD580" s="606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41"/>
        <v>6</v>
      </c>
      <c r="C581" s="191">
        <f t="shared" si="39"/>
        <v>40705</v>
      </c>
      <c r="D581" s="184" t="s">
        <v>693</v>
      </c>
      <c r="E581" s="191">
        <v>40705</v>
      </c>
      <c r="F581" s="192" t="s">
        <v>448</v>
      </c>
      <c r="G581" s="498" t="s">
        <v>534</v>
      </c>
      <c r="H581" s="45" t="s">
        <v>451</v>
      </c>
      <c r="I581" s="256"/>
      <c r="J581" s="256"/>
      <c r="K581" s="38">
        <v>888420</v>
      </c>
      <c r="L581" s="194" t="s">
        <v>157</v>
      </c>
      <c r="M581" s="194" t="s">
        <v>46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>x</v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>154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94"/>
      <c r="AB581" s="606"/>
      <c r="AC581" s="606"/>
      <c r="AD581" s="606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41"/>
        <v>6</v>
      </c>
      <c r="C582" s="191">
        <f t="shared" si="39"/>
        <v>40705</v>
      </c>
      <c r="D582" s="184" t="s">
        <v>693</v>
      </c>
      <c r="E582" s="191">
        <v>40705</v>
      </c>
      <c r="F582" s="192" t="s">
        <v>449</v>
      </c>
      <c r="G582" s="498" t="s">
        <v>534</v>
      </c>
      <c r="H582" s="45" t="s">
        <v>451</v>
      </c>
      <c r="I582" s="256"/>
      <c r="J582" s="256"/>
      <c r="K582" s="38">
        <v>88842</v>
      </c>
      <c r="L582" s="194" t="s">
        <v>9</v>
      </c>
      <c r="M582" s="194" t="s">
        <v>46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>x</v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94"/>
      <c r="AB582" s="211">
        <v>6</v>
      </c>
      <c r="AC582" s="606"/>
      <c r="AD582" s="606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41"/>
        <v>6</v>
      </c>
      <c r="C583" s="191">
        <f t="shared" si="39"/>
        <v>40706</v>
      </c>
      <c r="D583" s="184" t="s">
        <v>948</v>
      </c>
      <c r="E583" s="191">
        <v>40706</v>
      </c>
      <c r="F583" s="189" t="s">
        <v>1080</v>
      </c>
      <c r="G583" s="498" t="s">
        <v>567</v>
      </c>
      <c r="H583" s="7" t="s">
        <v>499</v>
      </c>
      <c r="I583" s="256"/>
      <c r="J583" s="256"/>
      <c r="K583" s="38">
        <v>15310050</v>
      </c>
      <c r="L583" s="194" t="s">
        <v>8</v>
      </c>
      <c r="M583" s="194" t="s">
        <v>46</v>
      </c>
      <c r="N583" s="52" t="str">
        <f>IF(AND('331-CT'!$E$7=TH!H583,OR(L583="331",M583="331")),"331",IF(AND(OR(L583="131",M583="131"),H583='131-CT'!$E$7),"131",""))</f>
        <v>331</v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>x</v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94"/>
      <c r="AB583" s="606"/>
      <c r="AC583" s="606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41"/>
        <v>6</v>
      </c>
      <c r="C584" s="191">
        <f t="shared" si="39"/>
        <v>40706</v>
      </c>
      <c r="D584" s="184" t="s">
        <v>714</v>
      </c>
      <c r="E584" s="191">
        <v>40706</v>
      </c>
      <c r="F584" s="189" t="s">
        <v>543</v>
      </c>
      <c r="G584" s="498" t="s">
        <v>567</v>
      </c>
      <c r="H584" s="7" t="s">
        <v>499</v>
      </c>
      <c r="I584" s="256">
        <v>49</v>
      </c>
      <c r="J584" s="256">
        <v>28059</v>
      </c>
      <c r="K584" s="614">
        <f t="shared" ref="K584:K589" si="44">ROUND(I584*J584,0)</f>
        <v>1374891</v>
      </c>
      <c r="L584" s="194" t="s">
        <v>151</v>
      </c>
      <c r="M584" s="194" t="s">
        <v>8</v>
      </c>
      <c r="N584" s="52" t="str">
        <f>IF(AND('331-CT'!$E$7=TH!H584,OR(L584="331",M584="331")),"331",IF(AND(OR(L584="131",M584="131"),H584='131-CT'!$E$7),"131",""))</f>
        <v>331</v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94"/>
      <c r="AB584" s="606"/>
      <c r="AC584" s="606"/>
      <c r="AD584" s="606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41"/>
        <v>6</v>
      </c>
      <c r="C585" s="191">
        <f t="shared" si="39"/>
        <v>40706</v>
      </c>
      <c r="D585" s="184" t="s">
        <v>714</v>
      </c>
      <c r="E585" s="191">
        <v>40706</v>
      </c>
      <c r="F585" s="189" t="s">
        <v>568</v>
      </c>
      <c r="G585" s="498" t="s">
        <v>567</v>
      </c>
      <c r="H585" s="7" t="s">
        <v>499</v>
      </c>
      <c r="I585" s="256">
        <v>104</v>
      </c>
      <c r="J585" s="256">
        <v>24030</v>
      </c>
      <c r="K585" s="614">
        <f t="shared" si="44"/>
        <v>2499120</v>
      </c>
      <c r="L585" s="194" t="s">
        <v>151</v>
      </c>
      <c r="M585" s="194" t="s">
        <v>8</v>
      </c>
      <c r="N585" s="52" t="str">
        <f>IF(AND('331-CT'!$E$7=TH!H585,OR(L585="331",M585="331")),"331",IF(AND(OR(L585="131",M585="131"),H585='131-CT'!$E$7),"131",""))</f>
        <v>331</v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94"/>
      <c r="AB585" s="211"/>
      <c r="AC585" s="211"/>
      <c r="AD585" s="606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41"/>
        <v>6</v>
      </c>
      <c r="C586" s="191">
        <f t="shared" si="39"/>
        <v>40706</v>
      </c>
      <c r="D586" s="184" t="s">
        <v>714</v>
      </c>
      <c r="E586" s="191">
        <v>40706</v>
      </c>
      <c r="F586" s="189" t="s">
        <v>569</v>
      </c>
      <c r="G586" s="498" t="s">
        <v>567</v>
      </c>
      <c r="H586" s="7" t="s">
        <v>499</v>
      </c>
      <c r="I586" s="256">
        <v>104</v>
      </c>
      <c r="J586" s="256">
        <v>25524</v>
      </c>
      <c r="K586" s="614">
        <f t="shared" si="44"/>
        <v>2654496</v>
      </c>
      <c r="L586" s="194" t="s">
        <v>151</v>
      </c>
      <c r="M586" s="194" t="s">
        <v>8</v>
      </c>
      <c r="N586" s="52" t="str">
        <f>IF(AND('331-CT'!$E$7=TH!H586,OR(L586="331",M586="331")),"331",IF(AND(OR(L586="131",M586="131"),H586='131-CT'!$E$7),"131",""))</f>
        <v>331</v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94"/>
      <c r="AB586" s="606"/>
      <c r="AC586" s="606"/>
      <c r="AD586" s="606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41"/>
        <v>6</v>
      </c>
      <c r="C587" s="191">
        <f t="shared" si="39"/>
        <v>40706</v>
      </c>
      <c r="D587" s="184" t="s">
        <v>714</v>
      </c>
      <c r="E587" s="191">
        <v>40706</v>
      </c>
      <c r="F587" s="189" t="s">
        <v>570</v>
      </c>
      <c r="G587" s="498" t="s">
        <v>567</v>
      </c>
      <c r="H587" s="7" t="s">
        <v>499</v>
      </c>
      <c r="I587" s="256">
        <v>104</v>
      </c>
      <c r="J587" s="256">
        <v>27479</v>
      </c>
      <c r="K587" s="614">
        <f t="shared" si="44"/>
        <v>2857816</v>
      </c>
      <c r="L587" s="194" t="s">
        <v>151</v>
      </c>
      <c r="M587" s="194" t="s">
        <v>8</v>
      </c>
      <c r="N587" s="52" t="str">
        <f>IF(AND('331-CT'!$E$7=TH!H587,OR(L587="331",M587="331")),"331",IF(AND(OR(L587="131",M587="131"),H587='131-CT'!$E$7),"131",""))</f>
        <v>331</v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94"/>
      <c r="AB587" s="211"/>
      <c r="AC587" s="211"/>
      <c r="AD587" s="606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41"/>
        <v>6</v>
      </c>
      <c r="C588" s="191">
        <f t="shared" si="39"/>
        <v>40706</v>
      </c>
      <c r="D588" s="184" t="s">
        <v>714</v>
      </c>
      <c r="E588" s="191">
        <v>40706</v>
      </c>
      <c r="F588" s="189" t="s">
        <v>571</v>
      </c>
      <c r="G588" s="498" t="s">
        <v>567</v>
      </c>
      <c r="H588" s="7" t="s">
        <v>499</v>
      </c>
      <c r="I588" s="256">
        <v>104</v>
      </c>
      <c r="J588" s="256">
        <v>23340</v>
      </c>
      <c r="K588" s="614">
        <f t="shared" si="44"/>
        <v>2427360</v>
      </c>
      <c r="L588" s="194" t="s">
        <v>151</v>
      </c>
      <c r="M588" s="194" t="s">
        <v>8</v>
      </c>
      <c r="N588" s="52" t="str">
        <f>IF(AND('331-CT'!$E$7=TH!H588,OR(L588="331",M588="331")),"331",IF(AND(OR(L588="131",M588="131"),H588='131-CT'!$E$7),"131",""))</f>
        <v>331</v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94"/>
      <c r="AB588" s="606"/>
      <c r="AC588" s="606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41"/>
        <v>6</v>
      </c>
      <c r="C589" s="191">
        <f t="shared" si="39"/>
        <v>40706</v>
      </c>
      <c r="D589" s="184" t="s">
        <v>714</v>
      </c>
      <c r="E589" s="191">
        <v>40706</v>
      </c>
      <c r="F589" s="189" t="s">
        <v>572</v>
      </c>
      <c r="G589" s="498" t="s">
        <v>567</v>
      </c>
      <c r="H589" s="7" t="s">
        <v>499</v>
      </c>
      <c r="I589" s="256">
        <v>104</v>
      </c>
      <c r="J589" s="256">
        <v>20236</v>
      </c>
      <c r="K589" s="614">
        <f t="shared" si="44"/>
        <v>2104544</v>
      </c>
      <c r="L589" s="194" t="s">
        <v>151</v>
      </c>
      <c r="M589" s="194" t="s">
        <v>8</v>
      </c>
      <c r="N589" s="52" t="str">
        <f>IF(AND('331-CT'!$E$7=TH!H589,OR(L589="331",M589="331")),"331",IF(AND(OR(L589="131",M589="131"),H589='131-CT'!$E$7),"131",""))</f>
        <v>331</v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94"/>
      <c r="AB589" s="606"/>
      <c r="AC589" s="606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41"/>
        <v>6</v>
      </c>
      <c r="C590" s="191">
        <f t="shared" si="39"/>
        <v>40706</v>
      </c>
      <c r="D590" s="184" t="s">
        <v>714</v>
      </c>
      <c r="E590" s="191">
        <v>40706</v>
      </c>
      <c r="F590" s="189" t="s">
        <v>380</v>
      </c>
      <c r="G590" s="498" t="s">
        <v>567</v>
      </c>
      <c r="H590" s="7" t="s">
        <v>499</v>
      </c>
      <c r="I590" s="256"/>
      <c r="J590" s="256"/>
      <c r="K590" s="38">
        <v>1391823</v>
      </c>
      <c r="L590" s="194" t="s">
        <v>9</v>
      </c>
      <c r="M590" s="194" t="s">
        <v>8</v>
      </c>
      <c r="N590" s="52" t="str">
        <f>IF(AND('331-CT'!$E$7=TH!H590,OR(L590="331",M590="331")),"331",IF(AND(OR(L590="131",M590="131"),H590='131-CT'!$E$7),"131",""))</f>
        <v>331</v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94"/>
      <c r="AB590" s="211">
        <v>6</v>
      </c>
      <c r="AC590" s="606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41"/>
        <v>6</v>
      </c>
      <c r="C591" s="191">
        <f t="shared" ref="C591:C654" si="45">E591</f>
        <v>40707</v>
      </c>
      <c r="D591" s="184" t="s">
        <v>949</v>
      </c>
      <c r="E591" s="191">
        <v>40707</v>
      </c>
      <c r="F591" s="192" t="s">
        <v>537</v>
      </c>
      <c r="G591" s="498" t="s">
        <v>536</v>
      </c>
      <c r="H591" s="193" t="s">
        <v>535</v>
      </c>
      <c r="I591" s="256"/>
      <c r="J591" s="256"/>
      <c r="K591" s="38">
        <v>125455</v>
      </c>
      <c r="L591" s="194" t="s">
        <v>75</v>
      </c>
      <c r="M591" s="194" t="s">
        <v>46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>642</v>
      </c>
      <c r="V591" s="52" t="str">
        <f>IF(OR(TH!L591=TH!$V$7,M591=TH!$V$7),"x","")</f>
        <v>x</v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94"/>
      <c r="AB591" s="606"/>
      <c r="AC591" s="606"/>
      <c r="AD591" s="606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41"/>
        <v>6</v>
      </c>
      <c r="C592" s="191">
        <f t="shared" si="45"/>
        <v>40707</v>
      </c>
      <c r="D592" s="184" t="s">
        <v>949</v>
      </c>
      <c r="E592" s="191">
        <v>40707</v>
      </c>
      <c r="F592" s="192" t="s">
        <v>538</v>
      </c>
      <c r="G592" s="498" t="s">
        <v>536</v>
      </c>
      <c r="H592" s="193" t="s">
        <v>535</v>
      </c>
      <c r="I592" s="256"/>
      <c r="J592" s="256"/>
      <c r="K592" s="38">
        <v>12545</v>
      </c>
      <c r="L592" s="194" t="s">
        <v>9</v>
      </c>
      <c r="M592" s="194" t="s">
        <v>46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>x</v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94"/>
      <c r="AB592" s="211">
        <v>6</v>
      </c>
      <c r="AC592" s="606"/>
      <c r="AD592" s="606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41"/>
        <v>6</v>
      </c>
      <c r="C593" s="191">
        <f t="shared" si="45"/>
        <v>40707</v>
      </c>
      <c r="D593" s="184" t="s">
        <v>715</v>
      </c>
      <c r="E593" s="191">
        <v>40707</v>
      </c>
      <c r="F593" s="192" t="s">
        <v>588</v>
      </c>
      <c r="G593" s="498" t="s">
        <v>587</v>
      </c>
      <c r="H593" s="193" t="s">
        <v>559</v>
      </c>
      <c r="I593" s="258">
        <v>44</v>
      </c>
      <c r="J593" s="258">
        <v>36906</v>
      </c>
      <c r="K593" s="614">
        <f>ROUND(I593*J593,0)</f>
        <v>1623864</v>
      </c>
      <c r="L593" s="194" t="s">
        <v>151</v>
      </c>
      <c r="M593" s="194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94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41"/>
        <v>6</v>
      </c>
      <c r="C594" s="191">
        <f t="shared" si="45"/>
        <v>40707</v>
      </c>
      <c r="D594" s="184" t="s">
        <v>715</v>
      </c>
      <c r="E594" s="191">
        <v>40707</v>
      </c>
      <c r="F594" s="192" t="s">
        <v>589</v>
      </c>
      <c r="G594" s="498" t="s">
        <v>587</v>
      </c>
      <c r="H594" s="193" t="s">
        <v>559</v>
      </c>
      <c r="I594" s="256">
        <v>330</v>
      </c>
      <c r="J594" s="256">
        <v>22961</v>
      </c>
      <c r="K594" s="614">
        <f>ROUND(I594*J594,0)</f>
        <v>7577130</v>
      </c>
      <c r="L594" s="194" t="s">
        <v>151</v>
      </c>
      <c r="M594" s="194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94"/>
      <c r="AB594" s="606"/>
      <c r="AC594" s="606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41"/>
        <v>6</v>
      </c>
      <c r="C595" s="191">
        <f t="shared" si="45"/>
        <v>40707</v>
      </c>
      <c r="D595" s="184" t="s">
        <v>715</v>
      </c>
      <c r="E595" s="191">
        <v>40707</v>
      </c>
      <c r="F595" s="192" t="s">
        <v>590</v>
      </c>
      <c r="G595" s="498" t="s">
        <v>587</v>
      </c>
      <c r="H595" s="193" t="s">
        <v>559</v>
      </c>
      <c r="I595" s="256">
        <v>148</v>
      </c>
      <c r="J595" s="256">
        <v>34989</v>
      </c>
      <c r="K595" s="614">
        <f>ROUND(I595*J595,0)</f>
        <v>5178372</v>
      </c>
      <c r="L595" s="194" t="s">
        <v>151</v>
      </c>
      <c r="M595" s="194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94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41"/>
        <v>6</v>
      </c>
      <c r="C596" s="191">
        <f t="shared" si="45"/>
        <v>40707</v>
      </c>
      <c r="D596" s="184" t="s">
        <v>715</v>
      </c>
      <c r="E596" s="191">
        <v>40707</v>
      </c>
      <c r="F596" s="192" t="s">
        <v>591</v>
      </c>
      <c r="G596" s="498" t="s">
        <v>587</v>
      </c>
      <c r="H596" s="193" t="s">
        <v>559</v>
      </c>
      <c r="I596" s="256">
        <v>42</v>
      </c>
      <c r="J596" s="256">
        <v>35301</v>
      </c>
      <c r="K596" s="614">
        <f>ROUND(I596*J596,0)</f>
        <v>1482642</v>
      </c>
      <c r="L596" s="194" t="s">
        <v>151</v>
      </c>
      <c r="M596" s="194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94"/>
      <c r="AB596" s="606"/>
      <c r="AC596" s="606"/>
      <c r="AD596" s="211"/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si="41"/>
        <v>6</v>
      </c>
      <c r="C597" s="191">
        <f t="shared" si="45"/>
        <v>40707</v>
      </c>
      <c r="D597" s="184" t="s">
        <v>715</v>
      </c>
      <c r="E597" s="191">
        <v>40707</v>
      </c>
      <c r="F597" s="192" t="s">
        <v>560</v>
      </c>
      <c r="G597" s="498" t="s">
        <v>587</v>
      </c>
      <c r="H597" s="193" t="s">
        <v>559</v>
      </c>
      <c r="I597" s="259"/>
      <c r="J597" s="259"/>
      <c r="K597" s="38">
        <v>1586201</v>
      </c>
      <c r="L597" s="194" t="s">
        <v>9</v>
      </c>
      <c r="M597" s="194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94"/>
      <c r="AB597" s="211">
        <v>7</v>
      </c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1"/>
        <v>6</v>
      </c>
      <c r="C598" s="191">
        <f t="shared" si="45"/>
        <v>40707</v>
      </c>
      <c r="D598" s="720" t="s">
        <v>1104</v>
      </c>
      <c r="E598" s="191">
        <v>40707</v>
      </c>
      <c r="F598" s="40" t="s">
        <v>556</v>
      </c>
      <c r="G598" s="498"/>
      <c r="H598" s="628" t="s">
        <v>1092</v>
      </c>
      <c r="I598" s="256">
        <v>152</v>
      </c>
      <c r="J598" s="256">
        <v>22372</v>
      </c>
      <c r="K598" s="614">
        <f t="shared" ref="K598:K607" si="46">ROUND(I598*J598,0)</f>
        <v>3400544</v>
      </c>
      <c r="L598" s="39" t="s">
        <v>157</v>
      </c>
      <c r="M598" s="724" t="s">
        <v>151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>154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94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1"/>
        <v>6</v>
      </c>
      <c r="C599" s="191">
        <f t="shared" si="45"/>
        <v>40707</v>
      </c>
      <c r="D599" s="720" t="s">
        <v>1104</v>
      </c>
      <c r="E599" s="191">
        <v>40707</v>
      </c>
      <c r="F599" s="40" t="s">
        <v>604</v>
      </c>
      <c r="G599" s="498"/>
      <c r="H599" s="628" t="s">
        <v>1092</v>
      </c>
      <c r="I599" s="256">
        <v>32.5</v>
      </c>
      <c r="J599" s="256">
        <v>14280</v>
      </c>
      <c r="K599" s="614">
        <f t="shared" si="46"/>
        <v>464100</v>
      </c>
      <c r="L599" s="39" t="s">
        <v>157</v>
      </c>
      <c r="M599" s="724" t="s">
        <v>151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>154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94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1"/>
        <v>6</v>
      </c>
      <c r="C600" s="191">
        <f t="shared" si="45"/>
        <v>40707</v>
      </c>
      <c r="D600" s="720" t="s">
        <v>1104</v>
      </c>
      <c r="E600" s="191">
        <v>40707</v>
      </c>
      <c r="F600" s="40" t="s">
        <v>599</v>
      </c>
      <c r="G600" s="498"/>
      <c r="H600" s="628" t="s">
        <v>1092</v>
      </c>
      <c r="I600" s="256">
        <v>16</v>
      </c>
      <c r="J600" s="256">
        <v>26894</v>
      </c>
      <c r="K600" s="614">
        <f t="shared" si="46"/>
        <v>430304</v>
      </c>
      <c r="L600" s="39" t="s">
        <v>157</v>
      </c>
      <c r="M600" s="724" t="s">
        <v>151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>154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94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ref="B601:B664" si="47">IF(C601&lt;&gt;"",MONTH(C601),"")</f>
        <v>6</v>
      </c>
      <c r="C601" s="191">
        <f t="shared" si="45"/>
        <v>40707</v>
      </c>
      <c r="D601" s="720" t="s">
        <v>1104</v>
      </c>
      <c r="E601" s="191">
        <v>40707</v>
      </c>
      <c r="F601" s="189" t="s">
        <v>583</v>
      </c>
      <c r="G601" s="498"/>
      <c r="H601" s="628" t="s">
        <v>1092</v>
      </c>
      <c r="I601" s="256">
        <v>2</v>
      </c>
      <c r="J601" s="256">
        <v>35566</v>
      </c>
      <c r="K601" s="614">
        <f t="shared" si="46"/>
        <v>71132</v>
      </c>
      <c r="L601" s="39" t="s">
        <v>157</v>
      </c>
      <c r="M601" s="724" t="s">
        <v>151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>154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94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47"/>
        <v>6</v>
      </c>
      <c r="C602" s="191">
        <f t="shared" si="45"/>
        <v>40707</v>
      </c>
      <c r="D602" s="720" t="s">
        <v>1104</v>
      </c>
      <c r="E602" s="191">
        <v>40707</v>
      </c>
      <c r="F602" s="40" t="s">
        <v>557</v>
      </c>
      <c r="G602" s="498"/>
      <c r="H602" s="628" t="s">
        <v>1092</v>
      </c>
      <c r="I602" s="256">
        <v>40</v>
      </c>
      <c r="J602" s="256">
        <v>24005</v>
      </c>
      <c r="K602" s="614">
        <f t="shared" si="46"/>
        <v>960200</v>
      </c>
      <c r="L602" s="39" t="s">
        <v>157</v>
      </c>
      <c r="M602" s="724" t="s">
        <v>151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>154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94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47"/>
        <v>6</v>
      </c>
      <c r="C603" s="191">
        <f t="shared" si="45"/>
        <v>40707</v>
      </c>
      <c r="D603" s="720" t="s">
        <v>1104</v>
      </c>
      <c r="E603" s="191">
        <v>40707</v>
      </c>
      <c r="F603" s="40" t="s">
        <v>604</v>
      </c>
      <c r="G603" s="498"/>
      <c r="H603" s="628" t="s">
        <v>1092</v>
      </c>
      <c r="I603" s="256">
        <v>24.5</v>
      </c>
      <c r="J603" s="256">
        <v>14280</v>
      </c>
      <c r="K603" s="614">
        <f t="shared" si="46"/>
        <v>349860</v>
      </c>
      <c r="L603" s="39" t="s">
        <v>157</v>
      </c>
      <c r="M603" s="724" t="s">
        <v>151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>154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94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47"/>
        <v>6</v>
      </c>
      <c r="C604" s="191">
        <f t="shared" si="45"/>
        <v>40707</v>
      </c>
      <c r="D604" s="720" t="s">
        <v>1104</v>
      </c>
      <c r="E604" s="191">
        <v>40707</v>
      </c>
      <c r="F604" s="189" t="s">
        <v>478</v>
      </c>
      <c r="G604" s="498"/>
      <c r="H604" s="628" t="s">
        <v>1092</v>
      </c>
      <c r="I604" s="256">
        <v>2</v>
      </c>
      <c r="J604" s="256">
        <v>4592</v>
      </c>
      <c r="K604" s="614">
        <f t="shared" si="46"/>
        <v>9184</v>
      </c>
      <c r="L604" s="39" t="s">
        <v>157</v>
      </c>
      <c r="M604" s="724" t="s">
        <v>151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>154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94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47"/>
        <v>6</v>
      </c>
      <c r="C605" s="191">
        <f t="shared" si="45"/>
        <v>40707</v>
      </c>
      <c r="D605" s="720" t="s">
        <v>1104</v>
      </c>
      <c r="E605" s="191">
        <v>40707</v>
      </c>
      <c r="F605" s="189" t="s">
        <v>496</v>
      </c>
      <c r="G605" s="498"/>
      <c r="H605" s="628" t="s">
        <v>1092</v>
      </c>
      <c r="I605" s="256">
        <v>1</v>
      </c>
      <c r="J605" s="256">
        <v>16462</v>
      </c>
      <c r="K605" s="614">
        <f t="shared" si="46"/>
        <v>16462</v>
      </c>
      <c r="L605" s="39" t="s">
        <v>157</v>
      </c>
      <c r="M605" s="724" t="s">
        <v>151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>154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94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47"/>
        <v>6</v>
      </c>
      <c r="C606" s="191">
        <f t="shared" si="45"/>
        <v>40707</v>
      </c>
      <c r="D606" s="720" t="s">
        <v>1104</v>
      </c>
      <c r="E606" s="191">
        <v>40707</v>
      </c>
      <c r="F606" s="189" t="s">
        <v>385</v>
      </c>
      <c r="G606" s="498"/>
      <c r="H606" s="628" t="s">
        <v>1092</v>
      </c>
      <c r="I606" s="256">
        <v>5</v>
      </c>
      <c r="J606" s="256">
        <v>6124</v>
      </c>
      <c r="K606" s="614">
        <f t="shared" si="46"/>
        <v>30620</v>
      </c>
      <c r="L606" s="39" t="s">
        <v>157</v>
      </c>
      <c r="M606" s="724" t="s">
        <v>151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>154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94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47"/>
        <v>6</v>
      </c>
      <c r="C607" s="191">
        <f t="shared" si="45"/>
        <v>40708</v>
      </c>
      <c r="D607" s="184" t="s">
        <v>1081</v>
      </c>
      <c r="E607" s="191">
        <v>40708</v>
      </c>
      <c r="F607" s="298" t="s">
        <v>372</v>
      </c>
      <c r="G607" s="498" t="s">
        <v>573</v>
      </c>
      <c r="H607" s="7" t="s">
        <v>371</v>
      </c>
      <c r="I607" s="258">
        <v>40</v>
      </c>
      <c r="J607" s="258">
        <v>40000</v>
      </c>
      <c r="K607" s="614">
        <f t="shared" si="46"/>
        <v>1600000</v>
      </c>
      <c r="L607" s="194" t="s">
        <v>157</v>
      </c>
      <c r="M607" s="194" t="s">
        <v>46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>x</v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>154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94"/>
      <c r="AB607" s="606"/>
      <c r="AC607" s="606"/>
      <c r="AD607" s="606"/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47"/>
        <v>6</v>
      </c>
      <c r="C608" s="191">
        <f t="shared" si="45"/>
        <v>40708</v>
      </c>
      <c r="D608" s="184" t="s">
        <v>1081</v>
      </c>
      <c r="E608" s="191">
        <v>40708</v>
      </c>
      <c r="F608" s="192" t="s">
        <v>342</v>
      </c>
      <c r="G608" s="498" t="s">
        <v>573</v>
      </c>
      <c r="H608" s="7" t="s">
        <v>371</v>
      </c>
      <c r="I608" s="256"/>
      <c r="J608" s="256"/>
      <c r="K608" s="38">
        <v>160000</v>
      </c>
      <c r="L608" s="194" t="s">
        <v>9</v>
      </c>
      <c r="M608" s="194" t="s">
        <v>46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>x</v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94"/>
      <c r="AB608" s="606">
        <v>6</v>
      </c>
      <c r="AC608" s="606"/>
      <c r="AD608" s="606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47"/>
        <v>6</v>
      </c>
      <c r="C609" s="184">
        <f t="shared" si="45"/>
        <v>40709</v>
      </c>
      <c r="D609" s="184" t="s">
        <v>1082</v>
      </c>
      <c r="E609" s="184">
        <v>40709</v>
      </c>
      <c r="F609" s="189" t="s">
        <v>362</v>
      </c>
      <c r="G609" s="616" t="s">
        <v>330</v>
      </c>
      <c r="H609" s="193" t="s">
        <v>363</v>
      </c>
      <c r="I609" s="256"/>
      <c r="J609" s="256"/>
      <c r="K609" s="614">
        <v>90000000</v>
      </c>
      <c r="L609" s="615" t="s">
        <v>23</v>
      </c>
      <c r="M609" s="615" t="s">
        <v>46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>x</v>
      </c>
      <c r="R609" s="52" t="str">
        <f>IF(ISERROR(FIND('112'!$M$9,G609,1)),"",IF((AND(FIND('112'!$M$9,G609,1)&gt;=1,$B609&gt;='112'!$N$8,$B609&lt;='112'!$O$8,OR($L609='112'!$I$6,$M609='112'!$I$6))),"x",""))</f>
        <v>x</v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94"/>
      <c r="AB609" s="606"/>
      <c r="AC609" s="606"/>
      <c r="AD609" s="606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47"/>
        <v>6</v>
      </c>
      <c r="C610" s="191">
        <f t="shared" si="45"/>
        <v>40709</v>
      </c>
      <c r="D610" s="184" t="s">
        <v>1083</v>
      </c>
      <c r="E610" s="191">
        <v>40709</v>
      </c>
      <c r="F610" s="192" t="s">
        <v>637</v>
      </c>
      <c r="G610" s="498" t="s">
        <v>574</v>
      </c>
      <c r="H610" s="7" t="s">
        <v>391</v>
      </c>
      <c r="I610" s="258"/>
      <c r="J610" s="258"/>
      <c r="K610" s="38">
        <v>1292500</v>
      </c>
      <c r="L610" s="194" t="s">
        <v>8</v>
      </c>
      <c r="M610" s="194" t="s">
        <v>46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>x</v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94"/>
      <c r="AB610" s="606"/>
      <c r="AC610" s="606"/>
      <c r="AD610" s="606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47"/>
        <v>6</v>
      </c>
      <c r="C611" s="184">
        <f t="shared" si="45"/>
        <v>40709</v>
      </c>
      <c r="D611" s="184" t="s">
        <v>334</v>
      </c>
      <c r="E611" s="184">
        <v>40709</v>
      </c>
      <c r="F611" s="189" t="s">
        <v>369</v>
      </c>
      <c r="G611" s="616" t="s">
        <v>330</v>
      </c>
      <c r="H611" s="7" t="s">
        <v>531</v>
      </c>
      <c r="I611" s="256"/>
      <c r="J611" s="256"/>
      <c r="K611" s="614">
        <v>146400000</v>
      </c>
      <c r="L611" s="615" t="s">
        <v>8</v>
      </c>
      <c r="M611" s="615" t="s">
        <v>23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>x</v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94"/>
      <c r="AB611" s="606"/>
      <c r="AC611" s="606"/>
      <c r="AD611" s="606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47"/>
        <v>6</v>
      </c>
      <c r="C612" s="184">
        <f t="shared" si="45"/>
        <v>40709</v>
      </c>
      <c r="D612" s="184" t="s">
        <v>334</v>
      </c>
      <c r="E612" s="184">
        <v>40709</v>
      </c>
      <c r="F612" s="189" t="s">
        <v>370</v>
      </c>
      <c r="G612" s="616" t="s">
        <v>330</v>
      </c>
      <c r="H612" s="7"/>
      <c r="I612" s="256"/>
      <c r="J612" s="256"/>
      <c r="K612" s="614">
        <v>20748</v>
      </c>
      <c r="L612" s="615" t="s">
        <v>75</v>
      </c>
      <c r="M612" s="615" t="s">
        <v>23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>x</v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>642</v>
      </c>
      <c r="V612" s="52" t="str">
        <f>IF(OR(TH!L612=TH!$V$7,M612=TH!$V$7),"x","")</f>
        <v>x</v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94"/>
      <c r="AB612" s="606"/>
      <c r="AC612" s="606"/>
      <c r="AD612" s="606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47"/>
        <v>6</v>
      </c>
      <c r="C613" s="191">
        <f t="shared" si="45"/>
        <v>40709</v>
      </c>
      <c r="D613" s="184" t="s">
        <v>716</v>
      </c>
      <c r="E613" s="191">
        <v>40709</v>
      </c>
      <c r="F613" s="192" t="s">
        <v>557</v>
      </c>
      <c r="G613" s="498" t="s">
        <v>592</v>
      </c>
      <c r="H613" s="193" t="s">
        <v>559</v>
      </c>
      <c r="I613" s="256">
        <v>300</v>
      </c>
      <c r="J613" s="256">
        <v>24005</v>
      </c>
      <c r="K613" s="614">
        <f>ROUND(I613*J613,0)</f>
        <v>7201500</v>
      </c>
      <c r="L613" s="194" t="s">
        <v>151</v>
      </c>
      <c r="M613" s="194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94"/>
      <c r="AB613" s="606"/>
      <c r="AC613" s="606"/>
      <c r="AD613" s="211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47"/>
        <v>6</v>
      </c>
      <c r="C614" s="191">
        <f t="shared" si="45"/>
        <v>40709</v>
      </c>
      <c r="D614" s="184" t="s">
        <v>716</v>
      </c>
      <c r="E614" s="191">
        <v>40709</v>
      </c>
      <c r="F614" s="192" t="s">
        <v>593</v>
      </c>
      <c r="G614" s="498" t="s">
        <v>592</v>
      </c>
      <c r="H614" s="193" t="s">
        <v>559</v>
      </c>
      <c r="I614" s="256">
        <v>102</v>
      </c>
      <c r="J614" s="256">
        <v>23842</v>
      </c>
      <c r="K614" s="614">
        <f>ROUND(I614*J614,0)</f>
        <v>2431884</v>
      </c>
      <c r="L614" s="194" t="s">
        <v>151</v>
      </c>
      <c r="M614" s="194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94"/>
      <c r="AB614" s="211"/>
      <c r="AC614" s="211"/>
      <c r="AD614" s="211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47"/>
        <v>6</v>
      </c>
      <c r="C615" s="191">
        <f t="shared" si="45"/>
        <v>40709</v>
      </c>
      <c r="D615" s="184" t="s">
        <v>716</v>
      </c>
      <c r="E615" s="191">
        <v>40709</v>
      </c>
      <c r="F615" s="192" t="s">
        <v>588</v>
      </c>
      <c r="G615" s="498" t="s">
        <v>592</v>
      </c>
      <c r="H615" s="193" t="s">
        <v>559</v>
      </c>
      <c r="I615" s="256">
        <v>42</v>
      </c>
      <c r="J615" s="256">
        <v>36906</v>
      </c>
      <c r="K615" s="614">
        <f>ROUND(I615*J615,0)</f>
        <v>1550052</v>
      </c>
      <c r="L615" s="194" t="s">
        <v>151</v>
      </c>
      <c r="M615" s="194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94"/>
      <c r="AB615" s="606"/>
      <c r="AC615" s="606"/>
      <c r="AD615" s="211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47"/>
        <v>6</v>
      </c>
      <c r="C616" s="191">
        <f t="shared" si="45"/>
        <v>40709</v>
      </c>
      <c r="D616" s="184" t="s">
        <v>716</v>
      </c>
      <c r="E616" s="191">
        <v>40709</v>
      </c>
      <c r="F616" s="192" t="s">
        <v>560</v>
      </c>
      <c r="G616" s="498" t="s">
        <v>592</v>
      </c>
      <c r="H616" s="193" t="s">
        <v>559</v>
      </c>
      <c r="I616" s="256"/>
      <c r="J616" s="256"/>
      <c r="K616" s="38">
        <v>1118344</v>
      </c>
      <c r="L616" s="194" t="s">
        <v>9</v>
      </c>
      <c r="M616" s="194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94"/>
      <c r="AB616" s="211">
        <v>7</v>
      </c>
      <c r="AC616" s="211"/>
      <c r="AD616" s="211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47"/>
        <v>6</v>
      </c>
      <c r="C617" s="191">
        <f t="shared" si="45"/>
        <v>40709</v>
      </c>
      <c r="D617" s="184" t="s">
        <v>784</v>
      </c>
      <c r="E617" s="191">
        <v>40709</v>
      </c>
      <c r="F617" s="189" t="s">
        <v>388</v>
      </c>
      <c r="G617" s="498" t="s">
        <v>574</v>
      </c>
      <c r="H617" s="7" t="s">
        <v>391</v>
      </c>
      <c r="I617" s="256">
        <v>50</v>
      </c>
      <c r="J617" s="256">
        <v>23500</v>
      </c>
      <c r="K617" s="614">
        <f>ROUND(I617*J617,0)</f>
        <v>1175000</v>
      </c>
      <c r="L617" s="194" t="s">
        <v>153</v>
      </c>
      <c r="M617" s="194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>x</v>
      </c>
      <c r="Z617" s="52" t="str">
        <f>IF(AND(B617&lt;=NKC!$N$8,B617&gt;=NKC!$M$8),"x","")</f>
        <v/>
      </c>
      <c r="AA617" s="894"/>
      <c r="AB617" s="606"/>
      <c r="AC617" s="606"/>
      <c r="AD617" s="606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47"/>
        <v>6</v>
      </c>
      <c r="C618" s="191">
        <f t="shared" si="45"/>
        <v>40709</v>
      </c>
      <c r="D618" s="184" t="s">
        <v>784</v>
      </c>
      <c r="E618" s="191">
        <v>40709</v>
      </c>
      <c r="F618" s="189" t="s">
        <v>389</v>
      </c>
      <c r="G618" s="498" t="s">
        <v>574</v>
      </c>
      <c r="H618" s="7" t="s">
        <v>391</v>
      </c>
      <c r="I618" s="256"/>
      <c r="J618" s="256"/>
      <c r="K618" s="38">
        <v>117500</v>
      </c>
      <c r="L618" s="194" t="s">
        <v>9</v>
      </c>
      <c r="M618" s="194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94"/>
      <c r="AB618" s="211">
        <v>6</v>
      </c>
      <c r="AC618" s="211"/>
      <c r="AD618" s="606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47"/>
        <v>6</v>
      </c>
      <c r="C619" s="184">
        <f t="shared" si="45"/>
        <v>40710</v>
      </c>
      <c r="D619" s="184" t="s">
        <v>1084</v>
      </c>
      <c r="E619" s="184">
        <v>40710</v>
      </c>
      <c r="F619" s="189" t="s">
        <v>362</v>
      </c>
      <c r="G619" s="616" t="s">
        <v>330</v>
      </c>
      <c r="H619" s="193" t="s">
        <v>363</v>
      </c>
      <c r="I619" s="256"/>
      <c r="J619" s="256"/>
      <c r="K619" s="614">
        <v>20000000</v>
      </c>
      <c r="L619" s="615" t="s">
        <v>23</v>
      </c>
      <c r="M619" s="615" t="s">
        <v>46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>x</v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94"/>
      <c r="AB619" s="606"/>
      <c r="AC619" s="606"/>
      <c r="AD619" s="606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47"/>
        <v>6</v>
      </c>
      <c r="C620" s="191">
        <f t="shared" si="45"/>
        <v>40710</v>
      </c>
      <c r="D620" s="184" t="s">
        <v>1085</v>
      </c>
      <c r="E620" s="191">
        <v>40710</v>
      </c>
      <c r="F620" s="192" t="s">
        <v>524</v>
      </c>
      <c r="G620" s="498" t="s">
        <v>575</v>
      </c>
      <c r="H620" s="7" t="s">
        <v>371</v>
      </c>
      <c r="I620" s="256">
        <v>20</v>
      </c>
      <c r="J620" s="256">
        <v>67000</v>
      </c>
      <c r="K620" s="614">
        <f>ROUND(I620*J620,0)</f>
        <v>1340000</v>
      </c>
      <c r="L620" s="194" t="s">
        <v>157</v>
      </c>
      <c r="M620" s="194" t="s">
        <v>46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>154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94"/>
      <c r="AB620" s="211"/>
      <c r="AC620" s="211"/>
      <c r="AD620" s="606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47"/>
        <v>6</v>
      </c>
      <c r="C621" s="191">
        <f t="shared" si="45"/>
        <v>40710</v>
      </c>
      <c r="D621" s="184" t="s">
        <v>1085</v>
      </c>
      <c r="E621" s="191">
        <v>40710</v>
      </c>
      <c r="F621" s="192" t="s">
        <v>342</v>
      </c>
      <c r="G621" s="498" t="s">
        <v>575</v>
      </c>
      <c r="H621" s="7" t="s">
        <v>371</v>
      </c>
      <c r="I621" s="256"/>
      <c r="J621" s="256"/>
      <c r="K621" s="38">
        <v>134000</v>
      </c>
      <c r="L621" s="194" t="s">
        <v>9</v>
      </c>
      <c r="M621" s="194" t="s">
        <v>46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>x</v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94"/>
      <c r="AB621" s="211">
        <v>6</v>
      </c>
      <c r="AC621" s="606"/>
      <c r="AD621" s="606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47"/>
        <v>6</v>
      </c>
      <c r="C622" s="191">
        <f t="shared" si="45"/>
        <v>40710</v>
      </c>
      <c r="D622" s="191" t="s">
        <v>337</v>
      </c>
      <c r="E622" s="191">
        <v>40710</v>
      </c>
      <c r="F622" s="192" t="s">
        <v>528</v>
      </c>
      <c r="G622" s="498" t="s">
        <v>530</v>
      </c>
      <c r="H622" s="193" t="s">
        <v>531</v>
      </c>
      <c r="I622" s="256"/>
      <c r="J622" s="256"/>
      <c r="K622" s="38">
        <v>320000000</v>
      </c>
      <c r="L622" s="194" t="s">
        <v>161</v>
      </c>
      <c r="M622" s="194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94"/>
      <c r="AB622" s="606"/>
      <c r="AC622" s="606"/>
      <c r="AD622" s="606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47"/>
        <v>6</v>
      </c>
      <c r="C623" s="191">
        <f t="shared" si="45"/>
        <v>40710</v>
      </c>
      <c r="D623" s="191" t="s">
        <v>337</v>
      </c>
      <c r="E623" s="191">
        <v>40710</v>
      </c>
      <c r="F623" s="192" t="s">
        <v>529</v>
      </c>
      <c r="G623" s="498" t="s">
        <v>530</v>
      </c>
      <c r="H623" s="193" t="s">
        <v>531</v>
      </c>
      <c r="I623" s="256"/>
      <c r="J623" s="256"/>
      <c r="K623" s="38">
        <v>32000000</v>
      </c>
      <c r="L623" s="194" t="s">
        <v>9</v>
      </c>
      <c r="M623" s="194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94"/>
      <c r="AB623" s="211">
        <v>6</v>
      </c>
      <c r="AC623" s="606"/>
      <c r="AD623" s="606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47"/>
        <v>6</v>
      </c>
      <c r="C624" s="191">
        <f t="shared" si="45"/>
        <v>40710</v>
      </c>
      <c r="D624" s="720" t="s">
        <v>1105</v>
      </c>
      <c r="E624" s="191">
        <v>40710</v>
      </c>
      <c r="F624" s="189" t="s">
        <v>496</v>
      </c>
      <c r="G624" s="498"/>
      <c r="H624" s="628" t="s">
        <v>1092</v>
      </c>
      <c r="I624" s="256">
        <v>0.5</v>
      </c>
      <c r="J624" s="256">
        <v>16462</v>
      </c>
      <c r="K624" s="614">
        <f t="shared" ref="K624:K632" si="48">ROUND(I624*J624,0)</f>
        <v>8231</v>
      </c>
      <c r="L624" s="39" t="s">
        <v>157</v>
      </c>
      <c r="M624" s="724" t="s">
        <v>151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>154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94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47"/>
        <v>6</v>
      </c>
      <c r="C625" s="191">
        <f t="shared" si="45"/>
        <v>40710</v>
      </c>
      <c r="D625" s="720" t="s">
        <v>1105</v>
      </c>
      <c r="E625" s="191">
        <v>40710</v>
      </c>
      <c r="F625" s="189" t="s">
        <v>387</v>
      </c>
      <c r="G625" s="498"/>
      <c r="H625" s="628" t="s">
        <v>1092</v>
      </c>
      <c r="I625" s="839">
        <v>1</v>
      </c>
      <c r="J625" s="256">
        <v>4449</v>
      </c>
      <c r="K625" s="614">
        <f t="shared" si="48"/>
        <v>4449</v>
      </c>
      <c r="L625" s="39" t="s">
        <v>157</v>
      </c>
      <c r="M625" s="724" t="s">
        <v>151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>154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>x</v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94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47"/>
        <v>6</v>
      </c>
      <c r="C626" s="191">
        <f t="shared" si="45"/>
        <v>40710</v>
      </c>
      <c r="D626" s="720" t="s">
        <v>1105</v>
      </c>
      <c r="E626" s="191">
        <v>40710</v>
      </c>
      <c r="F626" s="298" t="s">
        <v>381</v>
      </c>
      <c r="G626" s="498"/>
      <c r="H626" s="628" t="s">
        <v>1092</v>
      </c>
      <c r="I626" s="256">
        <v>3</v>
      </c>
      <c r="J626" s="256">
        <v>14079</v>
      </c>
      <c r="K626" s="614">
        <f t="shared" si="48"/>
        <v>42237</v>
      </c>
      <c r="L626" s="39" t="s">
        <v>157</v>
      </c>
      <c r="M626" s="724" t="s">
        <v>151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>154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94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47"/>
        <v>6</v>
      </c>
      <c r="C627" s="191">
        <f t="shared" si="45"/>
        <v>40710</v>
      </c>
      <c r="D627" s="720" t="s">
        <v>1105</v>
      </c>
      <c r="E627" s="191">
        <v>40710</v>
      </c>
      <c r="F627" s="189" t="s">
        <v>496</v>
      </c>
      <c r="G627" s="498"/>
      <c r="H627" s="628" t="s">
        <v>1092</v>
      </c>
      <c r="I627" s="256">
        <v>1</v>
      </c>
      <c r="J627" s="256">
        <v>16462</v>
      </c>
      <c r="K627" s="614">
        <f t="shared" si="48"/>
        <v>16462</v>
      </c>
      <c r="L627" s="39" t="s">
        <v>157</v>
      </c>
      <c r="M627" s="724" t="s">
        <v>151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>154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94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47"/>
        <v>6</v>
      </c>
      <c r="C628" s="191">
        <f t="shared" si="45"/>
        <v>40710</v>
      </c>
      <c r="D628" s="720" t="s">
        <v>1105</v>
      </c>
      <c r="E628" s="191">
        <v>40710</v>
      </c>
      <c r="F628" s="298" t="s">
        <v>479</v>
      </c>
      <c r="G628" s="498"/>
      <c r="H628" s="628" t="s">
        <v>1092</v>
      </c>
      <c r="I628" s="256">
        <v>8</v>
      </c>
      <c r="J628" s="256">
        <v>6026</v>
      </c>
      <c r="K628" s="614">
        <f t="shared" si="48"/>
        <v>48208</v>
      </c>
      <c r="L628" s="39" t="s">
        <v>157</v>
      </c>
      <c r="M628" s="724" t="s">
        <v>151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>154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94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47"/>
        <v>6</v>
      </c>
      <c r="C629" s="191">
        <f t="shared" si="45"/>
        <v>40710</v>
      </c>
      <c r="D629" s="720" t="s">
        <v>1105</v>
      </c>
      <c r="E629" s="191">
        <v>40710</v>
      </c>
      <c r="F629" s="189" t="s">
        <v>385</v>
      </c>
      <c r="G629" s="498"/>
      <c r="H629" s="628" t="s">
        <v>1092</v>
      </c>
      <c r="I629" s="256">
        <v>1</v>
      </c>
      <c r="J629" s="256">
        <v>6124</v>
      </c>
      <c r="K629" s="614">
        <f t="shared" si="48"/>
        <v>6124</v>
      </c>
      <c r="L629" s="39" t="s">
        <v>157</v>
      </c>
      <c r="M629" s="724" t="s">
        <v>151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>154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94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47"/>
        <v>6</v>
      </c>
      <c r="C630" s="191">
        <f t="shared" si="45"/>
        <v>40710</v>
      </c>
      <c r="D630" s="720" t="s">
        <v>1105</v>
      </c>
      <c r="E630" s="191">
        <v>40710</v>
      </c>
      <c r="F630" s="189" t="s">
        <v>496</v>
      </c>
      <c r="G630" s="498"/>
      <c r="H630" s="628" t="s">
        <v>1092</v>
      </c>
      <c r="I630" s="256">
        <v>0.5</v>
      </c>
      <c r="J630" s="256">
        <v>16462</v>
      </c>
      <c r="K630" s="614">
        <f t="shared" si="48"/>
        <v>8231</v>
      </c>
      <c r="L630" s="39" t="s">
        <v>157</v>
      </c>
      <c r="M630" s="724" t="s">
        <v>151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>154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94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47"/>
        <v>6</v>
      </c>
      <c r="C631" s="191">
        <f t="shared" si="45"/>
        <v>40710</v>
      </c>
      <c r="D631" s="720" t="s">
        <v>1105</v>
      </c>
      <c r="E631" s="191">
        <v>40710</v>
      </c>
      <c r="F631" s="189" t="s">
        <v>562</v>
      </c>
      <c r="G631" s="498"/>
      <c r="H631" s="628" t="s">
        <v>1092</v>
      </c>
      <c r="I631" s="256">
        <v>2</v>
      </c>
      <c r="J631" s="256">
        <v>18390</v>
      </c>
      <c r="K631" s="614">
        <f t="shared" si="48"/>
        <v>36780</v>
      </c>
      <c r="L631" s="39" t="s">
        <v>157</v>
      </c>
      <c r="M631" s="724" t="s">
        <v>151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>154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94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47"/>
        <v>6</v>
      </c>
      <c r="C632" s="191">
        <f t="shared" si="45"/>
        <v>40710</v>
      </c>
      <c r="D632" s="720" t="s">
        <v>1105</v>
      </c>
      <c r="E632" s="191">
        <v>40710</v>
      </c>
      <c r="F632" s="189" t="s">
        <v>496</v>
      </c>
      <c r="G632" s="498"/>
      <c r="H632" s="628" t="s">
        <v>1092</v>
      </c>
      <c r="I632" s="256">
        <v>0.5</v>
      </c>
      <c r="J632" s="256">
        <v>16462</v>
      </c>
      <c r="K632" s="614">
        <f t="shared" si="48"/>
        <v>8231</v>
      </c>
      <c r="L632" s="39" t="s">
        <v>157</v>
      </c>
      <c r="M632" s="724" t="s">
        <v>151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>154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94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47"/>
        <v>6</v>
      </c>
      <c r="C633" s="184">
        <f t="shared" si="45"/>
        <v>40711</v>
      </c>
      <c r="D633" s="184" t="s">
        <v>333</v>
      </c>
      <c r="E633" s="184">
        <v>40711</v>
      </c>
      <c r="F633" s="189" t="s">
        <v>335</v>
      </c>
      <c r="G633" s="616" t="s">
        <v>330</v>
      </c>
      <c r="H633" s="193" t="s">
        <v>734</v>
      </c>
      <c r="I633" s="256"/>
      <c r="J633" s="256"/>
      <c r="K633" s="614">
        <v>28646662</v>
      </c>
      <c r="L633" s="615" t="s">
        <v>23</v>
      </c>
      <c r="M633" s="615" t="s">
        <v>259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>x</v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94"/>
      <c r="AB633" s="606"/>
      <c r="AC633" s="606"/>
      <c r="AD633" s="606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47"/>
        <v>6</v>
      </c>
      <c r="C634" s="184">
        <f t="shared" si="45"/>
        <v>40711</v>
      </c>
      <c r="D634" s="184" t="s">
        <v>334</v>
      </c>
      <c r="E634" s="184">
        <v>40711</v>
      </c>
      <c r="F634" s="189" t="s">
        <v>367</v>
      </c>
      <c r="G634" s="616" t="s">
        <v>330</v>
      </c>
      <c r="H634" s="7" t="s">
        <v>499</v>
      </c>
      <c r="I634" s="256"/>
      <c r="J634" s="256"/>
      <c r="K634" s="614">
        <v>40000000</v>
      </c>
      <c r="L634" s="615" t="s">
        <v>8</v>
      </c>
      <c r="M634" s="615" t="s">
        <v>23</v>
      </c>
      <c r="N634" s="52" t="str">
        <f>IF(AND('331-CT'!$E$7=TH!H634,OR(L634="331",M634="331")),"331",IF(AND(OR(L634="131",M634="131"),H634='131-CT'!$E$7),"131",""))</f>
        <v>331</v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>x</v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94"/>
      <c r="AB634" s="211"/>
      <c r="AC634" s="211"/>
      <c r="AD634" s="606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47"/>
        <v>6</v>
      </c>
      <c r="C635" s="184">
        <f t="shared" si="45"/>
        <v>40711</v>
      </c>
      <c r="D635" s="184" t="s">
        <v>334</v>
      </c>
      <c r="E635" s="184">
        <v>40711</v>
      </c>
      <c r="F635" s="189" t="s">
        <v>336</v>
      </c>
      <c r="G635" s="616" t="s">
        <v>330</v>
      </c>
      <c r="H635" s="7"/>
      <c r="I635" s="256"/>
      <c r="J635" s="256"/>
      <c r="K635" s="614">
        <v>10000</v>
      </c>
      <c r="L635" s="615" t="s">
        <v>75</v>
      </c>
      <c r="M635" s="615" t="s">
        <v>23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>x</v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>642</v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94"/>
      <c r="AB635" s="211"/>
      <c r="AC635" s="211"/>
      <c r="AD635" s="606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47"/>
        <v>6</v>
      </c>
      <c r="C636" s="184">
        <f t="shared" si="45"/>
        <v>40711</v>
      </c>
      <c r="D636" s="184" t="s">
        <v>334</v>
      </c>
      <c r="E636" s="184">
        <v>40711</v>
      </c>
      <c r="F636" s="189" t="s">
        <v>336</v>
      </c>
      <c r="G636" s="616" t="s">
        <v>330</v>
      </c>
      <c r="H636" s="7"/>
      <c r="I636" s="256"/>
      <c r="J636" s="256"/>
      <c r="K636" s="614">
        <v>10000</v>
      </c>
      <c r="L636" s="615" t="s">
        <v>75</v>
      </c>
      <c r="M636" s="615" t="s">
        <v>23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>x</v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>642</v>
      </c>
      <c r="V636" s="52" t="str">
        <f>IF(OR(TH!L636=TH!$V$7,M636=TH!$V$7),"x","")</f>
        <v>x</v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94"/>
      <c r="AB636" s="606"/>
      <c r="AC636" s="606"/>
      <c r="AD636" s="606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47"/>
        <v>6</v>
      </c>
      <c r="C637" s="191">
        <f t="shared" si="45"/>
        <v>40711</v>
      </c>
      <c r="D637" s="184" t="s">
        <v>717</v>
      </c>
      <c r="E637" s="191">
        <v>40711</v>
      </c>
      <c r="F637" s="189" t="s">
        <v>542</v>
      </c>
      <c r="G637" s="498" t="s">
        <v>576</v>
      </c>
      <c r="H637" s="7" t="s">
        <v>499</v>
      </c>
      <c r="I637" s="256">
        <v>80</v>
      </c>
      <c r="J637" s="256">
        <v>19638</v>
      </c>
      <c r="K637" s="614">
        <f t="shared" ref="K637:K642" si="49">ROUND(I637*J637,0)</f>
        <v>1571040</v>
      </c>
      <c r="L637" s="194" t="s">
        <v>151</v>
      </c>
      <c r="M637" s="194" t="s">
        <v>8</v>
      </c>
      <c r="N637" s="52" t="str">
        <f>IF(AND('331-CT'!$E$7=TH!H637,OR(L637="331",M637="331")),"331",IF(AND(OR(L637="131",M637="131"),H637='131-CT'!$E$7),"131",""))</f>
        <v>331</v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94"/>
      <c r="AB637" s="211"/>
      <c r="AC637" s="211"/>
      <c r="AD637" s="606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47"/>
        <v>6</v>
      </c>
      <c r="C638" s="191">
        <f t="shared" si="45"/>
        <v>40711</v>
      </c>
      <c r="D638" s="184" t="s">
        <v>717</v>
      </c>
      <c r="E638" s="191">
        <v>40711</v>
      </c>
      <c r="F638" s="189" t="s">
        <v>577</v>
      </c>
      <c r="G638" s="498" t="s">
        <v>576</v>
      </c>
      <c r="H638" s="7" t="s">
        <v>499</v>
      </c>
      <c r="I638" s="256">
        <v>210</v>
      </c>
      <c r="J638" s="256">
        <v>21481</v>
      </c>
      <c r="K638" s="614">
        <f t="shared" si="49"/>
        <v>4511010</v>
      </c>
      <c r="L638" s="194" t="s">
        <v>151</v>
      </c>
      <c r="M638" s="194" t="s">
        <v>8</v>
      </c>
      <c r="N638" s="52" t="str">
        <f>IF(AND('331-CT'!$E$7=TH!H638,OR(L638="331",M638="331")),"331",IF(AND(OR(L638="131",M638="131"),H638='131-CT'!$E$7),"131",""))</f>
        <v>331</v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94"/>
      <c r="AB638" s="211"/>
      <c r="AC638" s="211"/>
      <c r="AD638" s="606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7"/>
        <v>6</v>
      </c>
      <c r="C639" s="191">
        <f t="shared" si="45"/>
        <v>40711</v>
      </c>
      <c r="D639" s="184" t="s">
        <v>717</v>
      </c>
      <c r="E639" s="191">
        <v>40711</v>
      </c>
      <c r="F639" s="189" t="s">
        <v>578</v>
      </c>
      <c r="G639" s="498" t="s">
        <v>576</v>
      </c>
      <c r="H639" s="7" t="s">
        <v>499</v>
      </c>
      <c r="I639" s="256">
        <v>840</v>
      </c>
      <c r="J639" s="256">
        <v>10344</v>
      </c>
      <c r="K639" s="614">
        <f t="shared" si="49"/>
        <v>8688960</v>
      </c>
      <c r="L639" s="194" t="s">
        <v>151</v>
      </c>
      <c r="M639" s="194" t="s">
        <v>8</v>
      </c>
      <c r="N639" s="52" t="str">
        <f>IF(AND('331-CT'!$E$7=TH!H639,OR(L639="331",M639="331")),"331",IF(AND(OR(L639="131",M639="131"),H639='131-CT'!$E$7),"131",""))</f>
        <v>331</v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94"/>
      <c r="AB639" s="606"/>
      <c r="AC639" s="606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47"/>
        <v>6</v>
      </c>
      <c r="C640" s="191">
        <f t="shared" si="45"/>
        <v>40711</v>
      </c>
      <c r="D640" s="184" t="s">
        <v>717</v>
      </c>
      <c r="E640" s="191">
        <v>40711</v>
      </c>
      <c r="F640" s="189" t="s">
        <v>579</v>
      </c>
      <c r="G640" s="498" t="s">
        <v>576</v>
      </c>
      <c r="H640" s="7" t="s">
        <v>499</v>
      </c>
      <c r="I640" s="256">
        <v>236</v>
      </c>
      <c r="J640" s="256">
        <v>7543</v>
      </c>
      <c r="K640" s="614">
        <f t="shared" si="49"/>
        <v>1780148</v>
      </c>
      <c r="L640" s="194" t="s">
        <v>151</v>
      </c>
      <c r="M640" s="194" t="s">
        <v>8</v>
      </c>
      <c r="N640" s="52" t="str">
        <f>IF(AND('331-CT'!$E$7=TH!H640,OR(L640="331",M640="331")),"331",IF(AND(OR(L640="131",M640="131"),H640='131-CT'!$E$7),"131",""))</f>
        <v>331</v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94"/>
      <c r="AB640" s="211"/>
      <c r="AC640" s="211"/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47"/>
        <v>6</v>
      </c>
      <c r="C641" s="191">
        <f t="shared" si="45"/>
        <v>40711</v>
      </c>
      <c r="D641" s="184" t="s">
        <v>717</v>
      </c>
      <c r="E641" s="191">
        <v>40711</v>
      </c>
      <c r="F641" s="189" t="s">
        <v>580</v>
      </c>
      <c r="G641" s="498" t="s">
        <v>576</v>
      </c>
      <c r="H641" s="7" t="s">
        <v>499</v>
      </c>
      <c r="I641" s="256">
        <v>70</v>
      </c>
      <c r="J641" s="256">
        <v>26198</v>
      </c>
      <c r="K641" s="614">
        <f t="shared" si="49"/>
        <v>1833860</v>
      </c>
      <c r="L641" s="194" t="s">
        <v>151</v>
      </c>
      <c r="M641" s="194" t="s">
        <v>8</v>
      </c>
      <c r="N641" s="52" t="str">
        <f>IF(AND('331-CT'!$E$7=TH!H641,OR(L641="331",M641="331")),"331",IF(AND(OR(L641="131",M641="131"),H641='131-CT'!$E$7),"131",""))</f>
        <v>331</v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94"/>
      <c r="AB641" s="606"/>
      <c r="AC641" s="606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47"/>
        <v>6</v>
      </c>
      <c r="C642" s="191">
        <f t="shared" si="45"/>
        <v>40711</v>
      </c>
      <c r="D642" s="184" t="s">
        <v>717</v>
      </c>
      <c r="E642" s="191">
        <v>40711</v>
      </c>
      <c r="F642" s="189" t="s">
        <v>581</v>
      </c>
      <c r="G642" s="498" t="s">
        <v>576</v>
      </c>
      <c r="H642" s="7" t="s">
        <v>499</v>
      </c>
      <c r="I642" s="256">
        <v>100</v>
      </c>
      <c r="J642" s="256">
        <v>16787</v>
      </c>
      <c r="K642" s="614">
        <f t="shared" si="49"/>
        <v>1678700</v>
      </c>
      <c r="L642" s="194" t="s">
        <v>151</v>
      </c>
      <c r="M642" s="194" t="s">
        <v>8</v>
      </c>
      <c r="N642" s="52" t="str">
        <f>IF(AND('331-CT'!$E$7=TH!H642,OR(L642="331",M642="331")),"331",IF(AND(OR(L642="131",M642="131"),H642='131-CT'!$E$7),"131",""))</f>
        <v>331</v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94"/>
      <c r="AB642" s="211"/>
      <c r="AC642" s="211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47"/>
        <v>6</v>
      </c>
      <c r="C643" s="191">
        <f t="shared" si="45"/>
        <v>40711</v>
      </c>
      <c r="D643" s="184" t="s">
        <v>717</v>
      </c>
      <c r="E643" s="191">
        <v>40711</v>
      </c>
      <c r="F643" s="189" t="s">
        <v>380</v>
      </c>
      <c r="G643" s="498" t="s">
        <v>576</v>
      </c>
      <c r="H643" s="7" t="s">
        <v>499</v>
      </c>
      <c r="I643" s="256"/>
      <c r="J643" s="256"/>
      <c r="K643" s="38">
        <v>2006372</v>
      </c>
      <c r="L643" s="194" t="s">
        <v>9</v>
      </c>
      <c r="M643" s="194" t="s">
        <v>8</v>
      </c>
      <c r="N643" s="52" t="str">
        <f>IF(AND('331-CT'!$E$7=TH!H643,OR(L643="331",M643="331")),"331",IF(AND(OR(L643="131",M643="131"),H643='131-CT'!$E$7),"131",""))</f>
        <v>331</v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94"/>
      <c r="AB643" s="211">
        <v>6</v>
      </c>
      <c r="AC643" s="606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47"/>
        <v>6</v>
      </c>
      <c r="C644" s="191">
        <f t="shared" si="45"/>
        <v>40713</v>
      </c>
      <c r="D644" s="720" t="s">
        <v>1106</v>
      </c>
      <c r="E644" s="191">
        <v>40713</v>
      </c>
      <c r="F644" s="189" t="s">
        <v>387</v>
      </c>
      <c r="G644" s="498"/>
      <c r="H644" s="628" t="s">
        <v>1092</v>
      </c>
      <c r="I644" s="864">
        <v>2</v>
      </c>
      <c r="J644" s="256">
        <v>4449</v>
      </c>
      <c r="K644" s="614">
        <f t="shared" ref="K644:K652" si="50">ROUND(I644*J644,0)</f>
        <v>8898</v>
      </c>
      <c r="L644" s="39" t="s">
        <v>157</v>
      </c>
      <c r="M644" s="724" t="s">
        <v>151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>154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>x</v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94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47"/>
        <v>6</v>
      </c>
      <c r="C645" s="191">
        <f t="shared" si="45"/>
        <v>40713</v>
      </c>
      <c r="D645" s="720" t="s">
        <v>1106</v>
      </c>
      <c r="E645" s="191">
        <v>40713</v>
      </c>
      <c r="F645" s="189" t="s">
        <v>562</v>
      </c>
      <c r="G645" s="498"/>
      <c r="H645" s="628" t="s">
        <v>1092</v>
      </c>
      <c r="I645" s="256">
        <v>1</v>
      </c>
      <c r="J645" s="256">
        <v>18390</v>
      </c>
      <c r="K645" s="614">
        <f t="shared" si="50"/>
        <v>18390</v>
      </c>
      <c r="L645" s="39" t="s">
        <v>157</v>
      </c>
      <c r="M645" s="724" t="s">
        <v>151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>154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94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47"/>
        <v>6</v>
      </c>
      <c r="C646" s="191">
        <f t="shared" si="45"/>
        <v>40713</v>
      </c>
      <c r="D646" s="720" t="s">
        <v>1106</v>
      </c>
      <c r="E646" s="191">
        <v>40713</v>
      </c>
      <c r="F646" s="40" t="s">
        <v>557</v>
      </c>
      <c r="G646" s="498"/>
      <c r="H646" s="628" t="s">
        <v>1092</v>
      </c>
      <c r="I646" s="256">
        <v>18.5</v>
      </c>
      <c r="J646" s="256">
        <v>24005</v>
      </c>
      <c r="K646" s="614">
        <f t="shared" si="50"/>
        <v>444093</v>
      </c>
      <c r="L646" s="39" t="s">
        <v>157</v>
      </c>
      <c r="M646" s="724" t="s">
        <v>151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>154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94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47"/>
        <v>6</v>
      </c>
      <c r="C647" s="191">
        <f t="shared" si="45"/>
        <v>40713</v>
      </c>
      <c r="D647" s="720" t="s">
        <v>1106</v>
      </c>
      <c r="E647" s="191">
        <v>40713</v>
      </c>
      <c r="F647" s="40" t="s">
        <v>557</v>
      </c>
      <c r="G647" s="498"/>
      <c r="H647" s="628" t="s">
        <v>1092</v>
      </c>
      <c r="I647" s="256">
        <v>299</v>
      </c>
      <c r="J647" s="256">
        <v>24005</v>
      </c>
      <c r="K647" s="614">
        <f t="shared" si="50"/>
        <v>7177495</v>
      </c>
      <c r="L647" s="39" t="s">
        <v>157</v>
      </c>
      <c r="M647" s="724" t="s">
        <v>151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>154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94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47"/>
        <v>6</v>
      </c>
      <c r="C648" s="191">
        <f t="shared" si="45"/>
        <v>40713</v>
      </c>
      <c r="D648" s="720" t="s">
        <v>1106</v>
      </c>
      <c r="E648" s="191">
        <v>40713</v>
      </c>
      <c r="F648" s="189" t="s">
        <v>387</v>
      </c>
      <c r="G648" s="498"/>
      <c r="H648" s="628" t="s">
        <v>1092</v>
      </c>
      <c r="I648" s="839">
        <v>240</v>
      </c>
      <c r="J648" s="256">
        <v>4449</v>
      </c>
      <c r="K648" s="614">
        <f t="shared" si="50"/>
        <v>1067760</v>
      </c>
      <c r="L648" s="39" t="s">
        <v>157</v>
      </c>
      <c r="M648" s="724" t="s">
        <v>151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>154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>x</v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94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47"/>
        <v>6</v>
      </c>
      <c r="C649" s="191">
        <f t="shared" si="45"/>
        <v>40713</v>
      </c>
      <c r="D649" s="720" t="s">
        <v>1106</v>
      </c>
      <c r="E649" s="191">
        <v>40713</v>
      </c>
      <c r="F649" s="298" t="s">
        <v>479</v>
      </c>
      <c r="G649" s="498"/>
      <c r="H649" s="628" t="s">
        <v>1092</v>
      </c>
      <c r="I649" s="256">
        <v>169</v>
      </c>
      <c r="J649" s="256">
        <v>6026</v>
      </c>
      <c r="K649" s="614">
        <f t="shared" si="50"/>
        <v>1018394</v>
      </c>
      <c r="L649" s="39" t="s">
        <v>157</v>
      </c>
      <c r="M649" s="724" t="s">
        <v>151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>154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94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47"/>
        <v>6</v>
      </c>
      <c r="C650" s="191">
        <f t="shared" si="45"/>
        <v>40713</v>
      </c>
      <c r="D650" s="720" t="s">
        <v>1106</v>
      </c>
      <c r="E650" s="191">
        <v>40713</v>
      </c>
      <c r="F650" s="189" t="s">
        <v>387</v>
      </c>
      <c r="G650" s="498"/>
      <c r="H650" s="628" t="s">
        <v>1092</v>
      </c>
      <c r="I650" s="839">
        <v>42.5</v>
      </c>
      <c r="J650" s="256">
        <v>4449</v>
      </c>
      <c r="K650" s="614">
        <f t="shared" si="50"/>
        <v>189083</v>
      </c>
      <c r="L650" s="39" t="s">
        <v>157</v>
      </c>
      <c r="M650" s="724" t="s">
        <v>151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>154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>x</v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94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47"/>
        <v>6</v>
      </c>
      <c r="C651" s="191">
        <f t="shared" si="45"/>
        <v>40713</v>
      </c>
      <c r="D651" s="720" t="s">
        <v>1106</v>
      </c>
      <c r="E651" s="191">
        <v>40713</v>
      </c>
      <c r="F651" s="189" t="s">
        <v>490</v>
      </c>
      <c r="G651" s="498"/>
      <c r="H651" s="628" t="s">
        <v>1092</v>
      </c>
      <c r="I651" s="256">
        <v>442</v>
      </c>
      <c r="J651" s="256">
        <v>17427</v>
      </c>
      <c r="K651" s="614">
        <f t="shared" si="50"/>
        <v>7702734</v>
      </c>
      <c r="L651" s="39" t="s">
        <v>157</v>
      </c>
      <c r="M651" s="724" t="s">
        <v>151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>154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94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47"/>
        <v>6</v>
      </c>
      <c r="C652" s="191">
        <f t="shared" si="45"/>
        <v>40713</v>
      </c>
      <c r="D652" s="720" t="s">
        <v>1106</v>
      </c>
      <c r="E652" s="191">
        <v>40713</v>
      </c>
      <c r="F652" s="189" t="s">
        <v>614</v>
      </c>
      <c r="G652" s="498"/>
      <c r="H652" s="628" t="s">
        <v>1092</v>
      </c>
      <c r="I652" s="256">
        <v>18</v>
      </c>
      <c r="J652" s="256">
        <v>31360</v>
      </c>
      <c r="K652" s="614">
        <f t="shared" si="50"/>
        <v>564480</v>
      </c>
      <c r="L652" s="39" t="s">
        <v>157</v>
      </c>
      <c r="M652" s="724" t="s">
        <v>151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>154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94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47"/>
        <v>6</v>
      </c>
      <c r="C653" s="184">
        <f t="shared" si="45"/>
        <v>40714</v>
      </c>
      <c r="D653" s="184" t="s">
        <v>1086</v>
      </c>
      <c r="E653" s="184">
        <v>40714</v>
      </c>
      <c r="F653" s="189" t="s">
        <v>362</v>
      </c>
      <c r="G653" s="616" t="s">
        <v>330</v>
      </c>
      <c r="H653" s="193" t="s">
        <v>363</v>
      </c>
      <c r="I653" s="256"/>
      <c r="J653" s="256"/>
      <c r="K653" s="614">
        <v>3000000</v>
      </c>
      <c r="L653" s="615" t="s">
        <v>23</v>
      </c>
      <c r="M653" s="615" t="s">
        <v>46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>x</v>
      </c>
      <c r="R653" s="52" t="str">
        <f>IF(ISERROR(FIND('112'!$M$9,G653,1)),"",IF((AND(FIND('112'!$M$9,G653,1)&gt;=1,$B653&gt;='112'!$N$8,$B653&lt;='112'!$O$8,OR($L653='112'!$I$6,$M653='112'!$I$6))),"x",""))</f>
        <v>x</v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94"/>
      <c r="AB653" s="606"/>
      <c r="AC653" s="606"/>
      <c r="AD653" s="606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47"/>
        <v>6</v>
      </c>
      <c r="C654" s="184">
        <f t="shared" si="45"/>
        <v>40714</v>
      </c>
      <c r="D654" s="184" t="s">
        <v>334</v>
      </c>
      <c r="E654" s="184">
        <v>40714</v>
      </c>
      <c r="F654" s="189" t="s">
        <v>367</v>
      </c>
      <c r="G654" s="616" t="s">
        <v>330</v>
      </c>
      <c r="H654" s="7" t="s">
        <v>559</v>
      </c>
      <c r="I654" s="256"/>
      <c r="J654" s="256"/>
      <c r="K654" s="614">
        <v>30880000</v>
      </c>
      <c r="L654" s="615" t="s">
        <v>8</v>
      </c>
      <c r="M654" s="615" t="s">
        <v>23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>x</v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94"/>
      <c r="AB654" s="606"/>
      <c r="AC654" s="606"/>
      <c r="AD654" s="606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47"/>
        <v>6</v>
      </c>
      <c r="C655" s="191">
        <f t="shared" ref="C655:C718" si="51">E655</f>
        <v>40714</v>
      </c>
      <c r="D655" s="720" t="s">
        <v>1107</v>
      </c>
      <c r="E655" s="191">
        <v>40714</v>
      </c>
      <c r="F655" s="189" t="s">
        <v>387</v>
      </c>
      <c r="G655" s="498"/>
      <c r="H655" s="628" t="s">
        <v>1092</v>
      </c>
      <c r="I655" s="839">
        <v>22.5</v>
      </c>
      <c r="J655" s="256">
        <v>4449</v>
      </c>
      <c r="K655" s="614">
        <f t="shared" ref="K655:K663" si="52">ROUND(I655*J655,0)</f>
        <v>100103</v>
      </c>
      <c r="L655" s="39" t="s">
        <v>157</v>
      </c>
      <c r="M655" s="724" t="s">
        <v>151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>154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>x</v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94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47"/>
        <v>6</v>
      </c>
      <c r="C656" s="191">
        <f t="shared" si="51"/>
        <v>40714</v>
      </c>
      <c r="D656" s="720" t="s">
        <v>1107</v>
      </c>
      <c r="E656" s="191">
        <v>40714</v>
      </c>
      <c r="F656" s="189" t="s">
        <v>387</v>
      </c>
      <c r="G656" s="498"/>
      <c r="H656" s="628" t="s">
        <v>1092</v>
      </c>
      <c r="I656" s="839">
        <v>41</v>
      </c>
      <c r="J656" s="256">
        <v>4449</v>
      </c>
      <c r="K656" s="614">
        <f t="shared" si="52"/>
        <v>182409</v>
      </c>
      <c r="L656" s="39" t="s">
        <v>157</v>
      </c>
      <c r="M656" s="724" t="s">
        <v>151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>154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>x</v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94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47"/>
        <v>6</v>
      </c>
      <c r="C657" s="191">
        <f t="shared" si="51"/>
        <v>40714</v>
      </c>
      <c r="D657" s="720" t="s">
        <v>1107</v>
      </c>
      <c r="E657" s="191">
        <v>40714</v>
      </c>
      <c r="F657" s="189" t="s">
        <v>489</v>
      </c>
      <c r="G657" s="498"/>
      <c r="H657" s="628" t="s">
        <v>1092</v>
      </c>
      <c r="I657" s="256">
        <v>645</v>
      </c>
      <c r="J657" s="256">
        <v>16925</v>
      </c>
      <c r="K657" s="614">
        <f t="shared" si="52"/>
        <v>10916625</v>
      </c>
      <c r="L657" s="39" t="s">
        <v>157</v>
      </c>
      <c r="M657" s="724" t="s">
        <v>151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>154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94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47"/>
        <v>6</v>
      </c>
      <c r="C658" s="191">
        <f t="shared" si="51"/>
        <v>40714</v>
      </c>
      <c r="D658" s="720" t="s">
        <v>1107</v>
      </c>
      <c r="E658" s="191">
        <v>40714</v>
      </c>
      <c r="F658" s="189" t="s">
        <v>387</v>
      </c>
      <c r="G658" s="498"/>
      <c r="H658" s="628" t="s">
        <v>1092</v>
      </c>
      <c r="I658" s="839">
        <v>210</v>
      </c>
      <c r="J658" s="256">
        <v>4449</v>
      </c>
      <c r="K658" s="614">
        <f t="shared" si="52"/>
        <v>934290</v>
      </c>
      <c r="L658" s="39" t="s">
        <v>157</v>
      </c>
      <c r="M658" s="724" t="s">
        <v>151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>154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>x</v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94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47"/>
        <v>6</v>
      </c>
      <c r="C659" s="191">
        <f t="shared" si="51"/>
        <v>40714</v>
      </c>
      <c r="D659" s="720" t="s">
        <v>1107</v>
      </c>
      <c r="E659" s="191">
        <v>40714</v>
      </c>
      <c r="F659" s="189" t="s">
        <v>387</v>
      </c>
      <c r="G659" s="498"/>
      <c r="H659" s="628" t="s">
        <v>1092</v>
      </c>
      <c r="I659" s="839">
        <v>211</v>
      </c>
      <c r="J659" s="256">
        <v>4449</v>
      </c>
      <c r="K659" s="614">
        <f t="shared" si="52"/>
        <v>938739</v>
      </c>
      <c r="L659" s="39" t="s">
        <v>157</v>
      </c>
      <c r="M659" s="724" t="s">
        <v>151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>154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>x</v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94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47"/>
        <v>6</v>
      </c>
      <c r="C660" s="191">
        <f t="shared" si="51"/>
        <v>40714</v>
      </c>
      <c r="D660" s="720" t="s">
        <v>1107</v>
      </c>
      <c r="E660" s="191">
        <v>40714</v>
      </c>
      <c r="F660" s="40" t="s">
        <v>596</v>
      </c>
      <c r="G660" s="498"/>
      <c r="H660" s="628" t="s">
        <v>1092</v>
      </c>
      <c r="I660" s="256">
        <v>210</v>
      </c>
      <c r="J660" s="256">
        <v>15946</v>
      </c>
      <c r="K660" s="614">
        <f t="shared" si="52"/>
        <v>3348660</v>
      </c>
      <c r="L660" s="39" t="s">
        <v>157</v>
      </c>
      <c r="M660" s="724" t="s">
        <v>151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>154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94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47"/>
        <v>6</v>
      </c>
      <c r="C661" s="191">
        <f t="shared" si="51"/>
        <v>40714</v>
      </c>
      <c r="D661" s="720" t="s">
        <v>1107</v>
      </c>
      <c r="E661" s="191">
        <v>40714</v>
      </c>
      <c r="F661" s="40" t="s">
        <v>596</v>
      </c>
      <c r="G661" s="498"/>
      <c r="H661" s="628" t="s">
        <v>1092</v>
      </c>
      <c r="I661" s="256">
        <v>56</v>
      </c>
      <c r="J661" s="256">
        <v>15946</v>
      </c>
      <c r="K661" s="614">
        <f t="shared" si="52"/>
        <v>892976</v>
      </c>
      <c r="L661" s="39" t="s">
        <v>157</v>
      </c>
      <c r="M661" s="724" t="s">
        <v>151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>154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94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47"/>
        <v>6</v>
      </c>
      <c r="C662" s="191">
        <f t="shared" si="51"/>
        <v>40714</v>
      </c>
      <c r="D662" s="720" t="s">
        <v>1107</v>
      </c>
      <c r="E662" s="191">
        <v>40714</v>
      </c>
      <c r="F662" s="40" t="s">
        <v>557</v>
      </c>
      <c r="G662" s="498"/>
      <c r="H662" s="628" t="s">
        <v>1092</v>
      </c>
      <c r="I662" s="256">
        <v>20</v>
      </c>
      <c r="J662" s="256">
        <v>24005</v>
      </c>
      <c r="K662" s="614">
        <f t="shared" si="52"/>
        <v>480100</v>
      </c>
      <c r="L662" s="39" t="s">
        <v>157</v>
      </c>
      <c r="M662" s="724" t="s">
        <v>151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>154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94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47"/>
        <v>6</v>
      </c>
      <c r="C663" s="191">
        <f t="shared" si="51"/>
        <v>40714</v>
      </c>
      <c r="D663" s="720" t="s">
        <v>1107</v>
      </c>
      <c r="E663" s="191">
        <v>40714</v>
      </c>
      <c r="F663" s="189" t="s">
        <v>635</v>
      </c>
      <c r="G663" s="498"/>
      <c r="H663" s="628" t="s">
        <v>1092</v>
      </c>
      <c r="I663" s="256">
        <v>2</v>
      </c>
      <c r="J663" s="256">
        <v>7207</v>
      </c>
      <c r="K663" s="614">
        <f t="shared" si="52"/>
        <v>14414</v>
      </c>
      <c r="L663" s="39" t="s">
        <v>157</v>
      </c>
      <c r="M663" s="724" t="s">
        <v>151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>154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94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47"/>
        <v>6</v>
      </c>
      <c r="C664" s="184">
        <f t="shared" si="51"/>
        <v>40715</v>
      </c>
      <c r="D664" s="184" t="s">
        <v>334</v>
      </c>
      <c r="E664" s="184">
        <v>40715</v>
      </c>
      <c r="F664" s="189" t="s">
        <v>336</v>
      </c>
      <c r="G664" s="616" t="s">
        <v>330</v>
      </c>
      <c r="H664" s="7"/>
      <c r="I664" s="256"/>
      <c r="J664" s="256"/>
      <c r="K664" s="614">
        <v>10000</v>
      </c>
      <c r="L664" s="615" t="s">
        <v>75</v>
      </c>
      <c r="M664" s="615" t="s">
        <v>23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>x</v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>642</v>
      </c>
      <c r="V664" s="52" t="str">
        <f>IF(OR(TH!L664=TH!$V$7,M664=TH!$V$7),"x","")</f>
        <v>x</v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94"/>
      <c r="AB664" s="606"/>
      <c r="AC664" s="606"/>
      <c r="AD664" s="606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ref="B665:B728" si="53">IF(C665&lt;&gt;"",MONTH(C665),"")</f>
        <v>6</v>
      </c>
      <c r="C665" s="191">
        <f t="shared" si="51"/>
        <v>40717</v>
      </c>
      <c r="D665" s="184" t="s">
        <v>718</v>
      </c>
      <c r="E665" s="191">
        <v>40717</v>
      </c>
      <c r="F665" s="192" t="s">
        <v>595</v>
      </c>
      <c r="G665" s="498" t="s">
        <v>594</v>
      </c>
      <c r="H665" s="193" t="s">
        <v>559</v>
      </c>
      <c r="I665" s="256">
        <v>393</v>
      </c>
      <c r="J665" s="256">
        <v>16660</v>
      </c>
      <c r="K665" s="614">
        <f t="shared" ref="K665:K672" si="54">ROUND(I665*J665,0)</f>
        <v>6547380</v>
      </c>
      <c r="L665" s="194" t="s">
        <v>151</v>
      </c>
      <c r="M665" s="194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94"/>
      <c r="AB665" s="606"/>
      <c r="AC665" s="606"/>
      <c r="AD665" s="211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53"/>
        <v>6</v>
      </c>
      <c r="C666" s="191">
        <f t="shared" si="51"/>
        <v>40717</v>
      </c>
      <c r="D666" s="184" t="s">
        <v>718</v>
      </c>
      <c r="E666" s="191">
        <v>40717</v>
      </c>
      <c r="F666" s="192" t="s">
        <v>596</v>
      </c>
      <c r="G666" s="498" t="s">
        <v>594</v>
      </c>
      <c r="H666" s="193" t="s">
        <v>559</v>
      </c>
      <c r="I666" s="258">
        <v>370</v>
      </c>
      <c r="J666" s="258">
        <v>15946</v>
      </c>
      <c r="K666" s="614">
        <f t="shared" si="54"/>
        <v>5900020</v>
      </c>
      <c r="L666" s="194" t="s">
        <v>151</v>
      </c>
      <c r="M666" s="194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94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53"/>
        <v>6</v>
      </c>
      <c r="C667" s="191">
        <f t="shared" si="51"/>
        <v>40717</v>
      </c>
      <c r="D667" s="184" t="s">
        <v>718</v>
      </c>
      <c r="E667" s="191">
        <v>40717</v>
      </c>
      <c r="F667" s="192" t="s">
        <v>597</v>
      </c>
      <c r="G667" s="498" t="s">
        <v>594</v>
      </c>
      <c r="H667" s="193" t="s">
        <v>559</v>
      </c>
      <c r="I667" s="256">
        <v>180</v>
      </c>
      <c r="J667" s="256">
        <v>25942</v>
      </c>
      <c r="K667" s="614">
        <f t="shared" si="54"/>
        <v>4669560</v>
      </c>
      <c r="L667" s="194" t="s">
        <v>151</v>
      </c>
      <c r="M667" s="194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94"/>
      <c r="AB667" s="211"/>
      <c r="AC667" s="211"/>
      <c r="AD667" s="211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53"/>
        <v>6</v>
      </c>
      <c r="C668" s="191">
        <f t="shared" si="51"/>
        <v>40717</v>
      </c>
      <c r="D668" s="184" t="s">
        <v>718</v>
      </c>
      <c r="E668" s="191">
        <v>40717</v>
      </c>
      <c r="F668" s="192" t="s">
        <v>598</v>
      </c>
      <c r="G668" s="498" t="s">
        <v>594</v>
      </c>
      <c r="H668" s="193" t="s">
        <v>559</v>
      </c>
      <c r="I668" s="258">
        <v>412</v>
      </c>
      <c r="J668" s="258">
        <v>17374</v>
      </c>
      <c r="K668" s="614">
        <f t="shared" si="54"/>
        <v>7158088</v>
      </c>
      <c r="L668" s="194" t="s">
        <v>151</v>
      </c>
      <c r="M668" s="194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94"/>
      <c r="AB668" s="211"/>
      <c r="AC668" s="211"/>
      <c r="AD668" s="211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53"/>
        <v>6</v>
      </c>
      <c r="C669" s="191">
        <f t="shared" si="51"/>
        <v>40717</v>
      </c>
      <c r="D669" s="184" t="s">
        <v>718</v>
      </c>
      <c r="E669" s="191">
        <v>40717</v>
      </c>
      <c r="F669" s="192" t="s">
        <v>599</v>
      </c>
      <c r="G669" s="498" t="s">
        <v>594</v>
      </c>
      <c r="H669" s="193" t="s">
        <v>559</v>
      </c>
      <c r="I669" s="256">
        <v>10</v>
      </c>
      <c r="J669" s="256">
        <v>26894</v>
      </c>
      <c r="K669" s="614">
        <f t="shared" si="54"/>
        <v>268940</v>
      </c>
      <c r="L669" s="194" t="s">
        <v>151</v>
      </c>
      <c r="M669" s="194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94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53"/>
        <v>6</v>
      </c>
      <c r="C670" s="191">
        <f t="shared" si="51"/>
        <v>40717</v>
      </c>
      <c r="D670" s="184" t="s">
        <v>718</v>
      </c>
      <c r="E670" s="191">
        <v>40717</v>
      </c>
      <c r="F670" s="192" t="s">
        <v>600</v>
      </c>
      <c r="G670" s="498" t="s">
        <v>594</v>
      </c>
      <c r="H670" s="193" t="s">
        <v>559</v>
      </c>
      <c r="I670" s="258">
        <v>55</v>
      </c>
      <c r="J670" s="258">
        <v>24276</v>
      </c>
      <c r="K670" s="614">
        <f t="shared" si="54"/>
        <v>1335180</v>
      </c>
      <c r="L670" s="194" t="s">
        <v>151</v>
      </c>
      <c r="M670" s="194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94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53"/>
        <v>6</v>
      </c>
      <c r="C671" s="191">
        <f t="shared" si="51"/>
        <v>40717</v>
      </c>
      <c r="D671" s="184" t="s">
        <v>718</v>
      </c>
      <c r="E671" s="191">
        <v>40717</v>
      </c>
      <c r="F671" s="192" t="s">
        <v>601</v>
      </c>
      <c r="G671" s="498" t="s">
        <v>594</v>
      </c>
      <c r="H671" s="193" t="s">
        <v>559</v>
      </c>
      <c r="I671" s="256">
        <v>14</v>
      </c>
      <c r="J671" s="256">
        <v>16303</v>
      </c>
      <c r="K671" s="614">
        <f t="shared" si="54"/>
        <v>228242</v>
      </c>
      <c r="L671" s="194" t="s">
        <v>151</v>
      </c>
      <c r="M671" s="194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94"/>
      <c r="AB671" s="211"/>
      <c r="AC671" s="211"/>
      <c r="AD671" s="211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53"/>
        <v>6</v>
      </c>
      <c r="C672" s="191">
        <f t="shared" si="51"/>
        <v>40717</v>
      </c>
      <c r="D672" s="184" t="s">
        <v>718</v>
      </c>
      <c r="E672" s="191">
        <v>40717</v>
      </c>
      <c r="F672" s="192" t="s">
        <v>602</v>
      </c>
      <c r="G672" s="498" t="s">
        <v>594</v>
      </c>
      <c r="H672" s="193" t="s">
        <v>559</v>
      </c>
      <c r="I672" s="258">
        <v>12</v>
      </c>
      <c r="J672" s="258">
        <v>13090</v>
      </c>
      <c r="K672" s="614">
        <f t="shared" si="54"/>
        <v>157080</v>
      </c>
      <c r="L672" s="194" t="s">
        <v>151</v>
      </c>
      <c r="M672" s="194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94"/>
      <c r="AB672" s="211"/>
      <c r="AC672" s="211"/>
      <c r="AD672" s="211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53"/>
        <v>6</v>
      </c>
      <c r="C673" s="191">
        <f t="shared" si="51"/>
        <v>40717</v>
      </c>
      <c r="D673" s="184" t="s">
        <v>718</v>
      </c>
      <c r="E673" s="191">
        <v>40717</v>
      </c>
      <c r="F673" s="192" t="s">
        <v>560</v>
      </c>
      <c r="G673" s="498" t="s">
        <v>594</v>
      </c>
      <c r="H673" s="193" t="s">
        <v>559</v>
      </c>
      <c r="I673" s="256"/>
      <c r="J673" s="256"/>
      <c r="K673" s="38">
        <v>2626449</v>
      </c>
      <c r="L673" s="194" t="s">
        <v>9</v>
      </c>
      <c r="M673" s="194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94"/>
      <c r="AB673" s="211">
        <v>7</v>
      </c>
      <c r="AC673" s="606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53"/>
        <v>6</v>
      </c>
      <c r="C674" s="191">
        <f t="shared" si="51"/>
        <v>40717</v>
      </c>
      <c r="D674" s="720" t="s">
        <v>1108</v>
      </c>
      <c r="E674" s="191">
        <v>40717</v>
      </c>
      <c r="F674" s="189" t="s">
        <v>577</v>
      </c>
      <c r="G674" s="498"/>
      <c r="H674" s="628" t="s">
        <v>1092</v>
      </c>
      <c r="I674" s="256">
        <v>210</v>
      </c>
      <c r="J674" s="256">
        <v>21481</v>
      </c>
      <c r="K674" s="614">
        <f t="shared" ref="K674:K682" si="55">ROUND(I674*J674,0)</f>
        <v>4511010</v>
      </c>
      <c r="L674" s="39" t="s">
        <v>157</v>
      </c>
      <c r="M674" s="724" t="s">
        <v>151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>154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94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53"/>
        <v>6</v>
      </c>
      <c r="C675" s="191">
        <f t="shared" si="51"/>
        <v>40717</v>
      </c>
      <c r="D675" s="720" t="s">
        <v>1108</v>
      </c>
      <c r="E675" s="191">
        <v>40717</v>
      </c>
      <c r="F675" s="189" t="s">
        <v>562</v>
      </c>
      <c r="G675" s="498"/>
      <c r="H675" s="628" t="s">
        <v>1092</v>
      </c>
      <c r="I675" s="256">
        <v>102</v>
      </c>
      <c r="J675" s="256">
        <v>18390</v>
      </c>
      <c r="K675" s="614">
        <f t="shared" si="55"/>
        <v>1875780</v>
      </c>
      <c r="L675" s="39" t="s">
        <v>157</v>
      </c>
      <c r="M675" s="724" t="s">
        <v>151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>154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94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53"/>
        <v>6</v>
      </c>
      <c r="C676" s="191">
        <f t="shared" si="51"/>
        <v>40717</v>
      </c>
      <c r="D676" s="720" t="s">
        <v>1108</v>
      </c>
      <c r="E676" s="191">
        <v>40717</v>
      </c>
      <c r="F676" s="189" t="s">
        <v>490</v>
      </c>
      <c r="G676" s="498"/>
      <c r="H676" s="628" t="s">
        <v>1092</v>
      </c>
      <c r="I676" s="256">
        <v>9</v>
      </c>
      <c r="J676" s="256">
        <v>17427</v>
      </c>
      <c r="K676" s="614">
        <f t="shared" si="55"/>
        <v>156843</v>
      </c>
      <c r="L676" s="39" t="s">
        <v>157</v>
      </c>
      <c r="M676" s="724" t="s">
        <v>151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>154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94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53"/>
        <v>6</v>
      </c>
      <c r="C677" s="191">
        <f t="shared" si="51"/>
        <v>40717</v>
      </c>
      <c r="D677" s="720" t="s">
        <v>1108</v>
      </c>
      <c r="E677" s="191">
        <v>40717</v>
      </c>
      <c r="F677" s="298" t="s">
        <v>381</v>
      </c>
      <c r="G677" s="498"/>
      <c r="H677" s="628" t="s">
        <v>1092</v>
      </c>
      <c r="I677" s="256">
        <v>1</v>
      </c>
      <c r="J677" s="256">
        <v>14079</v>
      </c>
      <c r="K677" s="614">
        <f t="shared" si="55"/>
        <v>14079</v>
      </c>
      <c r="L677" s="39" t="s">
        <v>157</v>
      </c>
      <c r="M677" s="724" t="s">
        <v>151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>154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94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53"/>
        <v>6</v>
      </c>
      <c r="C678" s="191">
        <f t="shared" si="51"/>
        <v>40717</v>
      </c>
      <c r="D678" s="720" t="s">
        <v>1108</v>
      </c>
      <c r="E678" s="191">
        <v>40717</v>
      </c>
      <c r="F678" s="189" t="s">
        <v>583</v>
      </c>
      <c r="G678" s="498"/>
      <c r="H678" s="628" t="s">
        <v>1092</v>
      </c>
      <c r="I678" s="256">
        <v>1.5</v>
      </c>
      <c r="J678" s="256">
        <v>35566</v>
      </c>
      <c r="K678" s="614">
        <f t="shared" si="55"/>
        <v>53349</v>
      </c>
      <c r="L678" s="39" t="s">
        <v>157</v>
      </c>
      <c r="M678" s="724" t="s">
        <v>151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>154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94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53"/>
        <v>6</v>
      </c>
      <c r="C679" s="191">
        <f t="shared" si="51"/>
        <v>40717</v>
      </c>
      <c r="D679" s="720" t="s">
        <v>1108</v>
      </c>
      <c r="E679" s="191">
        <v>40717</v>
      </c>
      <c r="F679" s="40" t="s">
        <v>557</v>
      </c>
      <c r="G679" s="498"/>
      <c r="H679" s="628" t="s">
        <v>1092</v>
      </c>
      <c r="I679" s="256">
        <v>5.5</v>
      </c>
      <c r="J679" s="256">
        <v>24005</v>
      </c>
      <c r="K679" s="614">
        <f t="shared" si="55"/>
        <v>132028</v>
      </c>
      <c r="L679" s="39" t="s">
        <v>157</v>
      </c>
      <c r="M679" s="724" t="s">
        <v>151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>154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94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53"/>
        <v>6</v>
      </c>
      <c r="C680" s="191">
        <f t="shared" si="51"/>
        <v>40717</v>
      </c>
      <c r="D680" s="720" t="s">
        <v>1108</v>
      </c>
      <c r="E680" s="191">
        <v>40717</v>
      </c>
      <c r="F680" s="189" t="s">
        <v>635</v>
      </c>
      <c r="G680" s="498"/>
      <c r="H680" s="628" t="s">
        <v>1092</v>
      </c>
      <c r="I680" s="256">
        <v>26</v>
      </c>
      <c r="J680" s="256">
        <v>7207</v>
      </c>
      <c r="K680" s="614">
        <f t="shared" si="55"/>
        <v>187382</v>
      </c>
      <c r="L680" s="39" t="s">
        <v>157</v>
      </c>
      <c r="M680" s="724" t="s">
        <v>151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>154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94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53"/>
        <v>6</v>
      </c>
      <c r="C681" s="191">
        <f t="shared" si="51"/>
        <v>40717</v>
      </c>
      <c r="D681" s="720" t="s">
        <v>1108</v>
      </c>
      <c r="E681" s="191">
        <v>40717</v>
      </c>
      <c r="F681" s="40" t="s">
        <v>595</v>
      </c>
      <c r="G681" s="498"/>
      <c r="H681" s="628" t="s">
        <v>1092</v>
      </c>
      <c r="I681" s="256">
        <v>20</v>
      </c>
      <c r="J681" s="256">
        <v>16660</v>
      </c>
      <c r="K681" s="614">
        <f t="shared" si="55"/>
        <v>333200</v>
      </c>
      <c r="L681" s="39" t="s">
        <v>157</v>
      </c>
      <c r="M681" s="724" t="s">
        <v>151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>154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94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53"/>
        <v>6</v>
      </c>
      <c r="C682" s="191">
        <f t="shared" si="51"/>
        <v>40717</v>
      </c>
      <c r="D682" s="720" t="s">
        <v>1108</v>
      </c>
      <c r="E682" s="191">
        <v>40717</v>
      </c>
      <c r="F682" s="40" t="s">
        <v>591</v>
      </c>
      <c r="G682" s="498"/>
      <c r="H682" s="628" t="s">
        <v>1092</v>
      </c>
      <c r="I682" s="256">
        <v>32</v>
      </c>
      <c r="J682" s="256">
        <v>35301</v>
      </c>
      <c r="K682" s="614">
        <f t="shared" si="55"/>
        <v>1129632</v>
      </c>
      <c r="L682" s="39" t="s">
        <v>157</v>
      </c>
      <c r="M682" s="724" t="s">
        <v>151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>154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94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53"/>
        <v>6</v>
      </c>
      <c r="C683" s="191">
        <f t="shared" si="51"/>
        <v>40718</v>
      </c>
      <c r="D683" s="184" t="s">
        <v>1087</v>
      </c>
      <c r="E683" s="191">
        <v>40718</v>
      </c>
      <c r="F683" s="189" t="s">
        <v>1080</v>
      </c>
      <c r="G683" s="498" t="s">
        <v>585</v>
      </c>
      <c r="H683" s="7" t="s">
        <v>499</v>
      </c>
      <c r="I683" s="256"/>
      <c r="J683" s="256"/>
      <c r="K683" s="38">
        <v>9146239</v>
      </c>
      <c r="L683" s="194" t="s">
        <v>8</v>
      </c>
      <c r="M683" s="194" t="s">
        <v>46</v>
      </c>
      <c r="N683" s="52" t="str">
        <f>IF(AND('331-CT'!$E$7=TH!H683,OR(L683="331",M683="331")),"331",IF(AND(OR(L683="131",M683="131"),H683='131-CT'!$E$7),"131",""))</f>
        <v>331</v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>x</v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94"/>
      <c r="AB683" s="606"/>
      <c r="AC683" s="606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53"/>
        <v>6</v>
      </c>
      <c r="C684" s="191">
        <f t="shared" si="51"/>
        <v>40718</v>
      </c>
      <c r="D684" s="184" t="s">
        <v>719</v>
      </c>
      <c r="E684" s="191">
        <v>40718</v>
      </c>
      <c r="F684" s="189" t="s">
        <v>582</v>
      </c>
      <c r="G684" s="498" t="s">
        <v>585</v>
      </c>
      <c r="H684" s="7" t="s">
        <v>499</v>
      </c>
      <c r="I684" s="256">
        <v>125</v>
      </c>
      <c r="J684" s="256">
        <v>19639</v>
      </c>
      <c r="K684" s="614">
        <f>ROUND(I684*J684,0)</f>
        <v>2454875</v>
      </c>
      <c r="L684" s="194" t="s">
        <v>151</v>
      </c>
      <c r="M684" s="194" t="s">
        <v>8</v>
      </c>
      <c r="N684" s="52" t="str">
        <f>IF(AND('331-CT'!$E$7=TH!H684,OR(L684="331",M684="331")),"331",IF(AND(OR(L684="131",M684="131"),H684='131-CT'!$E$7),"131",""))</f>
        <v>331</v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94"/>
      <c r="AB684" s="211"/>
      <c r="AC684" s="211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53"/>
        <v>6</v>
      </c>
      <c r="C685" s="191">
        <f t="shared" si="51"/>
        <v>40718</v>
      </c>
      <c r="D685" s="184" t="s">
        <v>719</v>
      </c>
      <c r="E685" s="191">
        <v>40718</v>
      </c>
      <c r="F685" s="189" t="s">
        <v>583</v>
      </c>
      <c r="G685" s="498" t="s">
        <v>585</v>
      </c>
      <c r="H685" s="7" t="s">
        <v>499</v>
      </c>
      <c r="I685" s="256">
        <v>128</v>
      </c>
      <c r="J685" s="256">
        <v>35566</v>
      </c>
      <c r="K685" s="614">
        <f>ROUND(I685*J685,0)</f>
        <v>4552448</v>
      </c>
      <c r="L685" s="194" t="s">
        <v>151</v>
      </c>
      <c r="M685" s="194" t="s">
        <v>8</v>
      </c>
      <c r="N685" s="52" t="str">
        <f>IF(AND('331-CT'!$E$7=TH!H685,OR(L685="331",M685="331")),"331",IF(AND(OR(L685="131",M685="131"),H685='131-CT'!$E$7),"131",""))</f>
        <v>331</v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94"/>
      <c r="AB685" s="606"/>
      <c r="AC685" s="606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53"/>
        <v>6</v>
      </c>
      <c r="C686" s="191">
        <f t="shared" si="51"/>
        <v>40718</v>
      </c>
      <c r="D686" s="184" t="s">
        <v>719</v>
      </c>
      <c r="E686" s="191">
        <v>40718</v>
      </c>
      <c r="F686" s="189" t="s">
        <v>584</v>
      </c>
      <c r="G686" s="498" t="s">
        <v>585</v>
      </c>
      <c r="H686" s="7" t="s">
        <v>499</v>
      </c>
      <c r="I686" s="256">
        <v>40</v>
      </c>
      <c r="J686" s="256">
        <v>32686</v>
      </c>
      <c r="K686" s="614">
        <f>ROUND(I686*J686,0)</f>
        <v>1307440</v>
      </c>
      <c r="L686" s="194" t="s">
        <v>151</v>
      </c>
      <c r="M686" s="194" t="s">
        <v>8</v>
      </c>
      <c r="N686" s="52" t="str">
        <f>IF(AND('331-CT'!$E$7=TH!H686,OR(L686="331",M686="331")),"331",IF(AND(OR(L686="131",M686="131"),H686='131-CT'!$E$7),"131",""))</f>
        <v>331</v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94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53"/>
        <v>6</v>
      </c>
      <c r="C687" s="191">
        <f t="shared" si="51"/>
        <v>40718</v>
      </c>
      <c r="D687" s="184" t="s">
        <v>719</v>
      </c>
      <c r="E687" s="191">
        <v>40718</v>
      </c>
      <c r="F687" s="189" t="s">
        <v>380</v>
      </c>
      <c r="G687" s="498" t="s">
        <v>585</v>
      </c>
      <c r="H687" s="7" t="s">
        <v>499</v>
      </c>
      <c r="I687" s="256"/>
      <c r="J687" s="256"/>
      <c r="K687" s="38">
        <v>831476</v>
      </c>
      <c r="L687" s="194" t="s">
        <v>9</v>
      </c>
      <c r="M687" s="194" t="s">
        <v>8</v>
      </c>
      <c r="N687" s="52" t="str">
        <f>IF(AND('331-CT'!$E$7=TH!H687,OR(L687="331",M687="331")),"331",IF(AND(OR(L687="131",M687="131"),H687='131-CT'!$E$7),"131",""))</f>
        <v>331</v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94"/>
      <c r="AB687" s="606">
        <v>6</v>
      </c>
      <c r="AC687" s="606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53"/>
        <v>6</v>
      </c>
      <c r="C688" s="191">
        <f t="shared" si="51"/>
        <v>40718</v>
      </c>
      <c r="D688" s="184" t="s">
        <v>720</v>
      </c>
      <c r="E688" s="191">
        <v>40718</v>
      </c>
      <c r="F688" s="189" t="s">
        <v>628</v>
      </c>
      <c r="G688" s="498" t="s">
        <v>633</v>
      </c>
      <c r="H688" s="7" t="s">
        <v>548</v>
      </c>
      <c r="I688" s="839">
        <v>194</v>
      </c>
      <c r="J688" s="256">
        <v>32985</v>
      </c>
      <c r="K688" s="614">
        <f>ROUND(I688*J688,0)</f>
        <v>6399090</v>
      </c>
      <c r="L688" s="194" t="s">
        <v>151</v>
      </c>
      <c r="M688" s="194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94"/>
      <c r="AB688" s="211"/>
      <c r="AC688" s="211"/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53"/>
        <v>6</v>
      </c>
      <c r="C689" s="191">
        <f t="shared" si="51"/>
        <v>40718</v>
      </c>
      <c r="D689" s="184" t="s">
        <v>720</v>
      </c>
      <c r="E689" s="191">
        <v>40718</v>
      </c>
      <c r="F689" s="189" t="s">
        <v>629</v>
      </c>
      <c r="G689" s="498" t="s">
        <v>633</v>
      </c>
      <c r="H689" s="7" t="s">
        <v>548</v>
      </c>
      <c r="I689" s="258">
        <v>94</v>
      </c>
      <c r="J689" s="258">
        <v>27175</v>
      </c>
      <c r="K689" s="614">
        <f>ROUND(I689*J689,0)</f>
        <v>2554450</v>
      </c>
      <c r="L689" s="194" t="s">
        <v>151</v>
      </c>
      <c r="M689" s="194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94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53"/>
        <v>6</v>
      </c>
      <c r="C690" s="191">
        <f t="shared" si="51"/>
        <v>40718</v>
      </c>
      <c r="D690" s="184" t="s">
        <v>720</v>
      </c>
      <c r="E690" s="191">
        <v>40718</v>
      </c>
      <c r="F690" s="189" t="s">
        <v>630</v>
      </c>
      <c r="G690" s="498" t="s">
        <v>633</v>
      </c>
      <c r="H690" s="7" t="s">
        <v>548</v>
      </c>
      <c r="I690" s="256">
        <v>260</v>
      </c>
      <c r="J690" s="256">
        <v>9954</v>
      </c>
      <c r="K690" s="614">
        <f>ROUND(I690*J690,0)</f>
        <v>2588040</v>
      </c>
      <c r="L690" s="194" t="s">
        <v>151</v>
      </c>
      <c r="M690" s="194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94"/>
      <c r="AB690" s="211"/>
      <c r="AC690" s="211"/>
      <c r="AD690" s="211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53"/>
        <v>6</v>
      </c>
      <c r="C691" s="191">
        <f t="shared" si="51"/>
        <v>40718</v>
      </c>
      <c r="D691" s="184" t="s">
        <v>720</v>
      </c>
      <c r="E691" s="191">
        <v>40718</v>
      </c>
      <c r="F691" s="189" t="s">
        <v>631</v>
      </c>
      <c r="G691" s="498" t="s">
        <v>633</v>
      </c>
      <c r="H691" s="7" t="s">
        <v>548</v>
      </c>
      <c r="I691" s="256">
        <v>2300</v>
      </c>
      <c r="J691" s="256">
        <v>21455</v>
      </c>
      <c r="K691" s="614">
        <f>ROUND(I691*J691,0)</f>
        <v>49346500</v>
      </c>
      <c r="L691" s="194" t="s">
        <v>151</v>
      </c>
      <c r="M691" s="194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94"/>
      <c r="AB691" s="211"/>
      <c r="AC691" s="211"/>
      <c r="AD691" s="211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53"/>
        <v>6</v>
      </c>
      <c r="C692" s="191">
        <f t="shared" si="51"/>
        <v>40718</v>
      </c>
      <c r="D692" s="184" t="s">
        <v>720</v>
      </c>
      <c r="E692" s="191">
        <v>40718</v>
      </c>
      <c r="F692" s="189" t="s">
        <v>632</v>
      </c>
      <c r="G692" s="498" t="s">
        <v>633</v>
      </c>
      <c r="H692" s="7" t="s">
        <v>548</v>
      </c>
      <c r="I692" s="256">
        <v>260</v>
      </c>
      <c r="J692" s="256">
        <v>11385</v>
      </c>
      <c r="K692" s="614">
        <f>ROUND(I692*J692,0)</f>
        <v>2960100</v>
      </c>
      <c r="L692" s="194" t="s">
        <v>151</v>
      </c>
      <c r="M692" s="194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94"/>
      <c r="AB692" s="211"/>
      <c r="AC692" s="211"/>
      <c r="AD692" s="211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53"/>
        <v>6</v>
      </c>
      <c r="C693" s="191">
        <f t="shared" si="51"/>
        <v>40718</v>
      </c>
      <c r="D693" s="184" t="s">
        <v>720</v>
      </c>
      <c r="E693" s="191">
        <v>40718</v>
      </c>
      <c r="F693" s="189" t="s">
        <v>380</v>
      </c>
      <c r="G693" s="498" t="s">
        <v>633</v>
      </c>
      <c r="H693" s="7" t="s">
        <v>548</v>
      </c>
      <c r="I693" s="256"/>
      <c r="J693" s="256"/>
      <c r="K693" s="38">
        <v>6384818</v>
      </c>
      <c r="L693" s="194" t="s">
        <v>9</v>
      </c>
      <c r="M693" s="194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94"/>
      <c r="AB693" s="211">
        <v>7</v>
      </c>
      <c r="AC693" s="211"/>
      <c r="AD693" s="211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53"/>
        <v>6</v>
      </c>
      <c r="C694" s="184">
        <f t="shared" si="51"/>
        <v>40719</v>
      </c>
      <c r="D694" s="184" t="s">
        <v>333</v>
      </c>
      <c r="E694" s="184">
        <v>40719</v>
      </c>
      <c r="F694" s="189" t="s">
        <v>364</v>
      </c>
      <c r="G694" s="616" t="s">
        <v>330</v>
      </c>
      <c r="H694" s="193"/>
      <c r="I694" s="256"/>
      <c r="J694" s="256"/>
      <c r="K694" s="614">
        <v>82346</v>
      </c>
      <c r="L694" s="615" t="s">
        <v>23</v>
      </c>
      <c r="M694" s="615" t="s">
        <v>39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>x</v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94"/>
      <c r="AB694" s="606"/>
      <c r="AC694" s="606"/>
      <c r="AD694" s="606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53"/>
        <v>6</v>
      </c>
      <c r="C695" s="191">
        <f t="shared" si="51"/>
        <v>40719</v>
      </c>
      <c r="D695" s="184" t="s">
        <v>721</v>
      </c>
      <c r="E695" s="191">
        <v>40719</v>
      </c>
      <c r="F695" s="192" t="s">
        <v>595</v>
      </c>
      <c r="G695" s="498" t="s">
        <v>603</v>
      </c>
      <c r="H695" s="193" t="s">
        <v>559</v>
      </c>
      <c r="I695" s="258">
        <v>22</v>
      </c>
      <c r="J695" s="258">
        <v>16660</v>
      </c>
      <c r="K695" s="614">
        <f t="shared" ref="K695:K703" si="56">ROUND(I695*J695,0)</f>
        <v>366520</v>
      </c>
      <c r="L695" s="194" t="s">
        <v>151</v>
      </c>
      <c r="M695" s="194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94"/>
      <c r="AB695" s="211"/>
      <c r="AC695" s="211"/>
      <c r="AD695" s="211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53"/>
        <v>6</v>
      </c>
      <c r="C696" s="191">
        <f t="shared" si="51"/>
        <v>40719</v>
      </c>
      <c r="D696" s="184" t="s">
        <v>721</v>
      </c>
      <c r="E696" s="191">
        <v>40719</v>
      </c>
      <c r="F696" s="192" t="s">
        <v>597</v>
      </c>
      <c r="G696" s="498" t="s">
        <v>603</v>
      </c>
      <c r="H696" s="193" t="s">
        <v>559</v>
      </c>
      <c r="I696" s="258">
        <v>22</v>
      </c>
      <c r="J696" s="258">
        <v>25942</v>
      </c>
      <c r="K696" s="614">
        <f t="shared" si="56"/>
        <v>570724</v>
      </c>
      <c r="L696" s="194" t="s">
        <v>151</v>
      </c>
      <c r="M696" s="194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94"/>
      <c r="AB696" s="606"/>
      <c r="AC696" s="606"/>
      <c r="AD696" s="211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53"/>
        <v>6</v>
      </c>
      <c r="C697" s="191">
        <f t="shared" si="51"/>
        <v>40719</v>
      </c>
      <c r="D697" s="184" t="s">
        <v>721</v>
      </c>
      <c r="E697" s="191">
        <v>40719</v>
      </c>
      <c r="F697" s="192" t="s">
        <v>599</v>
      </c>
      <c r="G697" s="498" t="s">
        <v>603</v>
      </c>
      <c r="H697" s="193" t="s">
        <v>559</v>
      </c>
      <c r="I697" s="258">
        <v>12</v>
      </c>
      <c r="J697" s="258">
        <v>26894</v>
      </c>
      <c r="K697" s="614">
        <f t="shared" si="56"/>
        <v>322728</v>
      </c>
      <c r="L697" s="194" t="s">
        <v>151</v>
      </c>
      <c r="M697" s="194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94"/>
      <c r="AB697" s="211"/>
      <c r="AC697" s="211"/>
      <c r="AD697" s="211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53"/>
        <v>6</v>
      </c>
      <c r="C698" s="191">
        <f t="shared" si="51"/>
        <v>40719</v>
      </c>
      <c r="D698" s="184" t="s">
        <v>721</v>
      </c>
      <c r="E698" s="191">
        <v>40719</v>
      </c>
      <c r="F698" s="192" t="s">
        <v>598</v>
      </c>
      <c r="G698" s="498" t="s">
        <v>603</v>
      </c>
      <c r="H698" s="193" t="s">
        <v>559</v>
      </c>
      <c r="I698" s="256">
        <v>12</v>
      </c>
      <c r="J698" s="256">
        <v>17374</v>
      </c>
      <c r="K698" s="614">
        <f t="shared" si="56"/>
        <v>208488</v>
      </c>
      <c r="L698" s="194" t="s">
        <v>151</v>
      </c>
      <c r="M698" s="194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94"/>
      <c r="AB698" s="606"/>
      <c r="AC698" s="606"/>
      <c r="AD698" s="211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53"/>
        <v>6</v>
      </c>
      <c r="C699" s="191">
        <f t="shared" si="51"/>
        <v>40719</v>
      </c>
      <c r="D699" s="184" t="s">
        <v>721</v>
      </c>
      <c r="E699" s="191">
        <v>40719</v>
      </c>
      <c r="F699" s="192" t="s">
        <v>604</v>
      </c>
      <c r="G699" s="498" t="s">
        <v>603</v>
      </c>
      <c r="H699" s="193" t="s">
        <v>559</v>
      </c>
      <c r="I699" s="256">
        <v>84</v>
      </c>
      <c r="J699" s="256">
        <v>14280</v>
      </c>
      <c r="K699" s="614">
        <f t="shared" si="56"/>
        <v>1199520</v>
      </c>
      <c r="L699" s="194" t="s">
        <v>151</v>
      </c>
      <c r="M699" s="194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94"/>
      <c r="AB699" s="211"/>
      <c r="AC699" s="211"/>
      <c r="AD699" s="211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53"/>
        <v>6</v>
      </c>
      <c r="C700" s="191">
        <f t="shared" si="51"/>
        <v>40719</v>
      </c>
      <c r="D700" s="184" t="s">
        <v>721</v>
      </c>
      <c r="E700" s="191">
        <v>40719</v>
      </c>
      <c r="F700" s="192" t="s">
        <v>605</v>
      </c>
      <c r="G700" s="498" t="s">
        <v>603</v>
      </c>
      <c r="H700" s="193" t="s">
        <v>559</v>
      </c>
      <c r="I700" s="256">
        <v>32</v>
      </c>
      <c r="J700" s="256">
        <v>27370</v>
      </c>
      <c r="K700" s="614">
        <f t="shared" si="56"/>
        <v>875840</v>
      </c>
      <c r="L700" s="194" t="s">
        <v>151</v>
      </c>
      <c r="M700" s="194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94"/>
      <c r="AB700" s="606"/>
      <c r="AC700" s="606"/>
      <c r="AD700" s="211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53"/>
        <v>6</v>
      </c>
      <c r="C701" s="191">
        <f t="shared" si="51"/>
        <v>40719</v>
      </c>
      <c r="D701" s="184" t="s">
        <v>721</v>
      </c>
      <c r="E701" s="191">
        <v>40719</v>
      </c>
      <c r="F701" s="192" t="s">
        <v>606</v>
      </c>
      <c r="G701" s="498" t="s">
        <v>603</v>
      </c>
      <c r="H701" s="193" t="s">
        <v>559</v>
      </c>
      <c r="I701" s="256">
        <v>90</v>
      </c>
      <c r="J701" s="256">
        <v>26656</v>
      </c>
      <c r="K701" s="614">
        <f t="shared" si="56"/>
        <v>2399040</v>
      </c>
      <c r="L701" s="194" t="s">
        <v>151</v>
      </c>
      <c r="M701" s="194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94"/>
      <c r="AB701" s="211"/>
      <c r="AC701" s="211"/>
      <c r="AD701" s="211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53"/>
        <v>6</v>
      </c>
      <c r="C702" s="191">
        <f t="shared" si="51"/>
        <v>40719</v>
      </c>
      <c r="D702" s="184" t="s">
        <v>721</v>
      </c>
      <c r="E702" s="191">
        <v>40719</v>
      </c>
      <c r="F702" s="192" t="s">
        <v>607</v>
      </c>
      <c r="G702" s="498" t="s">
        <v>603</v>
      </c>
      <c r="H702" s="193" t="s">
        <v>559</v>
      </c>
      <c r="I702" s="258">
        <v>132</v>
      </c>
      <c r="J702" s="258">
        <v>21098</v>
      </c>
      <c r="K702" s="614">
        <f t="shared" si="56"/>
        <v>2784936</v>
      </c>
      <c r="L702" s="194" t="s">
        <v>151</v>
      </c>
      <c r="M702" s="194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94"/>
      <c r="AB702" s="606"/>
      <c r="AC702" s="606"/>
      <c r="AD702" s="211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53"/>
        <v>6</v>
      </c>
      <c r="C703" s="191">
        <f t="shared" si="51"/>
        <v>40719</v>
      </c>
      <c r="D703" s="184" t="s">
        <v>721</v>
      </c>
      <c r="E703" s="191">
        <v>40719</v>
      </c>
      <c r="F703" s="192" t="s">
        <v>596</v>
      </c>
      <c r="G703" s="498" t="s">
        <v>603</v>
      </c>
      <c r="H703" s="193" t="s">
        <v>559</v>
      </c>
      <c r="I703" s="256">
        <v>70</v>
      </c>
      <c r="J703" s="256">
        <v>15946</v>
      </c>
      <c r="K703" s="614">
        <f t="shared" si="56"/>
        <v>1116220</v>
      </c>
      <c r="L703" s="194" t="s">
        <v>151</v>
      </c>
      <c r="M703" s="194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94"/>
      <c r="AB703" s="211"/>
      <c r="AC703" s="211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53"/>
        <v>6</v>
      </c>
      <c r="C704" s="191">
        <f t="shared" si="51"/>
        <v>40719</v>
      </c>
      <c r="D704" s="184" t="s">
        <v>721</v>
      </c>
      <c r="E704" s="191">
        <v>40719</v>
      </c>
      <c r="F704" s="192" t="s">
        <v>560</v>
      </c>
      <c r="G704" s="498" t="s">
        <v>603</v>
      </c>
      <c r="H704" s="193" t="s">
        <v>559</v>
      </c>
      <c r="I704" s="256"/>
      <c r="J704" s="256"/>
      <c r="K704" s="38">
        <v>984402</v>
      </c>
      <c r="L704" s="194" t="s">
        <v>9</v>
      </c>
      <c r="M704" s="194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94"/>
      <c r="AB704" s="211">
        <v>7</v>
      </c>
      <c r="AC704" s="606"/>
      <c r="AD704" s="211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53"/>
        <v>6</v>
      </c>
      <c r="C705" s="191">
        <f t="shared" si="51"/>
        <v>40719</v>
      </c>
      <c r="D705" s="720" t="s">
        <v>1109</v>
      </c>
      <c r="E705" s="191">
        <v>40719</v>
      </c>
      <c r="F705" s="189" t="s">
        <v>387</v>
      </c>
      <c r="G705" s="498"/>
      <c r="H705" s="628" t="s">
        <v>1092</v>
      </c>
      <c r="I705" s="864">
        <v>35</v>
      </c>
      <c r="J705" s="256">
        <v>4449</v>
      </c>
      <c r="K705" s="614">
        <f t="shared" ref="K705:K718" si="57">ROUND(I705*J705,0)</f>
        <v>155715</v>
      </c>
      <c r="L705" s="39" t="s">
        <v>157</v>
      </c>
      <c r="M705" s="724" t="s">
        <v>151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>154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>x</v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94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53"/>
        <v>6</v>
      </c>
      <c r="C706" s="191">
        <f t="shared" si="51"/>
        <v>40719</v>
      </c>
      <c r="D706" s="720" t="s">
        <v>1109</v>
      </c>
      <c r="E706" s="191">
        <v>40719</v>
      </c>
      <c r="F706" s="189" t="s">
        <v>621</v>
      </c>
      <c r="G706" s="498"/>
      <c r="H706" s="628" t="s">
        <v>1092</v>
      </c>
      <c r="I706" s="256">
        <v>20</v>
      </c>
      <c r="J706" s="256">
        <v>31640</v>
      </c>
      <c r="K706" s="614">
        <f t="shared" si="57"/>
        <v>632800</v>
      </c>
      <c r="L706" s="39" t="s">
        <v>157</v>
      </c>
      <c r="M706" s="724" t="s">
        <v>151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>154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94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53"/>
        <v>6</v>
      </c>
      <c r="C707" s="191">
        <f t="shared" si="51"/>
        <v>40719</v>
      </c>
      <c r="D707" s="720" t="s">
        <v>1109</v>
      </c>
      <c r="E707" s="191">
        <v>40719</v>
      </c>
      <c r="F707" s="40" t="s">
        <v>557</v>
      </c>
      <c r="G707" s="498"/>
      <c r="H707" s="628" t="s">
        <v>1092</v>
      </c>
      <c r="I707" s="256">
        <v>48</v>
      </c>
      <c r="J707" s="256">
        <v>24005</v>
      </c>
      <c r="K707" s="614">
        <f t="shared" si="57"/>
        <v>1152240</v>
      </c>
      <c r="L707" s="39" t="s">
        <v>157</v>
      </c>
      <c r="M707" s="724" t="s">
        <v>151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>154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94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53"/>
        <v>6</v>
      </c>
      <c r="C708" s="191">
        <f t="shared" si="51"/>
        <v>40719</v>
      </c>
      <c r="D708" s="720" t="s">
        <v>1109</v>
      </c>
      <c r="E708" s="191">
        <v>40719</v>
      </c>
      <c r="F708" s="189" t="s">
        <v>478</v>
      </c>
      <c r="G708" s="498"/>
      <c r="H708" s="628" t="s">
        <v>1092</v>
      </c>
      <c r="I708" s="256">
        <v>2000</v>
      </c>
      <c r="J708" s="256">
        <v>4592</v>
      </c>
      <c r="K708" s="614">
        <f t="shared" si="57"/>
        <v>9184000</v>
      </c>
      <c r="L708" s="39" t="s">
        <v>157</v>
      </c>
      <c r="M708" s="724" t="s">
        <v>151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>154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94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53"/>
        <v>6</v>
      </c>
      <c r="C709" s="191">
        <f t="shared" si="51"/>
        <v>40719</v>
      </c>
      <c r="D709" s="720" t="s">
        <v>1109</v>
      </c>
      <c r="E709" s="191">
        <v>40719</v>
      </c>
      <c r="F709" s="40" t="s">
        <v>557</v>
      </c>
      <c r="G709" s="498"/>
      <c r="H709" s="628" t="s">
        <v>1092</v>
      </c>
      <c r="I709" s="256">
        <v>153</v>
      </c>
      <c r="J709" s="256">
        <v>24005</v>
      </c>
      <c r="K709" s="614">
        <f t="shared" si="57"/>
        <v>3672765</v>
      </c>
      <c r="L709" s="39" t="s">
        <v>157</v>
      </c>
      <c r="M709" s="724" t="s">
        <v>151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>154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94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53"/>
        <v>6</v>
      </c>
      <c r="C710" s="191">
        <f t="shared" si="51"/>
        <v>40721</v>
      </c>
      <c r="D710" s="184" t="s">
        <v>722</v>
      </c>
      <c r="E710" s="191">
        <v>40721</v>
      </c>
      <c r="F710" s="192" t="s">
        <v>609</v>
      </c>
      <c r="G710" s="498" t="s">
        <v>608</v>
      </c>
      <c r="H710" s="193" t="s">
        <v>559</v>
      </c>
      <c r="I710" s="256">
        <v>182</v>
      </c>
      <c r="J710" s="256">
        <v>19418</v>
      </c>
      <c r="K710" s="614">
        <f t="shared" si="57"/>
        <v>3534076</v>
      </c>
      <c r="L710" s="194" t="s">
        <v>151</v>
      </c>
      <c r="M710" s="194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94"/>
      <c r="AB710" s="211"/>
      <c r="AC710" s="211"/>
      <c r="AD710" s="211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53"/>
        <v>6</v>
      </c>
      <c r="C711" s="191">
        <f t="shared" si="51"/>
        <v>40721</v>
      </c>
      <c r="D711" s="184" t="s">
        <v>722</v>
      </c>
      <c r="E711" s="191">
        <v>40721</v>
      </c>
      <c r="F711" s="192" t="s">
        <v>610</v>
      </c>
      <c r="G711" s="498" t="s">
        <v>608</v>
      </c>
      <c r="H711" s="193" t="s">
        <v>559</v>
      </c>
      <c r="I711" s="256">
        <v>487</v>
      </c>
      <c r="J711" s="256">
        <v>22484</v>
      </c>
      <c r="K711" s="614">
        <f t="shared" si="57"/>
        <v>10949708</v>
      </c>
      <c r="L711" s="194" t="s">
        <v>151</v>
      </c>
      <c r="M711" s="194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94"/>
      <c r="AB711" s="606"/>
      <c r="AC711" s="606"/>
      <c r="AD711" s="211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53"/>
        <v>6</v>
      </c>
      <c r="C712" s="191">
        <f t="shared" si="51"/>
        <v>40721</v>
      </c>
      <c r="D712" s="184" t="s">
        <v>722</v>
      </c>
      <c r="E712" s="191">
        <v>40721</v>
      </c>
      <c r="F712" s="192" t="s">
        <v>611</v>
      </c>
      <c r="G712" s="498" t="s">
        <v>608</v>
      </c>
      <c r="H712" s="193" t="s">
        <v>559</v>
      </c>
      <c r="I712" s="256">
        <v>38</v>
      </c>
      <c r="J712" s="256">
        <v>18396</v>
      </c>
      <c r="K712" s="614">
        <f t="shared" si="57"/>
        <v>699048</v>
      </c>
      <c r="L712" s="194" t="s">
        <v>151</v>
      </c>
      <c r="M712" s="194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94"/>
      <c r="AB712" s="211"/>
      <c r="AC712" s="678"/>
      <c r="AD712" s="678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53"/>
        <v>6</v>
      </c>
      <c r="C713" s="191">
        <f t="shared" si="51"/>
        <v>40721</v>
      </c>
      <c r="D713" s="184" t="s">
        <v>722</v>
      </c>
      <c r="E713" s="191">
        <v>40721</v>
      </c>
      <c r="F713" s="192" t="s">
        <v>612</v>
      </c>
      <c r="G713" s="498" t="s">
        <v>608</v>
      </c>
      <c r="H713" s="193" t="s">
        <v>559</v>
      </c>
      <c r="I713" s="256">
        <v>45</v>
      </c>
      <c r="J713" s="256">
        <v>29792</v>
      </c>
      <c r="K713" s="614">
        <f t="shared" si="57"/>
        <v>1340640</v>
      </c>
      <c r="L713" s="194" t="s">
        <v>151</v>
      </c>
      <c r="M713" s="194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94"/>
      <c r="AB713" s="606"/>
      <c r="AC713" s="606"/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53"/>
        <v>6</v>
      </c>
      <c r="C714" s="191">
        <f t="shared" si="51"/>
        <v>40721</v>
      </c>
      <c r="D714" s="184" t="s">
        <v>722</v>
      </c>
      <c r="E714" s="191">
        <v>40721</v>
      </c>
      <c r="F714" s="192" t="s">
        <v>613</v>
      </c>
      <c r="G714" s="498" t="s">
        <v>608</v>
      </c>
      <c r="H714" s="193" t="s">
        <v>559</v>
      </c>
      <c r="I714" s="256">
        <v>391</v>
      </c>
      <c r="J714" s="256">
        <v>19180</v>
      </c>
      <c r="K714" s="614">
        <f t="shared" si="57"/>
        <v>7499380</v>
      </c>
      <c r="L714" s="194" t="s">
        <v>151</v>
      </c>
      <c r="M714" s="194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94"/>
      <c r="AB714" s="211"/>
      <c r="AC714" s="211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53"/>
        <v>6</v>
      </c>
      <c r="C715" s="191">
        <f t="shared" si="51"/>
        <v>40721</v>
      </c>
      <c r="D715" s="184" t="s">
        <v>722</v>
      </c>
      <c r="E715" s="191">
        <v>40721</v>
      </c>
      <c r="F715" s="192" t="s">
        <v>614</v>
      </c>
      <c r="G715" s="498" t="s">
        <v>608</v>
      </c>
      <c r="H715" s="193" t="s">
        <v>559</v>
      </c>
      <c r="I715" s="256">
        <v>20</v>
      </c>
      <c r="J715" s="256">
        <v>31360</v>
      </c>
      <c r="K715" s="614">
        <f t="shared" si="57"/>
        <v>627200</v>
      </c>
      <c r="L715" s="194" t="s">
        <v>151</v>
      </c>
      <c r="M715" s="194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94"/>
      <c r="AB715" s="606"/>
      <c r="AC715" s="606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53"/>
        <v>6</v>
      </c>
      <c r="C716" s="191">
        <f t="shared" si="51"/>
        <v>40721</v>
      </c>
      <c r="D716" s="184" t="s">
        <v>722</v>
      </c>
      <c r="E716" s="191">
        <v>40721</v>
      </c>
      <c r="F716" s="192" t="s">
        <v>615</v>
      </c>
      <c r="G716" s="498" t="s">
        <v>608</v>
      </c>
      <c r="H716" s="193" t="s">
        <v>559</v>
      </c>
      <c r="I716" s="256">
        <v>50</v>
      </c>
      <c r="J716" s="256">
        <v>28476</v>
      </c>
      <c r="K716" s="614">
        <f t="shared" si="57"/>
        <v>1423800</v>
      </c>
      <c r="L716" s="194" t="s">
        <v>151</v>
      </c>
      <c r="M716" s="194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94"/>
      <c r="AB716" s="211"/>
      <c r="AC716" s="211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53"/>
        <v>6</v>
      </c>
      <c r="C717" s="191">
        <f t="shared" si="51"/>
        <v>40721</v>
      </c>
      <c r="D717" s="184" t="s">
        <v>722</v>
      </c>
      <c r="E717" s="191">
        <v>40721</v>
      </c>
      <c r="F717" s="192" t="s">
        <v>616</v>
      </c>
      <c r="G717" s="498" t="s">
        <v>608</v>
      </c>
      <c r="H717" s="193" t="s">
        <v>559</v>
      </c>
      <c r="I717" s="256">
        <v>92</v>
      </c>
      <c r="J717" s="256">
        <v>30058</v>
      </c>
      <c r="K717" s="614">
        <f t="shared" si="57"/>
        <v>2765336</v>
      </c>
      <c r="L717" s="194" t="s">
        <v>151</v>
      </c>
      <c r="M717" s="194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94"/>
      <c r="AB717" s="606"/>
      <c r="AC717" s="606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53"/>
        <v>6</v>
      </c>
      <c r="C718" s="191">
        <f t="shared" si="51"/>
        <v>40721</v>
      </c>
      <c r="D718" s="184" t="s">
        <v>722</v>
      </c>
      <c r="E718" s="191">
        <v>40721</v>
      </c>
      <c r="F718" s="192" t="s">
        <v>611</v>
      </c>
      <c r="G718" s="498" t="s">
        <v>608</v>
      </c>
      <c r="H718" s="193" t="s">
        <v>559</v>
      </c>
      <c r="I718" s="256">
        <v>182</v>
      </c>
      <c r="J718" s="256">
        <v>18396</v>
      </c>
      <c r="K718" s="614">
        <f t="shared" si="57"/>
        <v>3348072</v>
      </c>
      <c r="L718" s="194" t="s">
        <v>151</v>
      </c>
      <c r="M718" s="194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94"/>
      <c r="AB718" s="211"/>
      <c r="AC718" s="211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53"/>
        <v>6</v>
      </c>
      <c r="C719" s="191">
        <f t="shared" ref="C719:C743" si="58">E719</f>
        <v>40721</v>
      </c>
      <c r="D719" s="184" t="s">
        <v>722</v>
      </c>
      <c r="E719" s="191">
        <v>40721</v>
      </c>
      <c r="F719" s="192" t="s">
        <v>560</v>
      </c>
      <c r="G719" s="498" t="s">
        <v>608</v>
      </c>
      <c r="H719" s="193" t="s">
        <v>559</v>
      </c>
      <c r="I719" s="256"/>
      <c r="J719" s="256"/>
      <c r="K719" s="38">
        <v>3218726</v>
      </c>
      <c r="L719" s="194" t="s">
        <v>9</v>
      </c>
      <c r="M719" s="194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94"/>
      <c r="AB719" s="211">
        <v>7</v>
      </c>
      <c r="AC719" s="606"/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53"/>
        <v>6</v>
      </c>
      <c r="C720" s="191">
        <f t="shared" si="58"/>
        <v>40721</v>
      </c>
      <c r="D720" s="720" t="s">
        <v>1109</v>
      </c>
      <c r="E720" s="191">
        <v>40721</v>
      </c>
      <c r="F720" s="189" t="s">
        <v>385</v>
      </c>
      <c r="G720" s="498"/>
      <c r="H720" s="628" t="s">
        <v>1092</v>
      </c>
      <c r="I720" s="256">
        <v>391</v>
      </c>
      <c r="J720" s="256">
        <v>6124</v>
      </c>
      <c r="K720" s="614">
        <f t="shared" ref="K720:K734" si="59">ROUND(I720*J720,0)</f>
        <v>2394484</v>
      </c>
      <c r="L720" s="39" t="s">
        <v>157</v>
      </c>
      <c r="M720" s="724" t="s">
        <v>151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>154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94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53"/>
        <v>6</v>
      </c>
      <c r="C721" s="191">
        <f t="shared" si="58"/>
        <v>40721</v>
      </c>
      <c r="D721" s="720" t="s">
        <v>1110</v>
      </c>
      <c r="E721" s="191">
        <v>40721</v>
      </c>
      <c r="F721" s="298" t="s">
        <v>479</v>
      </c>
      <c r="G721" s="498"/>
      <c r="H721" s="628" t="s">
        <v>1092</v>
      </c>
      <c r="I721" s="256">
        <v>297</v>
      </c>
      <c r="J721" s="256">
        <v>6026</v>
      </c>
      <c r="K721" s="614">
        <f t="shared" si="59"/>
        <v>1789722</v>
      </c>
      <c r="L721" s="39" t="s">
        <v>157</v>
      </c>
      <c r="M721" s="724" t="s">
        <v>151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>154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94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53"/>
        <v>6</v>
      </c>
      <c r="C722" s="191">
        <f t="shared" si="58"/>
        <v>40721</v>
      </c>
      <c r="D722" s="720" t="s">
        <v>1110</v>
      </c>
      <c r="E722" s="191">
        <v>40721</v>
      </c>
      <c r="F722" s="298" t="s">
        <v>479</v>
      </c>
      <c r="G722" s="498"/>
      <c r="H722" s="628" t="s">
        <v>1092</v>
      </c>
      <c r="I722" s="256">
        <v>101</v>
      </c>
      <c r="J722" s="256">
        <v>6026</v>
      </c>
      <c r="K722" s="614">
        <f t="shared" si="59"/>
        <v>608626</v>
      </c>
      <c r="L722" s="39" t="s">
        <v>157</v>
      </c>
      <c r="M722" s="724" t="s">
        <v>151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>154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94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53"/>
        <v>6</v>
      </c>
      <c r="C723" s="191">
        <f t="shared" si="58"/>
        <v>40721</v>
      </c>
      <c r="D723" s="720" t="s">
        <v>1110</v>
      </c>
      <c r="E723" s="191">
        <v>40721</v>
      </c>
      <c r="F723" s="298" t="s">
        <v>479</v>
      </c>
      <c r="G723" s="498"/>
      <c r="H723" s="628" t="s">
        <v>1092</v>
      </c>
      <c r="I723" s="256">
        <v>103</v>
      </c>
      <c r="J723" s="256">
        <v>6026</v>
      </c>
      <c r="K723" s="614">
        <f t="shared" si="59"/>
        <v>620678</v>
      </c>
      <c r="L723" s="39" t="s">
        <v>157</v>
      </c>
      <c r="M723" s="724" t="s">
        <v>151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>154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94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53"/>
        <v>6</v>
      </c>
      <c r="C724" s="191">
        <f t="shared" si="58"/>
        <v>40721</v>
      </c>
      <c r="D724" s="720" t="s">
        <v>1110</v>
      </c>
      <c r="E724" s="191">
        <v>40721</v>
      </c>
      <c r="F724" s="40" t="s">
        <v>616</v>
      </c>
      <c r="G724" s="498"/>
      <c r="H724" s="628" t="s">
        <v>1092</v>
      </c>
      <c r="I724" s="256">
        <v>55</v>
      </c>
      <c r="J724" s="256">
        <v>30058</v>
      </c>
      <c r="K724" s="614">
        <f t="shared" si="59"/>
        <v>1653190</v>
      </c>
      <c r="L724" s="39" t="s">
        <v>157</v>
      </c>
      <c r="M724" s="724" t="s">
        <v>151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>154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94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53"/>
        <v>6</v>
      </c>
      <c r="C725" s="191">
        <f t="shared" si="58"/>
        <v>40721</v>
      </c>
      <c r="D725" s="720" t="s">
        <v>1110</v>
      </c>
      <c r="E725" s="191">
        <v>40721</v>
      </c>
      <c r="F725" s="189" t="s">
        <v>572</v>
      </c>
      <c r="G725" s="498"/>
      <c r="H725" s="628" t="s">
        <v>1092</v>
      </c>
      <c r="I725" s="256">
        <v>104</v>
      </c>
      <c r="J725" s="256">
        <v>20236</v>
      </c>
      <c r="K725" s="614">
        <f t="shared" si="59"/>
        <v>2104544</v>
      </c>
      <c r="L725" s="39" t="s">
        <v>157</v>
      </c>
      <c r="M725" s="724" t="s">
        <v>151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>154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94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53"/>
        <v>6</v>
      </c>
      <c r="C726" s="191">
        <f t="shared" si="58"/>
        <v>40721</v>
      </c>
      <c r="D726" s="720" t="s">
        <v>1111</v>
      </c>
      <c r="E726" s="191">
        <v>40721</v>
      </c>
      <c r="F726" s="298" t="s">
        <v>479</v>
      </c>
      <c r="G726" s="498"/>
      <c r="H726" s="628" t="s">
        <v>1092</v>
      </c>
      <c r="I726" s="258">
        <v>778</v>
      </c>
      <c r="J726" s="258">
        <v>6026</v>
      </c>
      <c r="K726" s="614">
        <f t="shared" si="59"/>
        <v>4688228</v>
      </c>
      <c r="L726" s="39" t="s">
        <v>157</v>
      </c>
      <c r="M726" s="724" t="s">
        <v>151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>154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94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53"/>
        <v>6</v>
      </c>
      <c r="C727" s="191">
        <f t="shared" si="58"/>
        <v>40722</v>
      </c>
      <c r="D727" s="184" t="s">
        <v>723</v>
      </c>
      <c r="E727" s="191">
        <v>40722</v>
      </c>
      <c r="F727" s="192" t="s">
        <v>618</v>
      </c>
      <c r="G727" s="498" t="s">
        <v>617</v>
      </c>
      <c r="H727" s="193" t="s">
        <v>559</v>
      </c>
      <c r="I727" s="256">
        <v>20</v>
      </c>
      <c r="J727" s="256">
        <v>28560</v>
      </c>
      <c r="K727" s="614">
        <f t="shared" si="59"/>
        <v>571200</v>
      </c>
      <c r="L727" s="194" t="s">
        <v>151</v>
      </c>
      <c r="M727" s="194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94"/>
      <c r="AB727" s="211"/>
      <c r="AC727" s="211"/>
      <c r="AD727" s="211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53"/>
        <v>6</v>
      </c>
      <c r="C728" s="191">
        <f t="shared" si="58"/>
        <v>40722</v>
      </c>
      <c r="D728" s="184" t="s">
        <v>723</v>
      </c>
      <c r="E728" s="191">
        <v>40722</v>
      </c>
      <c r="F728" s="192" t="s">
        <v>593</v>
      </c>
      <c r="G728" s="498" t="s">
        <v>617</v>
      </c>
      <c r="H728" s="193" t="s">
        <v>559</v>
      </c>
      <c r="I728" s="256">
        <v>224</v>
      </c>
      <c r="J728" s="256">
        <v>23506</v>
      </c>
      <c r="K728" s="614">
        <f t="shared" si="59"/>
        <v>5265344</v>
      </c>
      <c r="L728" s="194" t="s">
        <v>151</v>
      </c>
      <c r="M728" s="194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94"/>
      <c r="AB728" s="211"/>
      <c r="AC728" s="211"/>
      <c r="AD728" s="211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ref="B729:B792" si="60">IF(C729&lt;&gt;"",MONTH(C729),"")</f>
        <v>6</v>
      </c>
      <c r="C729" s="191">
        <f t="shared" si="58"/>
        <v>40722</v>
      </c>
      <c r="D729" s="184" t="s">
        <v>723</v>
      </c>
      <c r="E729" s="191">
        <v>40722</v>
      </c>
      <c r="F729" s="192" t="s">
        <v>619</v>
      </c>
      <c r="G729" s="498" t="s">
        <v>617</v>
      </c>
      <c r="H729" s="193" t="s">
        <v>559</v>
      </c>
      <c r="I729" s="256">
        <v>10</v>
      </c>
      <c r="J729" s="256">
        <v>32844</v>
      </c>
      <c r="K729" s="614">
        <f t="shared" si="59"/>
        <v>328440</v>
      </c>
      <c r="L729" s="194" t="s">
        <v>151</v>
      </c>
      <c r="M729" s="194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94"/>
      <c r="AB729" s="211"/>
      <c r="AC729" s="211"/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60"/>
        <v>6</v>
      </c>
      <c r="C730" s="191">
        <f t="shared" si="58"/>
        <v>40722</v>
      </c>
      <c r="D730" s="184" t="s">
        <v>723</v>
      </c>
      <c r="E730" s="191">
        <v>40722</v>
      </c>
      <c r="F730" s="192" t="s">
        <v>615</v>
      </c>
      <c r="G730" s="498" t="s">
        <v>617</v>
      </c>
      <c r="H730" s="193" t="s">
        <v>559</v>
      </c>
      <c r="I730" s="256">
        <v>8</v>
      </c>
      <c r="J730" s="256">
        <v>28476</v>
      </c>
      <c r="K730" s="614">
        <f t="shared" si="59"/>
        <v>227808</v>
      </c>
      <c r="L730" s="194" t="s">
        <v>151</v>
      </c>
      <c r="M730" s="194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94"/>
      <c r="AB730" s="211"/>
      <c r="AC730" s="211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60"/>
        <v>6</v>
      </c>
      <c r="C731" s="191">
        <f t="shared" si="58"/>
        <v>40722</v>
      </c>
      <c r="D731" s="184" t="s">
        <v>723</v>
      </c>
      <c r="E731" s="191">
        <v>40722</v>
      </c>
      <c r="F731" s="192" t="s">
        <v>620</v>
      </c>
      <c r="G731" s="498" t="s">
        <v>617</v>
      </c>
      <c r="H731" s="193" t="s">
        <v>559</v>
      </c>
      <c r="I731" s="256">
        <v>192</v>
      </c>
      <c r="J731" s="256">
        <v>20440</v>
      </c>
      <c r="K731" s="614">
        <f t="shared" si="59"/>
        <v>3924480</v>
      </c>
      <c r="L731" s="194" t="s">
        <v>151</v>
      </c>
      <c r="M731" s="194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94"/>
      <c r="AB731" s="211"/>
      <c r="AC731" s="211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60"/>
        <v>6</v>
      </c>
      <c r="C732" s="191">
        <f t="shared" si="58"/>
        <v>40722</v>
      </c>
      <c r="D732" s="184" t="s">
        <v>723</v>
      </c>
      <c r="E732" s="191">
        <v>40722</v>
      </c>
      <c r="F732" s="192" t="s">
        <v>621</v>
      </c>
      <c r="G732" s="498" t="s">
        <v>617</v>
      </c>
      <c r="H732" s="193" t="s">
        <v>559</v>
      </c>
      <c r="I732" s="256">
        <v>20</v>
      </c>
      <c r="J732" s="256">
        <v>31640</v>
      </c>
      <c r="K732" s="614">
        <f t="shared" si="59"/>
        <v>632800</v>
      </c>
      <c r="L732" s="194" t="s">
        <v>151</v>
      </c>
      <c r="M732" s="194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94"/>
      <c r="AB732" s="211"/>
      <c r="AC732" s="211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60"/>
        <v>6</v>
      </c>
      <c r="C733" s="191">
        <f t="shared" si="58"/>
        <v>40722</v>
      </c>
      <c r="D733" s="184" t="s">
        <v>723</v>
      </c>
      <c r="E733" s="191">
        <v>40722</v>
      </c>
      <c r="F733" s="192" t="s">
        <v>611</v>
      </c>
      <c r="G733" s="498" t="s">
        <v>617</v>
      </c>
      <c r="H733" s="193" t="s">
        <v>559</v>
      </c>
      <c r="I733" s="256">
        <v>14</v>
      </c>
      <c r="J733" s="256">
        <v>18396</v>
      </c>
      <c r="K733" s="614">
        <f t="shared" si="59"/>
        <v>257544</v>
      </c>
      <c r="L733" s="194" t="s">
        <v>151</v>
      </c>
      <c r="M733" s="194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94"/>
      <c r="AB733" s="211"/>
      <c r="AC733" s="211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60"/>
        <v>6</v>
      </c>
      <c r="C734" s="191">
        <f t="shared" si="58"/>
        <v>40722</v>
      </c>
      <c r="D734" s="184" t="s">
        <v>723</v>
      </c>
      <c r="E734" s="191">
        <v>40722</v>
      </c>
      <c r="F734" s="192" t="s">
        <v>622</v>
      </c>
      <c r="G734" s="498" t="s">
        <v>617</v>
      </c>
      <c r="H734" s="193" t="s">
        <v>559</v>
      </c>
      <c r="I734" s="848">
        <v>55</v>
      </c>
      <c r="J734" s="259">
        <v>23906</v>
      </c>
      <c r="K734" s="614">
        <f t="shared" si="59"/>
        <v>1314830</v>
      </c>
      <c r="L734" s="194" t="s">
        <v>151</v>
      </c>
      <c r="M734" s="194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94"/>
      <c r="AB734" s="211"/>
      <c r="AC734" s="211"/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60"/>
        <v>6</v>
      </c>
      <c r="C735" s="191">
        <f t="shared" si="58"/>
        <v>40722</v>
      </c>
      <c r="D735" s="184" t="s">
        <v>723</v>
      </c>
      <c r="E735" s="191">
        <v>40722</v>
      </c>
      <c r="F735" s="192" t="s">
        <v>560</v>
      </c>
      <c r="G735" s="498" t="s">
        <v>617</v>
      </c>
      <c r="H735" s="193" t="s">
        <v>559</v>
      </c>
      <c r="I735" s="256"/>
      <c r="J735" s="256"/>
      <c r="K735" s="38">
        <v>1252245</v>
      </c>
      <c r="L735" s="194" t="s">
        <v>9</v>
      </c>
      <c r="M735" s="194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94"/>
      <c r="AB735" s="211">
        <v>7</v>
      </c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60"/>
        <v>6</v>
      </c>
      <c r="C736" s="191">
        <f t="shared" si="58"/>
        <v>40723</v>
      </c>
      <c r="D736" s="184" t="s">
        <v>724</v>
      </c>
      <c r="E736" s="191">
        <v>40723</v>
      </c>
      <c r="F736" s="192" t="s">
        <v>624</v>
      </c>
      <c r="G736" s="498" t="s">
        <v>623</v>
      </c>
      <c r="H736" s="193" t="s">
        <v>559</v>
      </c>
      <c r="I736" s="259">
        <v>100</v>
      </c>
      <c r="J736" s="259">
        <v>23688</v>
      </c>
      <c r="K736" s="614">
        <f>ROUND(I736*J736,0)</f>
        <v>2368800</v>
      </c>
      <c r="L736" s="194" t="s">
        <v>151</v>
      </c>
      <c r="M736" s="194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94"/>
      <c r="AB736" s="211"/>
      <c r="AC736" s="211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60"/>
        <v>6</v>
      </c>
      <c r="C737" s="191">
        <f t="shared" si="58"/>
        <v>40723</v>
      </c>
      <c r="D737" s="184" t="s">
        <v>724</v>
      </c>
      <c r="E737" s="191">
        <v>40723</v>
      </c>
      <c r="F737" s="192" t="s">
        <v>625</v>
      </c>
      <c r="G737" s="498" t="s">
        <v>623</v>
      </c>
      <c r="H737" s="193" t="s">
        <v>559</v>
      </c>
      <c r="I737" s="256">
        <v>94</v>
      </c>
      <c r="J737" s="256">
        <v>28980</v>
      </c>
      <c r="K737" s="614">
        <f>ROUND(I737*J737,0)</f>
        <v>2724120</v>
      </c>
      <c r="L737" s="194" t="s">
        <v>151</v>
      </c>
      <c r="M737" s="194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94"/>
      <c r="AB737" s="211"/>
      <c r="AC737" s="211"/>
      <c r="AD737" s="606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60"/>
        <v>6</v>
      </c>
      <c r="C738" s="191">
        <f t="shared" si="58"/>
        <v>40723</v>
      </c>
      <c r="D738" s="184" t="s">
        <v>724</v>
      </c>
      <c r="E738" s="191">
        <v>40723</v>
      </c>
      <c r="F738" s="192" t="s">
        <v>626</v>
      </c>
      <c r="G738" s="498" t="s">
        <v>623</v>
      </c>
      <c r="H738" s="193" t="s">
        <v>559</v>
      </c>
      <c r="I738" s="256">
        <v>640</v>
      </c>
      <c r="J738" s="256">
        <v>23975</v>
      </c>
      <c r="K738" s="614">
        <f>ROUND(I738*J738,0)</f>
        <v>15344000</v>
      </c>
      <c r="L738" s="194" t="s">
        <v>151</v>
      </c>
      <c r="M738" s="194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94"/>
      <c r="AB738" s="211"/>
      <c r="AC738" s="211"/>
      <c r="AD738" s="606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60"/>
        <v>6</v>
      </c>
      <c r="C739" s="191">
        <f t="shared" si="58"/>
        <v>40723</v>
      </c>
      <c r="D739" s="184" t="s">
        <v>724</v>
      </c>
      <c r="E739" s="191">
        <v>40723</v>
      </c>
      <c r="F739" s="192" t="s">
        <v>627</v>
      </c>
      <c r="G739" s="498" t="s">
        <v>623</v>
      </c>
      <c r="H739" s="193" t="s">
        <v>559</v>
      </c>
      <c r="I739" s="256">
        <v>170</v>
      </c>
      <c r="J739" s="256">
        <v>16703</v>
      </c>
      <c r="K739" s="614">
        <f>ROUND(I739*J739,0)</f>
        <v>2839510</v>
      </c>
      <c r="L739" s="194" t="s">
        <v>151</v>
      </c>
      <c r="M739" s="194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94"/>
      <c r="AB739" s="211"/>
      <c r="AC739" s="211"/>
      <c r="AD739" s="606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60"/>
        <v>6</v>
      </c>
      <c r="C740" s="191">
        <f t="shared" si="58"/>
        <v>40723</v>
      </c>
      <c r="D740" s="184" t="s">
        <v>724</v>
      </c>
      <c r="E740" s="191">
        <v>40723</v>
      </c>
      <c r="F740" s="192" t="s">
        <v>560</v>
      </c>
      <c r="G740" s="498" t="s">
        <v>623</v>
      </c>
      <c r="H740" s="193" t="s">
        <v>559</v>
      </c>
      <c r="I740" s="256"/>
      <c r="J740" s="256"/>
      <c r="K740" s="38">
        <v>2327643</v>
      </c>
      <c r="L740" s="194" t="s">
        <v>9</v>
      </c>
      <c r="M740" s="194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94"/>
      <c r="AB740" s="211">
        <v>7</v>
      </c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60"/>
        <v>6</v>
      </c>
      <c r="C741" s="191">
        <f t="shared" si="58"/>
        <v>40723</v>
      </c>
      <c r="D741" s="184" t="s">
        <v>725</v>
      </c>
      <c r="E741" s="813">
        <v>40723</v>
      </c>
      <c r="F741" s="189" t="s">
        <v>635</v>
      </c>
      <c r="G741" s="498" t="s">
        <v>634</v>
      </c>
      <c r="H741" s="7" t="s">
        <v>499</v>
      </c>
      <c r="I741" s="260">
        <v>510</v>
      </c>
      <c r="J741" s="260">
        <v>7207</v>
      </c>
      <c r="K741" s="614">
        <f>ROUND(I741*J741,0)</f>
        <v>3675570</v>
      </c>
      <c r="L741" s="194" t="s">
        <v>151</v>
      </c>
      <c r="M741" s="194" t="s">
        <v>8</v>
      </c>
      <c r="N741" s="52" t="str">
        <f>IF(AND('331-CT'!$E$7=TH!H741,OR(L741="331",M741="331")),"331",IF(AND(OR(L741="131",M741="131"),H741='131-CT'!$E$7),"131",""))</f>
        <v>331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94"/>
      <c r="AB741" s="211"/>
      <c r="AC741" s="211"/>
      <c r="AD741" s="606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60"/>
        <v>6</v>
      </c>
      <c r="C742" s="191">
        <f t="shared" si="58"/>
        <v>40723</v>
      </c>
      <c r="D742" s="184" t="s">
        <v>725</v>
      </c>
      <c r="E742" s="813">
        <v>40723</v>
      </c>
      <c r="F742" s="189" t="s">
        <v>636</v>
      </c>
      <c r="G742" s="498" t="s">
        <v>634</v>
      </c>
      <c r="H742" s="7" t="s">
        <v>499</v>
      </c>
      <c r="I742" s="256">
        <v>123</v>
      </c>
      <c r="J742" s="256">
        <v>35812</v>
      </c>
      <c r="K742" s="614">
        <f>ROUND(I742*J742,0)</f>
        <v>4404876</v>
      </c>
      <c r="L742" s="194" t="s">
        <v>151</v>
      </c>
      <c r="M742" s="194" t="s">
        <v>8</v>
      </c>
      <c r="N742" s="52" t="str">
        <f>IF(AND('331-CT'!$E$7=TH!H742,OR(L742="331",M742="331")),"331",IF(AND(OR(L742="131",M742="131"),H742='131-CT'!$E$7),"131",""))</f>
        <v>331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94"/>
      <c r="AB742" s="211"/>
      <c r="AC742" s="211"/>
      <c r="AD742" s="606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60"/>
        <v>6</v>
      </c>
      <c r="C743" s="191">
        <f t="shared" si="58"/>
        <v>40723</v>
      </c>
      <c r="D743" s="184" t="s">
        <v>725</v>
      </c>
      <c r="E743" s="813">
        <v>40723</v>
      </c>
      <c r="F743" s="189" t="s">
        <v>380</v>
      </c>
      <c r="G743" s="498" t="s">
        <v>634</v>
      </c>
      <c r="H743" s="7" t="s">
        <v>499</v>
      </c>
      <c r="I743" s="256"/>
      <c r="J743" s="256"/>
      <c r="K743" s="38">
        <v>808045</v>
      </c>
      <c r="L743" s="194" t="s">
        <v>9</v>
      </c>
      <c r="M743" s="194" t="s">
        <v>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94"/>
      <c r="AB743" s="211">
        <v>7</v>
      </c>
      <c r="AC743" s="211"/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60"/>
        <v>6</v>
      </c>
      <c r="C744" s="191">
        <v>40723</v>
      </c>
      <c r="D744" s="191" t="s">
        <v>952</v>
      </c>
      <c r="E744" s="184">
        <v>40723</v>
      </c>
      <c r="F744" s="192" t="s">
        <v>907</v>
      </c>
      <c r="G744" s="498" t="s">
        <v>920</v>
      </c>
      <c r="H744" s="210" t="s">
        <v>906</v>
      </c>
      <c r="I744" s="256"/>
      <c r="J744" s="256"/>
      <c r="K744" s="614">
        <v>15903800</v>
      </c>
      <c r="L744" s="194" t="s">
        <v>46</v>
      </c>
      <c r="M744" s="194" t="s">
        <v>259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>x</v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94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60"/>
        <v>6</v>
      </c>
      <c r="C745" s="191">
        <v>40723</v>
      </c>
      <c r="D745" s="191" t="s">
        <v>974</v>
      </c>
      <c r="E745" s="184">
        <v>40723</v>
      </c>
      <c r="F745" s="189" t="s">
        <v>911</v>
      </c>
      <c r="G745" s="498" t="s">
        <v>393</v>
      </c>
      <c r="H745" s="7" t="s">
        <v>733</v>
      </c>
      <c r="I745" s="256">
        <v>17</v>
      </c>
      <c r="J745" s="256">
        <v>23643</v>
      </c>
      <c r="K745" s="614">
        <v>401931</v>
      </c>
      <c r="L745" s="194" t="s">
        <v>259</v>
      </c>
      <c r="M745" s="194" t="s">
        <v>167</v>
      </c>
      <c r="N745" s="52" t="str">
        <f>IF(AND('331-CT'!$E$7=TH!H745,OR(L745="331",M745="331")),"331",IF(AND(OR(L745="131",M745="131"),H745='131-CT'!$E$7),"131",""))</f>
        <v>131</v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94"/>
      <c r="AB745" s="833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60"/>
        <v>6</v>
      </c>
      <c r="C746" s="191">
        <v>40723</v>
      </c>
      <c r="D746" s="191" t="s">
        <v>974</v>
      </c>
      <c r="E746" s="184">
        <v>40723</v>
      </c>
      <c r="F746" s="189" t="s">
        <v>895</v>
      </c>
      <c r="G746" s="498" t="s">
        <v>393</v>
      </c>
      <c r="H746" s="7" t="s">
        <v>733</v>
      </c>
      <c r="I746" s="256">
        <v>8</v>
      </c>
      <c r="J746" s="256">
        <v>26855</v>
      </c>
      <c r="K746" s="614">
        <v>214840</v>
      </c>
      <c r="L746" s="194" t="s">
        <v>259</v>
      </c>
      <c r="M746" s="194" t="s">
        <v>167</v>
      </c>
      <c r="N746" s="52" t="str">
        <f>IF(AND('331-CT'!$E$7=TH!H746,OR(L746="331",M746="331")),"331",IF(AND(OR(L746="131",M746="131"),H746='131-CT'!$E$7),"131",""))</f>
        <v>131</v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94"/>
      <c r="AB746" s="833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60"/>
        <v>6</v>
      </c>
      <c r="C747" s="191">
        <v>40723</v>
      </c>
      <c r="D747" s="191" t="s">
        <v>974</v>
      </c>
      <c r="E747" s="184">
        <v>40723</v>
      </c>
      <c r="F747" s="189" t="s">
        <v>885</v>
      </c>
      <c r="G747" s="498" t="s">
        <v>393</v>
      </c>
      <c r="H747" s="7" t="s">
        <v>733</v>
      </c>
      <c r="I747" s="256">
        <v>38</v>
      </c>
      <c r="J747" s="256">
        <v>25535</v>
      </c>
      <c r="K747" s="614">
        <v>970330</v>
      </c>
      <c r="L747" s="194" t="s">
        <v>259</v>
      </c>
      <c r="M747" s="194" t="s">
        <v>167</v>
      </c>
      <c r="N747" s="52" t="str">
        <f>IF(AND('331-CT'!$E$7=TH!H747,OR(L747="331",M747="331")),"331",IF(AND(OR(L747="131",M747="131"),H747='131-CT'!$E$7),"131",""))</f>
        <v>131</v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94"/>
      <c r="AB747" s="833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60"/>
        <v>6</v>
      </c>
      <c r="C748" s="191">
        <v>40723</v>
      </c>
      <c r="D748" s="191" t="s">
        <v>974</v>
      </c>
      <c r="E748" s="184">
        <v>40723</v>
      </c>
      <c r="F748" s="189" t="s">
        <v>912</v>
      </c>
      <c r="G748" s="498" t="s">
        <v>393</v>
      </c>
      <c r="H748" s="7" t="s">
        <v>733</v>
      </c>
      <c r="I748" s="256">
        <v>47</v>
      </c>
      <c r="J748" s="256">
        <v>21721</v>
      </c>
      <c r="K748" s="614">
        <v>1020887</v>
      </c>
      <c r="L748" s="194" t="s">
        <v>259</v>
      </c>
      <c r="M748" s="194" t="s">
        <v>167</v>
      </c>
      <c r="N748" s="52" t="str">
        <f>IF(AND('331-CT'!$E$7=TH!H748,OR(L748="331",M748="331")),"331",IF(AND(OR(L748="131",M748="131"),H748='131-CT'!$E$7),"131",""))</f>
        <v>131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94"/>
      <c r="AB748" s="833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60"/>
        <v>6</v>
      </c>
      <c r="C749" s="191">
        <v>40723</v>
      </c>
      <c r="D749" s="191" t="s">
        <v>974</v>
      </c>
      <c r="E749" s="184">
        <v>40723</v>
      </c>
      <c r="F749" s="189" t="s">
        <v>913</v>
      </c>
      <c r="G749" s="498" t="s">
        <v>393</v>
      </c>
      <c r="H749" s="7" t="s">
        <v>733</v>
      </c>
      <c r="I749" s="256">
        <v>830</v>
      </c>
      <c r="J749" s="256">
        <v>14435</v>
      </c>
      <c r="K749" s="614">
        <v>11981050</v>
      </c>
      <c r="L749" s="194" t="s">
        <v>259</v>
      </c>
      <c r="M749" s="194" t="s">
        <v>167</v>
      </c>
      <c r="N749" s="52" t="str">
        <f>IF(AND('331-CT'!$E$7=TH!H749,OR(L749="331",M749="331")),"331",IF(AND(OR(L749="131",M749="131"),H749='131-CT'!$E$7),"131",""))</f>
        <v>131</v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94"/>
      <c r="AB749" s="833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60"/>
        <v>6</v>
      </c>
      <c r="C750" s="191">
        <v>40723</v>
      </c>
      <c r="D750" s="191" t="s">
        <v>974</v>
      </c>
      <c r="E750" s="184">
        <v>40723</v>
      </c>
      <c r="F750" s="189" t="s">
        <v>751</v>
      </c>
      <c r="G750" s="498" t="s">
        <v>393</v>
      </c>
      <c r="H750" s="7" t="s">
        <v>733</v>
      </c>
      <c r="I750" s="256">
        <v>738</v>
      </c>
      <c r="J750" s="256">
        <v>14011</v>
      </c>
      <c r="K750" s="614">
        <v>10340118</v>
      </c>
      <c r="L750" s="194" t="s">
        <v>259</v>
      </c>
      <c r="M750" s="194" t="s">
        <v>167</v>
      </c>
      <c r="N750" s="52" t="str">
        <f>IF(AND('331-CT'!$E$7=TH!H750,OR(L750="331",M750="331")),"331",IF(AND(OR(L750="131",M750="131"),H750='131-CT'!$E$7),"131",""))</f>
        <v>131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94"/>
      <c r="AB750" s="833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60"/>
        <v>6</v>
      </c>
      <c r="C751" s="191">
        <v>40723</v>
      </c>
      <c r="D751" s="191" t="s">
        <v>974</v>
      </c>
      <c r="E751" s="184">
        <v>40723</v>
      </c>
      <c r="F751" s="189" t="s">
        <v>755</v>
      </c>
      <c r="G751" s="498" t="s">
        <v>393</v>
      </c>
      <c r="H751" s="7" t="s">
        <v>733</v>
      </c>
      <c r="I751" s="256">
        <v>2</v>
      </c>
      <c r="J751" s="256">
        <v>12177</v>
      </c>
      <c r="K751" s="614">
        <v>24354</v>
      </c>
      <c r="L751" s="194" t="s">
        <v>259</v>
      </c>
      <c r="M751" s="194" t="s">
        <v>167</v>
      </c>
      <c r="N751" s="52" t="str">
        <f>IF(AND('331-CT'!$E$7=TH!H751,OR(L751="331",M751="331")),"331",IF(AND(OR(L751="131",M751="131"),H751='131-CT'!$E$7),"131",""))</f>
        <v>131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94"/>
      <c r="AB751" s="833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60"/>
        <v>6</v>
      </c>
      <c r="C752" s="191">
        <v>40723</v>
      </c>
      <c r="D752" s="191" t="s">
        <v>974</v>
      </c>
      <c r="E752" s="184">
        <v>40723</v>
      </c>
      <c r="F752" s="189" t="s">
        <v>914</v>
      </c>
      <c r="G752" s="498" t="s">
        <v>393</v>
      </c>
      <c r="H752" s="7" t="s">
        <v>733</v>
      </c>
      <c r="I752" s="256">
        <v>2</v>
      </c>
      <c r="J752" s="256">
        <v>12562</v>
      </c>
      <c r="K752" s="614">
        <v>25124</v>
      </c>
      <c r="L752" s="194" t="s">
        <v>259</v>
      </c>
      <c r="M752" s="194" t="s">
        <v>167</v>
      </c>
      <c r="N752" s="52" t="str">
        <f>IF(AND('331-CT'!$E$7=TH!H752,OR(L752="331",M752="331")),"331",IF(AND(OR(L752="131",M752="131"),H752='131-CT'!$E$7),"131",""))</f>
        <v>131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94"/>
      <c r="AB752" s="833"/>
    </row>
    <row r="753" spans="1:28" ht="15.75" customHeight="1">
      <c r="A753" s="204" t="str">
        <f>IF(B753&lt;&gt;"",IF(AND(B753&gt;=_TM1,B753&lt;=_TM2,OR(TH!L753="1111",TH!M753="1111")),TH!D753,""),"")</f>
        <v/>
      </c>
      <c r="B753" s="36">
        <f t="shared" si="60"/>
        <v>6</v>
      </c>
      <c r="C753" s="191">
        <v>40723</v>
      </c>
      <c r="D753" s="191" t="s">
        <v>974</v>
      </c>
      <c r="E753" s="184">
        <v>40723</v>
      </c>
      <c r="F753" s="192" t="s">
        <v>848</v>
      </c>
      <c r="G753" s="498" t="s">
        <v>393</v>
      </c>
      <c r="H753" s="7" t="s">
        <v>733</v>
      </c>
      <c r="I753" s="256"/>
      <c r="J753" s="256"/>
      <c r="K753" s="614">
        <v>2497863</v>
      </c>
      <c r="L753" s="194" t="s">
        <v>259</v>
      </c>
      <c r="M753" s="194" t="s">
        <v>731</v>
      </c>
      <c r="N753" s="52" t="str">
        <f>IF(AND('331-CT'!$E$7=TH!H753,OR(L753="331",M753="331")),"331",IF(AND(OR(L753="131",M753="131"),H753='131-CT'!$E$7),"131",""))</f>
        <v>131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94"/>
      <c r="AB753" s="833"/>
    </row>
    <row r="754" spans="1:28" ht="15.75" customHeight="1">
      <c r="A754" s="204" t="str">
        <f>IF(B754&lt;&gt;"",IF(AND(B754&gt;=_TM1,B754&lt;=_TM2,OR(TH!L754="1111",TH!M754="1111")),TH!D754,""),"")</f>
        <v/>
      </c>
      <c r="B754" s="36">
        <f t="shared" si="60"/>
        <v>6</v>
      </c>
      <c r="C754" s="191">
        <v>40723</v>
      </c>
      <c r="D754" s="191" t="s">
        <v>975</v>
      </c>
      <c r="E754" s="184">
        <v>40723</v>
      </c>
      <c r="F754" s="189" t="s">
        <v>914</v>
      </c>
      <c r="G754" s="498" t="s">
        <v>881</v>
      </c>
      <c r="H754" s="7" t="s">
        <v>733</v>
      </c>
      <c r="I754" s="256">
        <v>21</v>
      </c>
      <c r="J754" s="256">
        <v>17837</v>
      </c>
      <c r="K754" s="614">
        <v>374577</v>
      </c>
      <c r="L754" s="194" t="s">
        <v>259</v>
      </c>
      <c r="M754" s="194" t="s">
        <v>167</v>
      </c>
      <c r="N754" s="52" t="str">
        <f>IF(AND('331-CT'!$E$7=TH!H754,OR(L754="331",M754="331")),"331",IF(AND(OR(L754="131",M754="131"),H754='131-CT'!$E$7),"131",""))</f>
        <v>131</v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94"/>
      <c r="AB754" s="833"/>
    </row>
    <row r="755" spans="1:28" ht="15.75" customHeight="1">
      <c r="A755" s="204" t="str">
        <f>IF(B755&lt;&gt;"",IF(AND(B755&gt;=_TM1,B755&lt;=_TM2,OR(TH!L755="1111",TH!M755="1111")),TH!D755,""),"")</f>
        <v/>
      </c>
      <c r="B755" s="36">
        <f t="shared" si="60"/>
        <v>6</v>
      </c>
      <c r="C755" s="191">
        <v>40723</v>
      </c>
      <c r="D755" s="191" t="s">
        <v>975</v>
      </c>
      <c r="E755" s="184">
        <v>40723</v>
      </c>
      <c r="F755" s="189" t="s">
        <v>921</v>
      </c>
      <c r="G755" s="498" t="s">
        <v>881</v>
      </c>
      <c r="H755" s="7" t="s">
        <v>733</v>
      </c>
      <c r="I755" s="256">
        <v>33</v>
      </c>
      <c r="J755" s="256">
        <v>17008</v>
      </c>
      <c r="K755" s="614">
        <v>561264</v>
      </c>
      <c r="L755" s="194" t="s">
        <v>259</v>
      </c>
      <c r="M755" s="194" t="s">
        <v>167</v>
      </c>
      <c r="N755" s="52" t="str">
        <f>IF(AND('331-CT'!$E$7=TH!H755,OR(L755="331",M755="331")),"331",IF(AND(OR(L755="131",M755="131"),H755='131-CT'!$E$7),"131",""))</f>
        <v>131</v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94"/>
      <c r="AB755" s="833"/>
    </row>
    <row r="756" spans="1:28" ht="15.75" customHeight="1">
      <c r="A756" s="204" t="str">
        <f>IF(B756&lt;&gt;"",IF(AND(B756&gt;=_TM1,B756&lt;=_TM2,OR(TH!L756="1111",TH!M756="1111")),TH!D756,""),"")</f>
        <v/>
      </c>
      <c r="B756" s="36">
        <f t="shared" si="60"/>
        <v>6</v>
      </c>
      <c r="C756" s="191">
        <v>40723</v>
      </c>
      <c r="D756" s="191" t="s">
        <v>975</v>
      </c>
      <c r="E756" s="184">
        <v>40723</v>
      </c>
      <c r="F756" s="189" t="s">
        <v>742</v>
      </c>
      <c r="G756" s="498" t="s">
        <v>881</v>
      </c>
      <c r="H756" s="7" t="s">
        <v>733</v>
      </c>
      <c r="I756" s="256">
        <v>390</v>
      </c>
      <c r="J756" s="256">
        <v>19820</v>
      </c>
      <c r="K756" s="614">
        <v>7729800</v>
      </c>
      <c r="L756" s="194" t="s">
        <v>259</v>
      </c>
      <c r="M756" s="194" t="s">
        <v>167</v>
      </c>
      <c r="N756" s="52" t="str">
        <f>IF(AND('331-CT'!$E$7=TH!H756,OR(L756="331",M756="331")),"331",IF(AND(OR(L756="131",M756="131"),H756='131-CT'!$E$7),"131",""))</f>
        <v>131</v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94"/>
      <c r="AB756" s="833"/>
    </row>
    <row r="757" spans="1:28" ht="15.75" customHeight="1">
      <c r="A757" s="204" t="str">
        <f>IF(B757&lt;&gt;"",IF(AND(B757&gt;=_TM1,B757&lt;=_TM2,OR(TH!L757="1111",TH!M757="1111")),TH!D757,""),"")</f>
        <v/>
      </c>
      <c r="B757" s="36">
        <f t="shared" si="60"/>
        <v>6</v>
      </c>
      <c r="C757" s="191">
        <v>40723</v>
      </c>
      <c r="D757" s="191" t="s">
        <v>975</v>
      </c>
      <c r="E757" s="184">
        <v>40723</v>
      </c>
      <c r="F757" s="189" t="s">
        <v>746</v>
      </c>
      <c r="G757" s="498" t="s">
        <v>881</v>
      </c>
      <c r="H757" s="7" t="s">
        <v>733</v>
      </c>
      <c r="I757" s="256">
        <v>482</v>
      </c>
      <c r="J757" s="256">
        <v>10600</v>
      </c>
      <c r="K757" s="614">
        <v>5109200</v>
      </c>
      <c r="L757" s="194" t="s">
        <v>259</v>
      </c>
      <c r="M757" s="194" t="s">
        <v>167</v>
      </c>
      <c r="N757" s="52" t="str">
        <f>IF(AND('331-CT'!$E$7=TH!H757,OR(L757="331",M757="331")),"331",IF(AND(OR(L757="131",M757="131"),H757='131-CT'!$E$7),"131",""))</f>
        <v>131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94"/>
      <c r="AB757" s="833"/>
    </row>
    <row r="758" spans="1:28" ht="15.75" customHeight="1">
      <c r="A758" s="204" t="str">
        <f>IF(B758&lt;&gt;"",IF(AND(B758&gt;=_TM1,B758&lt;=_TM2,OR(TH!L758="1111",TH!M758="1111")),TH!D758,""),"")</f>
        <v/>
      </c>
      <c r="B758" s="36">
        <f t="shared" si="60"/>
        <v>6</v>
      </c>
      <c r="C758" s="191">
        <v>40723</v>
      </c>
      <c r="D758" s="191" t="s">
        <v>975</v>
      </c>
      <c r="E758" s="184">
        <v>40723</v>
      </c>
      <c r="F758" s="189" t="s">
        <v>914</v>
      </c>
      <c r="G758" s="498" t="s">
        <v>881</v>
      </c>
      <c r="H758" s="7" t="s">
        <v>733</v>
      </c>
      <c r="I758" s="256">
        <v>56</v>
      </c>
      <c r="J758" s="256">
        <v>16713</v>
      </c>
      <c r="K758" s="614">
        <v>935928</v>
      </c>
      <c r="L758" s="194" t="s">
        <v>259</v>
      </c>
      <c r="M758" s="194" t="s">
        <v>167</v>
      </c>
      <c r="N758" s="52" t="str">
        <f>IF(AND('331-CT'!$E$7=TH!H758,OR(L758="331",M758="331")),"331",IF(AND(OR(L758="131",M758="131"),H758='131-CT'!$E$7),"131",""))</f>
        <v>131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94"/>
      <c r="AB758" s="833"/>
    </row>
    <row r="759" spans="1:28" ht="15.75" customHeight="1">
      <c r="A759" s="204" t="str">
        <f>IF(B759&lt;&gt;"",IF(AND(B759&gt;=_TM1,B759&lt;=_TM2,OR(TH!L759="1111",TH!M759="1111")),TH!D759,""),"")</f>
        <v/>
      </c>
      <c r="B759" s="36">
        <f t="shared" si="60"/>
        <v>6</v>
      </c>
      <c r="C759" s="191">
        <v>40723</v>
      </c>
      <c r="D759" s="191" t="s">
        <v>975</v>
      </c>
      <c r="E759" s="184">
        <v>40723</v>
      </c>
      <c r="F759" s="192" t="s">
        <v>922</v>
      </c>
      <c r="G759" s="498" t="s">
        <v>881</v>
      </c>
      <c r="H759" s="7" t="s">
        <v>733</v>
      </c>
      <c r="I759" s="256">
        <v>203</v>
      </c>
      <c r="J759" s="256">
        <v>8450</v>
      </c>
      <c r="K759" s="614">
        <v>1715350</v>
      </c>
      <c r="L759" s="194" t="s">
        <v>259</v>
      </c>
      <c r="M759" s="194" t="s">
        <v>167</v>
      </c>
      <c r="N759" s="52" t="str">
        <f>IF(AND('331-CT'!$E$7=TH!H759,OR(L759="331",M759="331")),"331",IF(AND(OR(L759="131",M759="131"),H759='131-CT'!$E$7),"131",""))</f>
        <v>131</v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94"/>
      <c r="AB759" s="833"/>
    </row>
    <row r="760" spans="1:28" ht="15.75" customHeight="1">
      <c r="A760" s="204" t="str">
        <f>IF(B760&lt;&gt;"",IF(AND(B760&gt;=_TM1,B760&lt;=_TM2,OR(TH!L760="1111",TH!M760="1111")),TH!D760,""),"")</f>
        <v/>
      </c>
      <c r="B760" s="36">
        <f t="shared" si="60"/>
        <v>6</v>
      </c>
      <c r="C760" s="191">
        <v>40723</v>
      </c>
      <c r="D760" s="191" t="s">
        <v>975</v>
      </c>
      <c r="E760" s="184">
        <v>40723</v>
      </c>
      <c r="F760" s="189" t="s">
        <v>923</v>
      </c>
      <c r="G760" s="498" t="s">
        <v>881</v>
      </c>
      <c r="H760" s="7" t="s">
        <v>733</v>
      </c>
      <c r="I760" s="256">
        <v>1</v>
      </c>
      <c r="J760" s="256">
        <v>5778</v>
      </c>
      <c r="K760" s="614">
        <v>5778</v>
      </c>
      <c r="L760" s="194" t="s">
        <v>259</v>
      </c>
      <c r="M760" s="194" t="s">
        <v>167</v>
      </c>
      <c r="N760" s="52" t="str">
        <f>IF(AND('331-CT'!$E$7=TH!H760,OR(L760="331",M760="331")),"331",IF(AND(OR(L760="131",M760="131"),H760='131-CT'!$E$7),"131",""))</f>
        <v>131</v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94"/>
      <c r="AB760" s="833"/>
    </row>
    <row r="761" spans="1:28" ht="15.75" customHeight="1">
      <c r="A761" s="204" t="str">
        <f>IF(B761&lt;&gt;"",IF(AND(B761&gt;=_TM1,B761&lt;=_TM2,OR(TH!L761="1111",TH!M761="1111")),TH!D761,""),"")</f>
        <v/>
      </c>
      <c r="B761" s="36">
        <f t="shared" si="60"/>
        <v>6</v>
      </c>
      <c r="C761" s="191">
        <v>40723</v>
      </c>
      <c r="D761" s="191" t="s">
        <v>975</v>
      </c>
      <c r="E761" s="184">
        <v>40723</v>
      </c>
      <c r="F761" s="189" t="s">
        <v>748</v>
      </c>
      <c r="G761" s="498" t="s">
        <v>881</v>
      </c>
      <c r="H761" s="7" t="s">
        <v>733</v>
      </c>
      <c r="I761" s="256">
        <v>1</v>
      </c>
      <c r="J761" s="256">
        <v>10255</v>
      </c>
      <c r="K761" s="614">
        <v>10255</v>
      </c>
      <c r="L761" s="194" t="s">
        <v>259</v>
      </c>
      <c r="M761" s="194" t="s">
        <v>167</v>
      </c>
      <c r="N761" s="52" t="str">
        <f>IF(AND('331-CT'!$E$7=TH!H761,OR(L761="331",M761="331")),"331",IF(AND(OR(L761="131",M761="131"),H761='131-CT'!$E$7),"131",""))</f>
        <v>131</v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94"/>
      <c r="AB761" s="833"/>
    </row>
    <row r="762" spans="1:28" ht="15.75" customHeight="1">
      <c r="A762" s="204" t="str">
        <f>IF(B762&lt;&gt;"",IF(AND(B762&gt;=_TM1,B762&lt;=_TM2,OR(TH!L762="1111",TH!M762="1111")),TH!D762,""),"")</f>
        <v/>
      </c>
      <c r="B762" s="36">
        <f t="shared" si="60"/>
        <v>6</v>
      </c>
      <c r="C762" s="191">
        <v>40723</v>
      </c>
      <c r="D762" s="191" t="s">
        <v>975</v>
      </c>
      <c r="E762" s="184">
        <v>40723</v>
      </c>
      <c r="F762" s="192" t="s">
        <v>848</v>
      </c>
      <c r="G762" s="498" t="s">
        <v>881</v>
      </c>
      <c r="H762" s="7" t="s">
        <v>733</v>
      </c>
      <c r="I762" s="256"/>
      <c r="J762" s="256"/>
      <c r="K762" s="614">
        <v>1644215</v>
      </c>
      <c r="L762" s="194" t="s">
        <v>259</v>
      </c>
      <c r="M762" s="194" t="s">
        <v>731</v>
      </c>
      <c r="N762" s="52" t="str">
        <f>IF(AND('331-CT'!$E$7=TH!H762,OR(L762="331",M762="331")),"331",IF(AND(OR(L762="131",M762="131"),H762='131-CT'!$E$7),"131",""))</f>
        <v>131</v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94"/>
      <c r="AB762" s="833"/>
    </row>
    <row r="763" spans="1:28" ht="15.75" customHeight="1">
      <c r="A763" s="204" t="str">
        <f>IF(B763&lt;&gt;"",IF(AND(B763&gt;=_TM1,B763&lt;=_TM2,OR(TH!L763="1111",TH!M763="1111")),TH!D763,""),"")</f>
        <v/>
      </c>
      <c r="B763" s="36">
        <f t="shared" si="60"/>
        <v>6</v>
      </c>
      <c r="C763" s="191">
        <v>40723</v>
      </c>
      <c r="D763" s="191" t="s">
        <v>976</v>
      </c>
      <c r="E763" s="184">
        <v>40723</v>
      </c>
      <c r="F763" s="189" t="s">
        <v>924</v>
      </c>
      <c r="G763" s="498" t="s">
        <v>888</v>
      </c>
      <c r="H763" s="7" t="s">
        <v>733</v>
      </c>
      <c r="I763" s="256">
        <v>2</v>
      </c>
      <c r="J763" s="256">
        <v>7089</v>
      </c>
      <c r="K763" s="614">
        <v>14178</v>
      </c>
      <c r="L763" s="194" t="s">
        <v>259</v>
      </c>
      <c r="M763" s="194" t="s">
        <v>167</v>
      </c>
      <c r="N763" s="52" t="str">
        <f>IF(AND('331-CT'!$E$7=TH!H763,OR(L763="331",M763="331")),"331",IF(AND(OR(L763="131",M763="131"),H763='131-CT'!$E$7),"131",""))</f>
        <v>131</v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94"/>
      <c r="AB763" s="833"/>
    </row>
    <row r="764" spans="1:28" ht="15.75" customHeight="1">
      <c r="A764" s="204" t="str">
        <f>IF(B764&lt;&gt;"",IF(AND(B764&gt;=_TM1,B764&lt;=_TM2,OR(TH!L764="1111",TH!M764="1111")),TH!D764,""),"")</f>
        <v/>
      </c>
      <c r="B764" s="36">
        <f t="shared" si="60"/>
        <v>6</v>
      </c>
      <c r="C764" s="191">
        <v>40723</v>
      </c>
      <c r="D764" s="191" t="s">
        <v>976</v>
      </c>
      <c r="E764" s="184">
        <v>40723</v>
      </c>
      <c r="F764" s="189" t="s">
        <v>759</v>
      </c>
      <c r="G764" s="498" t="s">
        <v>888</v>
      </c>
      <c r="H764" s="7" t="s">
        <v>733</v>
      </c>
      <c r="I764" s="256">
        <v>1</v>
      </c>
      <c r="J764" s="256">
        <v>15135</v>
      </c>
      <c r="K764" s="614">
        <v>15135</v>
      </c>
      <c r="L764" s="194" t="s">
        <v>259</v>
      </c>
      <c r="M764" s="194" t="s">
        <v>167</v>
      </c>
      <c r="N764" s="52" t="str">
        <f>IF(AND('331-CT'!$E$7=TH!H764,OR(L764="331",M764="331")),"331",IF(AND(OR(L764="131",M764="131"),H764='131-CT'!$E$7),"131",""))</f>
        <v>131</v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94"/>
      <c r="AB764" s="833"/>
    </row>
    <row r="765" spans="1:28" ht="15.75" customHeight="1">
      <c r="A765" s="204" t="str">
        <f>IF(B765&lt;&gt;"",IF(AND(B765&gt;=_TM1,B765&lt;=_TM2,OR(TH!L765="1111",TH!M765="1111")),TH!D765,""),"")</f>
        <v/>
      </c>
      <c r="B765" s="36">
        <f t="shared" si="60"/>
        <v>6</v>
      </c>
      <c r="C765" s="191">
        <v>40723</v>
      </c>
      <c r="D765" s="191" t="s">
        <v>976</v>
      </c>
      <c r="E765" s="184">
        <v>40723</v>
      </c>
      <c r="F765" s="189" t="s">
        <v>925</v>
      </c>
      <c r="G765" s="498" t="s">
        <v>888</v>
      </c>
      <c r="H765" s="7" t="s">
        <v>733</v>
      </c>
      <c r="I765" s="256">
        <v>9</v>
      </c>
      <c r="J765" s="256">
        <v>15056</v>
      </c>
      <c r="K765" s="614">
        <v>135504</v>
      </c>
      <c r="L765" s="194" t="s">
        <v>259</v>
      </c>
      <c r="M765" s="194" t="s">
        <v>167</v>
      </c>
      <c r="N765" s="52" t="str">
        <f>IF(AND('331-CT'!$E$7=TH!H765,OR(L765="331",M765="331")),"331",IF(AND(OR(L765="131",M765="131"),H765='131-CT'!$E$7),"131",""))</f>
        <v>131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94"/>
      <c r="AB765" s="833"/>
    </row>
    <row r="766" spans="1:28" ht="15.75" customHeight="1">
      <c r="A766" s="204" t="str">
        <f>IF(B766&lt;&gt;"",IF(AND(B766&gt;=_TM1,B766&lt;=_TM2,OR(TH!L766="1111",TH!M766="1111")),TH!D766,""),"")</f>
        <v/>
      </c>
      <c r="B766" s="36">
        <f t="shared" si="60"/>
        <v>6</v>
      </c>
      <c r="C766" s="191">
        <v>40723</v>
      </c>
      <c r="D766" s="191" t="s">
        <v>976</v>
      </c>
      <c r="E766" s="184">
        <v>40723</v>
      </c>
      <c r="F766" s="192" t="s">
        <v>926</v>
      </c>
      <c r="G766" s="498" t="s">
        <v>888</v>
      </c>
      <c r="H766" s="7" t="s">
        <v>733</v>
      </c>
      <c r="I766" s="256">
        <v>291</v>
      </c>
      <c r="J766" s="256">
        <v>9880</v>
      </c>
      <c r="K766" s="614">
        <v>2875080</v>
      </c>
      <c r="L766" s="194" t="s">
        <v>259</v>
      </c>
      <c r="M766" s="194" t="s">
        <v>167</v>
      </c>
      <c r="N766" s="52" t="str">
        <f>IF(AND('331-CT'!$E$7=TH!H766,OR(L766="331",M766="331")),"331",IF(AND(OR(L766="131",M766="131"),H766='131-CT'!$E$7),"131",""))</f>
        <v>131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94"/>
      <c r="AB766" s="833"/>
    </row>
    <row r="767" spans="1:28" ht="15.75" customHeight="1">
      <c r="A767" s="204" t="str">
        <f>IF(B767&lt;&gt;"",IF(AND(B767&gt;=_TM1,B767&lt;=_TM2,OR(TH!L767="1111",TH!M767="1111")),TH!D767,""),"")</f>
        <v/>
      </c>
      <c r="B767" s="36">
        <f t="shared" si="60"/>
        <v>6</v>
      </c>
      <c r="C767" s="191">
        <v>40723</v>
      </c>
      <c r="D767" s="191" t="s">
        <v>976</v>
      </c>
      <c r="E767" s="184">
        <v>40723</v>
      </c>
      <c r="F767" s="189" t="s">
        <v>914</v>
      </c>
      <c r="G767" s="498" t="s">
        <v>888</v>
      </c>
      <c r="H767" s="7" t="s">
        <v>733</v>
      </c>
      <c r="I767" s="256">
        <v>1</v>
      </c>
      <c r="J767" s="256">
        <v>9259</v>
      </c>
      <c r="K767" s="614">
        <v>9259</v>
      </c>
      <c r="L767" s="194" t="s">
        <v>259</v>
      </c>
      <c r="M767" s="194" t="s">
        <v>167</v>
      </c>
      <c r="N767" s="52" t="str">
        <f>IF(AND('331-CT'!$E$7=TH!H767,OR(L767="331",M767="331")),"331",IF(AND(OR(L767="131",M767="131"),H767='131-CT'!$E$7),"131",""))</f>
        <v>131</v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94"/>
      <c r="AB767" s="833"/>
    </row>
    <row r="768" spans="1:28" ht="15.75" customHeight="1">
      <c r="A768" s="204" t="str">
        <f>IF(B768&lt;&gt;"",IF(AND(B768&gt;=_TM1,B768&lt;=_TM2,OR(TH!L768="1111",TH!M768="1111")),TH!D768,""),"")</f>
        <v/>
      </c>
      <c r="B768" s="36">
        <f t="shared" si="60"/>
        <v>6</v>
      </c>
      <c r="C768" s="191">
        <v>40723</v>
      </c>
      <c r="D768" s="191" t="s">
        <v>976</v>
      </c>
      <c r="E768" s="184">
        <v>40723</v>
      </c>
      <c r="F768" s="189" t="s">
        <v>741</v>
      </c>
      <c r="G768" s="498" t="s">
        <v>888</v>
      </c>
      <c r="H768" s="7" t="s">
        <v>733</v>
      </c>
      <c r="I768" s="256">
        <v>119</v>
      </c>
      <c r="J768" s="256">
        <v>17330</v>
      </c>
      <c r="K768" s="614">
        <v>2062270</v>
      </c>
      <c r="L768" s="194" t="s">
        <v>259</v>
      </c>
      <c r="M768" s="194" t="s">
        <v>167</v>
      </c>
      <c r="N768" s="52" t="str">
        <f>IF(AND('331-CT'!$E$7=TH!H768,OR(L768="331",M768="331")),"331",IF(AND(OR(L768="131",M768="131"),H768='131-CT'!$E$7),"131",""))</f>
        <v>131</v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94"/>
      <c r="AB768" s="833"/>
    </row>
    <row r="769" spans="1:28" ht="15.75" customHeight="1">
      <c r="A769" s="204" t="str">
        <f>IF(B769&lt;&gt;"",IF(AND(B769&gt;=_TM1,B769&lt;=_TM2,OR(TH!L769="1111",TH!M769="1111")),TH!D769,""),"")</f>
        <v/>
      </c>
      <c r="B769" s="36">
        <f t="shared" si="60"/>
        <v>6</v>
      </c>
      <c r="C769" s="191">
        <v>40723</v>
      </c>
      <c r="D769" s="191" t="s">
        <v>976</v>
      </c>
      <c r="E769" s="184">
        <v>40723</v>
      </c>
      <c r="F769" s="189" t="s">
        <v>904</v>
      </c>
      <c r="G769" s="498" t="s">
        <v>888</v>
      </c>
      <c r="H769" s="7" t="s">
        <v>733</v>
      </c>
      <c r="I769" s="256">
        <v>304</v>
      </c>
      <c r="J769" s="256">
        <v>13172</v>
      </c>
      <c r="K769" s="614">
        <v>4004288</v>
      </c>
      <c r="L769" s="194" t="s">
        <v>259</v>
      </c>
      <c r="M769" s="194" t="s">
        <v>167</v>
      </c>
      <c r="N769" s="52" t="str">
        <f>IF(AND('331-CT'!$E$7=TH!H769,OR(L769="331",M769="331")),"331",IF(AND(OR(L769="131",M769="131"),H769='131-CT'!$E$7),"131",""))</f>
        <v>131</v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94"/>
      <c r="AB769" s="833"/>
    </row>
    <row r="770" spans="1:28" ht="15.75" customHeight="1">
      <c r="A770" s="204" t="str">
        <f>IF(B770&lt;&gt;"",IF(AND(B770&gt;=_TM1,B770&lt;=_TM2,OR(TH!L770="1111",TH!M770="1111")),TH!D770,""),"")</f>
        <v/>
      </c>
      <c r="B770" s="36">
        <f t="shared" si="60"/>
        <v>6</v>
      </c>
      <c r="C770" s="191">
        <v>40723</v>
      </c>
      <c r="D770" s="191" t="s">
        <v>976</v>
      </c>
      <c r="E770" s="184">
        <v>40723</v>
      </c>
      <c r="F770" s="189" t="s">
        <v>903</v>
      </c>
      <c r="G770" s="498" t="s">
        <v>888</v>
      </c>
      <c r="H770" s="7" t="s">
        <v>733</v>
      </c>
      <c r="I770" s="256">
        <v>65</v>
      </c>
      <c r="J770" s="256">
        <v>10433</v>
      </c>
      <c r="K770" s="614">
        <v>678145</v>
      </c>
      <c r="L770" s="194" t="s">
        <v>259</v>
      </c>
      <c r="M770" s="194" t="s">
        <v>167</v>
      </c>
      <c r="N770" s="52" t="str">
        <f>IF(AND('331-CT'!$E$7=TH!H770,OR(L770="331",M770="331")),"331",IF(AND(OR(L770="131",M770="131"),H770='131-CT'!$E$7),"131",""))</f>
        <v>131</v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94"/>
      <c r="AB770" s="833"/>
    </row>
    <row r="771" spans="1:28" ht="15.75" customHeight="1">
      <c r="A771" s="204" t="str">
        <f>IF(B771&lt;&gt;"",IF(AND(B771&gt;=_TM1,B771&lt;=_TM2,OR(TH!L771="1111",TH!M771="1111")),TH!D771,""),"")</f>
        <v/>
      </c>
      <c r="B771" s="36">
        <f t="shared" si="60"/>
        <v>6</v>
      </c>
      <c r="C771" s="191">
        <v>40723</v>
      </c>
      <c r="D771" s="191" t="s">
        <v>976</v>
      </c>
      <c r="E771" s="184">
        <v>40723</v>
      </c>
      <c r="F771" s="192" t="s">
        <v>848</v>
      </c>
      <c r="G771" s="498" t="s">
        <v>888</v>
      </c>
      <c r="H771" s="7" t="s">
        <v>733</v>
      </c>
      <c r="I771" s="256"/>
      <c r="J771" s="256"/>
      <c r="K771" s="614">
        <v>979386</v>
      </c>
      <c r="L771" s="194" t="s">
        <v>259</v>
      </c>
      <c r="M771" s="194" t="s">
        <v>731</v>
      </c>
      <c r="N771" s="52" t="str">
        <f>IF(AND('331-CT'!$E$7=TH!H771,OR(L771="331",M771="331")),"331",IF(AND(OR(L771="131",M771="131"),H771='131-CT'!$E$7),"131",""))</f>
        <v>131</v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94"/>
      <c r="AB771" s="833"/>
    </row>
    <row r="772" spans="1:28" ht="15.75" customHeight="1">
      <c r="A772" s="204" t="str">
        <f>IF(B772&lt;&gt;"",IF(AND(B772&gt;=_TM1,B772&lt;=_TM2,OR(TH!L772="1111",TH!M772="1111")),TH!D772,""),"")</f>
        <v/>
      </c>
      <c r="B772" s="36">
        <f t="shared" si="60"/>
        <v>6</v>
      </c>
      <c r="C772" s="191">
        <v>40723</v>
      </c>
      <c r="D772" s="191" t="s">
        <v>977</v>
      </c>
      <c r="E772" s="184">
        <v>40723</v>
      </c>
      <c r="F772" s="189" t="s">
        <v>925</v>
      </c>
      <c r="G772" s="498" t="s">
        <v>894</v>
      </c>
      <c r="H772" s="7" t="s">
        <v>733</v>
      </c>
      <c r="I772" s="256">
        <v>32</v>
      </c>
      <c r="J772" s="256">
        <v>15175</v>
      </c>
      <c r="K772" s="614">
        <v>485600</v>
      </c>
      <c r="L772" s="194" t="s">
        <v>259</v>
      </c>
      <c r="M772" s="194" t="s">
        <v>167</v>
      </c>
      <c r="N772" s="52" t="str">
        <f>IF(AND('331-CT'!$E$7=TH!H772,OR(L772="331",M772="331")),"331",IF(AND(OR(L772="131",M772="131"),H772='131-CT'!$E$7),"131",""))</f>
        <v>131</v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94"/>
    </row>
    <row r="773" spans="1:28" ht="15.75" customHeight="1">
      <c r="A773" s="204" t="str">
        <f>IF(B773&lt;&gt;"",IF(AND(B773&gt;=_TM1,B773&lt;=_TM2,OR(TH!L773="1111",TH!M773="1111")),TH!D773,""),"")</f>
        <v/>
      </c>
      <c r="B773" s="36">
        <f t="shared" si="60"/>
        <v>6</v>
      </c>
      <c r="C773" s="191">
        <v>40723</v>
      </c>
      <c r="D773" s="191" t="s">
        <v>977</v>
      </c>
      <c r="E773" s="184">
        <v>40723</v>
      </c>
      <c r="F773" s="189" t="s">
        <v>750</v>
      </c>
      <c r="G773" s="498" t="s">
        <v>894</v>
      </c>
      <c r="H773" s="7" t="s">
        <v>733</v>
      </c>
      <c r="I773" s="256">
        <v>5</v>
      </c>
      <c r="J773" s="256">
        <v>15756</v>
      </c>
      <c r="K773" s="614">
        <v>78780</v>
      </c>
      <c r="L773" s="194" t="s">
        <v>259</v>
      </c>
      <c r="M773" s="194" t="s">
        <v>167</v>
      </c>
      <c r="N773" s="52" t="str">
        <f>IF(AND('331-CT'!$E$7=TH!H773,OR(L773="331",M773="331")),"331",IF(AND(OR(L773="131",M773="131"),H773='131-CT'!$E$7),"131",""))</f>
        <v>131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94"/>
    </row>
    <row r="774" spans="1:28" ht="15.75" customHeight="1">
      <c r="A774" s="204" t="str">
        <f>IF(B774&lt;&gt;"",IF(AND(B774&gt;=_TM1,B774&lt;=_TM2,OR(TH!L774="1111",TH!M774="1111")),TH!D774,""),"")</f>
        <v/>
      </c>
      <c r="B774" s="36">
        <f t="shared" si="60"/>
        <v>6</v>
      </c>
      <c r="C774" s="191">
        <v>40723</v>
      </c>
      <c r="D774" s="191" t="s">
        <v>977</v>
      </c>
      <c r="E774" s="184">
        <v>40723</v>
      </c>
      <c r="F774" s="189" t="s">
        <v>913</v>
      </c>
      <c r="G774" s="498" t="s">
        <v>894</v>
      </c>
      <c r="H774" s="7" t="s">
        <v>733</v>
      </c>
      <c r="I774" s="256">
        <v>80</v>
      </c>
      <c r="J774" s="256">
        <v>14563</v>
      </c>
      <c r="K774" s="614">
        <v>1165040</v>
      </c>
      <c r="L774" s="194" t="s">
        <v>259</v>
      </c>
      <c r="M774" s="194" t="s">
        <v>167</v>
      </c>
      <c r="N774" s="52" t="str">
        <f>IF(AND('331-CT'!$E$7=TH!H774,OR(L774="331",M774="331")),"331",IF(AND(OR(L774="131",M774="131"),H774='131-CT'!$E$7),"131",""))</f>
        <v>131</v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94"/>
    </row>
    <row r="775" spans="1:28" ht="15.75" customHeight="1">
      <c r="A775" s="204" t="str">
        <f>IF(B775&lt;&gt;"",IF(AND(B775&gt;=_TM1,B775&lt;=_TM2,OR(TH!L775="1111",TH!M775="1111")),TH!D775,""),"")</f>
        <v/>
      </c>
      <c r="B775" s="36">
        <f t="shared" si="60"/>
        <v>6</v>
      </c>
      <c r="C775" s="191">
        <v>40723</v>
      </c>
      <c r="D775" s="191" t="s">
        <v>977</v>
      </c>
      <c r="E775" s="184">
        <v>40723</v>
      </c>
      <c r="F775" s="189" t="s">
        <v>746</v>
      </c>
      <c r="G775" s="498" t="s">
        <v>894</v>
      </c>
      <c r="H775" s="7" t="s">
        <v>733</v>
      </c>
      <c r="I775" s="256">
        <v>49</v>
      </c>
      <c r="J775" s="256">
        <v>10698</v>
      </c>
      <c r="K775" s="614">
        <v>524202</v>
      </c>
      <c r="L775" s="194" t="s">
        <v>259</v>
      </c>
      <c r="M775" s="194" t="s">
        <v>167</v>
      </c>
      <c r="N775" s="52" t="str">
        <f>IF(AND('331-CT'!$E$7=TH!H775,OR(L775="331",M775="331")),"331",IF(AND(OR(L775="131",M775="131"),H775='131-CT'!$E$7),"131",""))</f>
        <v>131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94"/>
    </row>
    <row r="776" spans="1:28" ht="15.75" customHeight="1">
      <c r="A776" s="204" t="str">
        <f>IF(B776&lt;&gt;"",IF(AND(B776&gt;=_TM1,B776&lt;=_TM2,OR(TH!L776="1111",TH!M776="1111")),TH!D776,""),"")</f>
        <v/>
      </c>
      <c r="B776" s="36">
        <f t="shared" si="60"/>
        <v>6</v>
      </c>
      <c r="C776" s="191">
        <v>40723</v>
      </c>
      <c r="D776" s="191" t="s">
        <v>977</v>
      </c>
      <c r="E776" s="184">
        <v>40723</v>
      </c>
      <c r="F776" s="189" t="s">
        <v>758</v>
      </c>
      <c r="G776" s="498" t="s">
        <v>894</v>
      </c>
      <c r="H776" s="7" t="s">
        <v>733</v>
      </c>
      <c r="I776" s="256">
        <v>2</v>
      </c>
      <c r="J776" s="256">
        <v>7435</v>
      </c>
      <c r="K776" s="614">
        <v>14870</v>
      </c>
      <c r="L776" s="194" t="s">
        <v>259</v>
      </c>
      <c r="M776" s="194" t="s">
        <v>167</v>
      </c>
      <c r="N776" s="52" t="str">
        <f>IF(AND('331-CT'!$E$7=TH!H776,OR(L776="331",M776="331")),"331",IF(AND(OR(L776="131",M776="131"),H776='131-CT'!$E$7),"131",""))</f>
        <v>131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94"/>
    </row>
    <row r="777" spans="1:28" ht="15.75" customHeight="1">
      <c r="A777" s="204" t="str">
        <f>IF(B777&lt;&gt;"",IF(AND(B777&gt;=_TM1,B777&lt;=_TM2,OR(TH!L777="1111",TH!M777="1111")),TH!D777,""),"")</f>
        <v/>
      </c>
      <c r="B777" s="36">
        <f t="shared" si="60"/>
        <v>6</v>
      </c>
      <c r="C777" s="191">
        <v>40723</v>
      </c>
      <c r="D777" s="191" t="s">
        <v>977</v>
      </c>
      <c r="E777" s="184">
        <v>40723</v>
      </c>
      <c r="F777" s="189" t="s">
        <v>928</v>
      </c>
      <c r="G777" s="498" t="s">
        <v>894</v>
      </c>
      <c r="H777" s="7" t="s">
        <v>733</v>
      </c>
      <c r="I777" s="256">
        <v>2</v>
      </c>
      <c r="J777" s="256">
        <v>10116</v>
      </c>
      <c r="K777" s="614">
        <v>20232</v>
      </c>
      <c r="L777" s="194" t="s">
        <v>259</v>
      </c>
      <c r="M777" s="194" t="s">
        <v>167</v>
      </c>
      <c r="N777" s="52" t="str">
        <f>IF(AND('331-CT'!$E$7=TH!H777,OR(L777="331",M777="331")),"331",IF(AND(OR(L777="131",M777="131"),H777='131-CT'!$E$7),"131",""))</f>
        <v>131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94"/>
    </row>
    <row r="778" spans="1:28" ht="15.75" customHeight="1">
      <c r="A778" s="204" t="str">
        <f>IF(B778&lt;&gt;"",IF(AND(B778&gt;=_TM1,B778&lt;=_TM2,OR(TH!L778="1111",TH!M778="1111")),TH!D778,""),"")</f>
        <v/>
      </c>
      <c r="B778" s="36">
        <f t="shared" si="60"/>
        <v>6</v>
      </c>
      <c r="C778" s="191">
        <v>40723</v>
      </c>
      <c r="D778" s="191" t="s">
        <v>977</v>
      </c>
      <c r="E778" s="184">
        <v>40723</v>
      </c>
      <c r="F778" s="192" t="s">
        <v>926</v>
      </c>
      <c r="G778" s="498" t="s">
        <v>894</v>
      </c>
      <c r="H778" s="7" t="s">
        <v>733</v>
      </c>
      <c r="I778" s="256">
        <v>5</v>
      </c>
      <c r="J778" s="256">
        <v>9692</v>
      </c>
      <c r="K778" s="614">
        <v>48460</v>
      </c>
      <c r="L778" s="194" t="s">
        <v>259</v>
      </c>
      <c r="M778" s="194" t="s">
        <v>167</v>
      </c>
      <c r="N778" s="52" t="str">
        <f>IF(AND('331-CT'!$E$7=TH!H778,OR(L778="331",M778="331")),"331",IF(AND(OR(L778="131",M778="131"),H778='131-CT'!$E$7),"131",""))</f>
        <v>131</v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94"/>
      <c r="AB778" s="833"/>
    </row>
    <row r="779" spans="1:28" ht="15.75" customHeight="1">
      <c r="A779" s="204" t="str">
        <f>IF(B779&lt;&gt;"",IF(AND(B779&gt;=_TM1,B779&lt;=_TM2,OR(TH!L779="1111",TH!M779="1111")),TH!D779,""),"")</f>
        <v/>
      </c>
      <c r="B779" s="36">
        <f t="shared" si="60"/>
        <v>6</v>
      </c>
      <c r="C779" s="191">
        <v>40723</v>
      </c>
      <c r="D779" s="191" t="s">
        <v>977</v>
      </c>
      <c r="E779" s="184">
        <v>40723</v>
      </c>
      <c r="F779" s="189" t="s">
        <v>755</v>
      </c>
      <c r="G779" s="498" t="s">
        <v>894</v>
      </c>
      <c r="H779" s="7" t="s">
        <v>733</v>
      </c>
      <c r="I779" s="256">
        <v>1</v>
      </c>
      <c r="J779" s="256">
        <v>12286</v>
      </c>
      <c r="K779" s="614">
        <v>12286</v>
      </c>
      <c r="L779" s="194" t="s">
        <v>259</v>
      </c>
      <c r="M779" s="194" t="s">
        <v>167</v>
      </c>
      <c r="N779" s="52" t="str">
        <f>IF(AND('331-CT'!$E$7=TH!H779,OR(L779="331",M779="331")),"331",IF(AND(OR(L779="131",M779="131"),H779='131-CT'!$E$7),"131",""))</f>
        <v>131</v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94"/>
      <c r="AB779" s="833"/>
    </row>
    <row r="780" spans="1:28" ht="15.75" customHeight="1">
      <c r="A780" s="204" t="str">
        <f>IF(B780&lt;&gt;"",IF(AND(B780&gt;=_TM1,B780&lt;=_TM2,OR(TH!L780="1111",TH!M780="1111")),TH!D780,""),"")</f>
        <v/>
      </c>
      <c r="B780" s="36">
        <f t="shared" si="60"/>
        <v>6</v>
      </c>
      <c r="C780" s="191">
        <v>40723</v>
      </c>
      <c r="D780" s="191" t="s">
        <v>977</v>
      </c>
      <c r="E780" s="184">
        <v>40723</v>
      </c>
      <c r="F780" s="192" t="s">
        <v>848</v>
      </c>
      <c r="G780" s="498" t="s">
        <v>894</v>
      </c>
      <c r="H780" s="7" t="s">
        <v>733</v>
      </c>
      <c r="I780" s="257"/>
      <c r="J780" s="257"/>
      <c r="K780" s="614">
        <v>234947</v>
      </c>
      <c r="L780" s="194" t="s">
        <v>259</v>
      </c>
      <c r="M780" s="194" t="s">
        <v>731</v>
      </c>
      <c r="N780" s="52" t="str">
        <f>IF(AND('331-CT'!$E$7=TH!H780,OR(L780="331",M780="331")),"331",IF(AND(OR(L780="131",M780="131"),H780='131-CT'!$E$7),"131",""))</f>
        <v>131</v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94"/>
      <c r="AB780" s="833"/>
    </row>
    <row r="781" spans="1:28" ht="15.75" customHeight="1">
      <c r="A781" s="204" t="str">
        <f>IF(B781&lt;&gt;"",IF(AND(B781&gt;=_TM1,B781&lt;=_TM2,OR(TH!L781="1111",TH!M781="1111")),TH!D781,""),"")</f>
        <v/>
      </c>
      <c r="B781" s="36">
        <f t="shared" si="60"/>
        <v>6</v>
      </c>
      <c r="C781" s="191">
        <v>40723</v>
      </c>
      <c r="D781" s="191" t="s">
        <v>978</v>
      </c>
      <c r="E781" s="184">
        <v>40723</v>
      </c>
      <c r="F781" s="189" t="s">
        <v>757</v>
      </c>
      <c r="G781" s="498" t="s">
        <v>915</v>
      </c>
      <c r="H781" s="7" t="s">
        <v>733</v>
      </c>
      <c r="I781" s="256">
        <v>1</v>
      </c>
      <c r="J781" s="256">
        <v>5285</v>
      </c>
      <c r="K781" s="614">
        <v>5285</v>
      </c>
      <c r="L781" s="194" t="s">
        <v>259</v>
      </c>
      <c r="M781" s="194" t="s">
        <v>167</v>
      </c>
      <c r="N781" s="52" t="str">
        <f>IF(AND('331-CT'!$E$7=TH!H781,OR(L781="331",M781="331")),"331",IF(AND(OR(L781="131",M781="131"),H781='131-CT'!$E$7),"131",""))</f>
        <v>131</v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94"/>
      <c r="AB781" s="833"/>
    </row>
    <row r="782" spans="1:28" ht="15.75" customHeight="1">
      <c r="A782" s="204" t="str">
        <f>IF(B782&lt;&gt;"",IF(AND(B782&gt;=_TM1,B782&lt;=_TM2,OR(TH!L782="1111",TH!M782="1111")),TH!D782,""),"")</f>
        <v/>
      </c>
      <c r="B782" s="36">
        <f t="shared" si="60"/>
        <v>6</v>
      </c>
      <c r="C782" s="191">
        <v>40723</v>
      </c>
      <c r="D782" s="191" t="s">
        <v>978</v>
      </c>
      <c r="E782" s="184">
        <v>40723</v>
      </c>
      <c r="F782" s="189" t="s">
        <v>753</v>
      </c>
      <c r="G782" s="498" t="s">
        <v>915</v>
      </c>
      <c r="H782" s="7" t="s">
        <v>733</v>
      </c>
      <c r="I782" s="256">
        <v>3</v>
      </c>
      <c r="J782" s="256">
        <v>16841</v>
      </c>
      <c r="K782" s="614">
        <v>50523</v>
      </c>
      <c r="L782" s="194" t="s">
        <v>259</v>
      </c>
      <c r="M782" s="194" t="s">
        <v>167</v>
      </c>
      <c r="N782" s="52" t="str">
        <f>IF(AND('331-CT'!$E$7=TH!H782,OR(L782="331",M782="331")),"331",IF(AND(OR(L782="131",M782="131"),H782='131-CT'!$E$7),"131",""))</f>
        <v>131</v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94"/>
      <c r="AB782" s="833"/>
    </row>
    <row r="783" spans="1:28" ht="15.75" customHeight="1">
      <c r="A783" s="204" t="str">
        <f>IF(B783&lt;&gt;"",IF(AND(B783&gt;=_TM1,B783&lt;=_TM2,OR(TH!L783="1111",TH!M783="1111")),TH!D783,""),"")</f>
        <v/>
      </c>
      <c r="B783" s="36">
        <f t="shared" si="60"/>
        <v>6</v>
      </c>
      <c r="C783" s="191">
        <v>40723</v>
      </c>
      <c r="D783" s="191" t="s">
        <v>978</v>
      </c>
      <c r="E783" s="184">
        <v>40723</v>
      </c>
      <c r="F783" s="189" t="s">
        <v>747</v>
      </c>
      <c r="G783" s="498" t="s">
        <v>915</v>
      </c>
      <c r="H783" s="7" t="s">
        <v>733</v>
      </c>
      <c r="I783" s="256">
        <v>2</v>
      </c>
      <c r="J783" s="256">
        <v>11428</v>
      </c>
      <c r="K783" s="614">
        <v>22856</v>
      </c>
      <c r="L783" s="194" t="s">
        <v>259</v>
      </c>
      <c r="M783" s="194" t="s">
        <v>167</v>
      </c>
      <c r="N783" s="52" t="str">
        <f>IF(AND('331-CT'!$E$7=TH!H783,OR(L783="331",M783="331")),"331",IF(AND(OR(L783="131",M783="131"),H783='131-CT'!$E$7),"131",""))</f>
        <v>131</v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94"/>
      <c r="AB783" s="833"/>
    </row>
    <row r="784" spans="1:28" ht="15.75" customHeight="1">
      <c r="A784" s="204" t="str">
        <f>IF(B784&lt;&gt;"",IF(AND(B784&gt;=_TM1,B784&lt;=_TM2,OR(TH!L784="1111",TH!M784="1111")),TH!D784,""),"")</f>
        <v/>
      </c>
      <c r="B784" s="36">
        <f t="shared" si="60"/>
        <v>6</v>
      </c>
      <c r="C784" s="191">
        <v>40723</v>
      </c>
      <c r="D784" s="191" t="s">
        <v>978</v>
      </c>
      <c r="E784" s="184">
        <v>40723</v>
      </c>
      <c r="F784" s="192" t="s">
        <v>922</v>
      </c>
      <c r="G784" s="498" t="s">
        <v>915</v>
      </c>
      <c r="H784" s="7" t="s">
        <v>733</v>
      </c>
      <c r="I784" s="256">
        <v>8</v>
      </c>
      <c r="J784" s="256">
        <v>8549</v>
      </c>
      <c r="K784" s="614">
        <v>68392</v>
      </c>
      <c r="L784" s="194" t="s">
        <v>259</v>
      </c>
      <c r="M784" s="194" t="s">
        <v>167</v>
      </c>
      <c r="N784" s="52" t="str">
        <f>IF(AND('331-CT'!$E$7=TH!H784,OR(L784="331",M784="331")),"331",IF(AND(OR(L784="131",M784="131"),H784='131-CT'!$E$7),"131",""))</f>
        <v>131</v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94"/>
      <c r="AB784" s="833"/>
    </row>
    <row r="785" spans="1:28" ht="15.75" customHeight="1">
      <c r="A785" s="204" t="str">
        <f>IF(B785&lt;&gt;"",IF(AND(B785&gt;=_TM1,B785&lt;=_TM2,OR(TH!L785="1111",TH!M785="1111")),TH!D785,""),"")</f>
        <v/>
      </c>
      <c r="B785" s="36">
        <f t="shared" si="60"/>
        <v>6</v>
      </c>
      <c r="C785" s="191">
        <v>40723</v>
      </c>
      <c r="D785" s="191" t="s">
        <v>978</v>
      </c>
      <c r="E785" s="184">
        <v>40723</v>
      </c>
      <c r="F785" s="189" t="s">
        <v>745</v>
      </c>
      <c r="G785" s="498" t="s">
        <v>915</v>
      </c>
      <c r="H785" s="7" t="s">
        <v>733</v>
      </c>
      <c r="I785" s="256">
        <v>1</v>
      </c>
      <c r="J785" s="256">
        <v>9357</v>
      </c>
      <c r="K785" s="614">
        <v>9357</v>
      </c>
      <c r="L785" s="194" t="s">
        <v>259</v>
      </c>
      <c r="M785" s="194" t="s">
        <v>167</v>
      </c>
      <c r="N785" s="52" t="str">
        <f>IF(AND('331-CT'!$E$7=TH!H785,OR(L785="331",M785="331")),"331",IF(AND(OR(L785="131",M785="131"),H785='131-CT'!$E$7),"131",""))</f>
        <v>131</v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94"/>
      <c r="AB785" s="833"/>
    </row>
    <row r="786" spans="1:28" ht="15.75" customHeight="1">
      <c r="A786" s="204" t="str">
        <f>IF(B786&lt;&gt;"",IF(AND(B786&gt;=_TM1,B786&lt;=_TM2,OR(TH!L786="1111",TH!M786="1111")),TH!D786,""),"")</f>
        <v/>
      </c>
      <c r="B786" s="36">
        <f t="shared" si="60"/>
        <v>6</v>
      </c>
      <c r="C786" s="191">
        <v>40723</v>
      </c>
      <c r="D786" s="191" t="s">
        <v>978</v>
      </c>
      <c r="E786" s="184">
        <v>40723</v>
      </c>
      <c r="F786" s="189" t="s">
        <v>748</v>
      </c>
      <c r="G786" s="498" t="s">
        <v>915</v>
      </c>
      <c r="H786" s="7" t="s">
        <v>733</v>
      </c>
      <c r="I786" s="256">
        <v>1</v>
      </c>
      <c r="J786" s="256">
        <v>10343</v>
      </c>
      <c r="K786" s="614">
        <v>10343</v>
      </c>
      <c r="L786" s="194" t="s">
        <v>259</v>
      </c>
      <c r="M786" s="194" t="s">
        <v>167</v>
      </c>
      <c r="N786" s="52" t="str">
        <f>IF(AND('331-CT'!$E$7=TH!H786,OR(L786="331",M786="331")),"331",IF(AND(OR(L786="131",M786="131"),H786='131-CT'!$E$7),"131",""))</f>
        <v>131</v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94"/>
      <c r="AB786" s="833"/>
    </row>
    <row r="787" spans="1:28" ht="15.75" customHeight="1">
      <c r="A787" s="204" t="str">
        <f>IF(B787&lt;&gt;"",IF(AND(B787&gt;=_TM1,B787&lt;=_TM2,OR(TH!L787="1111",TH!M787="1111")),TH!D787,""),"")</f>
        <v/>
      </c>
      <c r="B787" s="36">
        <f t="shared" si="60"/>
        <v>6</v>
      </c>
      <c r="C787" s="191">
        <v>40723</v>
      </c>
      <c r="D787" s="191" t="s">
        <v>978</v>
      </c>
      <c r="E787" s="184">
        <v>40723</v>
      </c>
      <c r="F787" s="189" t="s">
        <v>749</v>
      </c>
      <c r="G787" s="498" t="s">
        <v>915</v>
      </c>
      <c r="H787" s="7" t="s">
        <v>733</v>
      </c>
      <c r="I787" s="256">
        <v>4</v>
      </c>
      <c r="J787" s="256">
        <v>12670</v>
      </c>
      <c r="K787" s="614">
        <v>50680</v>
      </c>
      <c r="L787" s="194" t="s">
        <v>259</v>
      </c>
      <c r="M787" s="194" t="s">
        <v>167</v>
      </c>
      <c r="N787" s="52" t="str">
        <f>IF(AND('331-CT'!$E$7=TH!H787,OR(L787="331",M787="331")),"331",IF(AND(OR(L787="131",M787="131"),H787='131-CT'!$E$7),"131",""))</f>
        <v>131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94"/>
      <c r="AB787" s="833"/>
    </row>
    <row r="788" spans="1:28" ht="15.75" customHeight="1">
      <c r="A788" s="204" t="str">
        <f>IF(B788&lt;&gt;"",IF(AND(B788&gt;=_TM1,B788&lt;=_TM2,OR(TH!L788="1111",TH!M788="1111")),TH!D788,""),"")</f>
        <v/>
      </c>
      <c r="B788" s="36">
        <f t="shared" si="60"/>
        <v>6</v>
      </c>
      <c r="C788" s="191">
        <v>40723</v>
      </c>
      <c r="D788" s="191" t="s">
        <v>978</v>
      </c>
      <c r="E788" s="184">
        <v>40723</v>
      </c>
      <c r="F788" s="189" t="s">
        <v>754</v>
      </c>
      <c r="G788" s="498" t="s">
        <v>915</v>
      </c>
      <c r="H788" s="7" t="s">
        <v>733</v>
      </c>
      <c r="I788" s="256">
        <v>1</v>
      </c>
      <c r="J788" s="256">
        <v>12305</v>
      </c>
      <c r="K788" s="614">
        <v>12305</v>
      </c>
      <c r="L788" s="194" t="s">
        <v>259</v>
      </c>
      <c r="M788" s="194" t="s">
        <v>167</v>
      </c>
      <c r="N788" s="52" t="str">
        <f>IF(AND('331-CT'!$E$7=TH!H788,OR(L788="331",M788="331")),"331",IF(AND(OR(L788="131",M788="131"),H788='131-CT'!$E$7),"131",""))</f>
        <v>131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94"/>
      <c r="AB788" s="833"/>
    </row>
    <row r="789" spans="1:28" ht="15.75" customHeight="1">
      <c r="A789" s="204" t="str">
        <f>IF(B789&lt;&gt;"",IF(AND(B789&gt;=_TM1,B789&lt;=_TM2,OR(TH!L789="1111",TH!M789="1111")),TH!D789,""),"")</f>
        <v/>
      </c>
      <c r="B789" s="36">
        <f t="shared" si="60"/>
        <v>6</v>
      </c>
      <c r="C789" s="191">
        <v>40723</v>
      </c>
      <c r="D789" s="191" t="s">
        <v>978</v>
      </c>
      <c r="E789" s="184">
        <v>40723</v>
      </c>
      <c r="F789" s="192" t="s">
        <v>848</v>
      </c>
      <c r="G789" s="498" t="s">
        <v>915</v>
      </c>
      <c r="H789" s="7" t="s">
        <v>733</v>
      </c>
      <c r="I789" s="256"/>
      <c r="J789" s="256"/>
      <c r="K789" s="614">
        <v>22974</v>
      </c>
      <c r="L789" s="194" t="s">
        <v>259</v>
      </c>
      <c r="M789" s="194" t="s">
        <v>731</v>
      </c>
      <c r="N789" s="52" t="str">
        <f>IF(AND('331-CT'!$E$7=TH!H789,OR(L789="331",M789="331")),"331",IF(AND(OR(L789="131",M789="131"),H789='131-CT'!$E$7),"131",""))</f>
        <v>131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94"/>
      <c r="AB789" s="833"/>
    </row>
    <row r="790" spans="1:28" ht="15.75" customHeight="1">
      <c r="A790" s="204" t="str">
        <f>IF(B790&lt;&gt;"",IF(AND(B790&gt;=_TM1,B790&lt;=_TM2,OR(TH!L790="1111",TH!M790="1111")),TH!D790,""),"")</f>
        <v/>
      </c>
      <c r="B790" s="36">
        <f t="shared" si="60"/>
        <v>6</v>
      </c>
      <c r="C790" s="191">
        <v>40723</v>
      </c>
      <c r="D790" s="191" t="s">
        <v>979</v>
      </c>
      <c r="E790" s="184">
        <v>40723</v>
      </c>
      <c r="F790" s="189" t="s">
        <v>930</v>
      </c>
      <c r="G790" s="498" t="s">
        <v>916</v>
      </c>
      <c r="H790" s="7" t="s">
        <v>733</v>
      </c>
      <c r="I790" s="256">
        <v>2</v>
      </c>
      <c r="J790" s="256">
        <v>6113</v>
      </c>
      <c r="K790" s="614">
        <v>12226</v>
      </c>
      <c r="L790" s="194" t="s">
        <v>259</v>
      </c>
      <c r="M790" s="194" t="s">
        <v>167</v>
      </c>
      <c r="N790" s="52" t="str">
        <f>IF(AND('331-CT'!$E$7=TH!H790,OR(L790="331",M790="331")),"331",IF(AND(OR(L790="131",M790="131"),H790='131-CT'!$E$7),"131",""))</f>
        <v>131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94"/>
      <c r="AB790" s="833"/>
    </row>
    <row r="791" spans="1:28" ht="15.75" customHeight="1">
      <c r="A791" s="204" t="str">
        <f>IF(B791&lt;&gt;"",IF(AND(B791&gt;=_TM1,B791&lt;=_TM2,OR(TH!L791="1111",TH!M791="1111")),TH!D791,""),"")</f>
        <v/>
      </c>
      <c r="B791" s="36">
        <f t="shared" si="60"/>
        <v>6</v>
      </c>
      <c r="C791" s="191">
        <v>40723</v>
      </c>
      <c r="D791" s="191" t="s">
        <v>979</v>
      </c>
      <c r="E791" s="184">
        <v>40723</v>
      </c>
      <c r="F791" s="189" t="s">
        <v>931</v>
      </c>
      <c r="G791" s="498" t="s">
        <v>916</v>
      </c>
      <c r="H791" s="7" t="s">
        <v>733</v>
      </c>
      <c r="I791" s="256">
        <v>2</v>
      </c>
      <c r="J791" s="256">
        <v>12824</v>
      </c>
      <c r="K791" s="614">
        <v>25648</v>
      </c>
      <c r="L791" s="194" t="s">
        <v>259</v>
      </c>
      <c r="M791" s="194" t="s">
        <v>167</v>
      </c>
      <c r="N791" s="52" t="str">
        <f>IF(AND('331-CT'!$E$7=TH!H791,OR(L791="331",M791="331")),"331",IF(AND(OR(L791="131",M791="131"),H791='131-CT'!$E$7),"131",""))</f>
        <v>131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94"/>
      <c r="AB791" s="833"/>
    </row>
    <row r="792" spans="1:28" ht="15.75" customHeight="1">
      <c r="A792" s="204" t="str">
        <f>IF(B792&lt;&gt;"",IF(AND(B792&gt;=_TM1,B792&lt;=_TM2,OR(TH!L792="1111",TH!M792="1111")),TH!D792,""),"")</f>
        <v/>
      </c>
      <c r="B792" s="36">
        <f t="shared" si="60"/>
        <v>6</v>
      </c>
      <c r="C792" s="191">
        <v>40723</v>
      </c>
      <c r="D792" s="191" t="s">
        <v>979</v>
      </c>
      <c r="E792" s="184">
        <v>40723</v>
      </c>
      <c r="F792" s="189" t="s">
        <v>744</v>
      </c>
      <c r="G792" s="498" t="s">
        <v>916</v>
      </c>
      <c r="H792" s="7" t="s">
        <v>733</v>
      </c>
      <c r="I792" s="256">
        <v>37</v>
      </c>
      <c r="J792" s="256">
        <v>14591</v>
      </c>
      <c r="K792" s="614">
        <v>539867</v>
      </c>
      <c r="L792" s="194" t="s">
        <v>259</v>
      </c>
      <c r="M792" s="194" t="s">
        <v>167</v>
      </c>
      <c r="N792" s="52" t="str">
        <f>IF(AND('331-CT'!$E$7=TH!H792,OR(L792="331",M792="331")),"331",IF(AND(OR(L792="131",M792="131"),H792='131-CT'!$E$7),"131",""))</f>
        <v>131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94"/>
      <c r="AB792" s="833"/>
    </row>
    <row r="793" spans="1:28" ht="15.75" customHeight="1">
      <c r="A793" s="204" t="str">
        <f>IF(B793&lt;&gt;"",IF(AND(B793&gt;=_TM1,B793&lt;=_TM2,OR(TH!L793="1111",TH!M793="1111")),TH!D793,""),"")</f>
        <v/>
      </c>
      <c r="B793" s="36">
        <f t="shared" ref="B793:B856" si="61">IF(C793&lt;&gt;"",MONTH(C793),"")</f>
        <v>6</v>
      </c>
      <c r="C793" s="191">
        <v>40723</v>
      </c>
      <c r="D793" s="191" t="s">
        <v>979</v>
      </c>
      <c r="E793" s="184">
        <v>40723</v>
      </c>
      <c r="F793" s="189" t="s">
        <v>932</v>
      </c>
      <c r="G793" s="498" t="s">
        <v>916</v>
      </c>
      <c r="H793" s="7" t="s">
        <v>733</v>
      </c>
      <c r="I793" s="256">
        <v>897</v>
      </c>
      <c r="J793" s="256">
        <v>11877</v>
      </c>
      <c r="K793" s="614">
        <v>10653669</v>
      </c>
      <c r="L793" s="194" t="s">
        <v>259</v>
      </c>
      <c r="M793" s="194" t="s">
        <v>167</v>
      </c>
      <c r="N793" s="52" t="str">
        <f>IF(AND('331-CT'!$E$7=TH!H793,OR(L793="331",M793="331")),"331",IF(AND(OR(L793="131",M793="131"),H793='131-CT'!$E$7),"131",""))</f>
        <v>131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94"/>
      <c r="AB793" s="833"/>
    </row>
    <row r="794" spans="1:28" ht="15.75" customHeight="1">
      <c r="A794" s="204" t="str">
        <f>IF(B794&lt;&gt;"",IF(AND(B794&gt;=_TM1,B794&lt;=_TM2,OR(TH!L794="1111",TH!M794="1111")),TH!D794,""),"")</f>
        <v/>
      </c>
      <c r="B794" s="36">
        <f t="shared" si="61"/>
        <v>6</v>
      </c>
      <c r="C794" s="191">
        <v>40723</v>
      </c>
      <c r="D794" s="191" t="s">
        <v>979</v>
      </c>
      <c r="E794" s="184">
        <v>40723</v>
      </c>
      <c r="F794" s="189" t="s">
        <v>929</v>
      </c>
      <c r="G794" s="498" t="s">
        <v>916</v>
      </c>
      <c r="H794" s="7" t="s">
        <v>733</v>
      </c>
      <c r="I794" s="256">
        <v>917</v>
      </c>
      <c r="J794" s="256">
        <v>2866</v>
      </c>
      <c r="K794" s="614">
        <v>2628122</v>
      </c>
      <c r="L794" s="194" t="s">
        <v>259</v>
      </c>
      <c r="M794" s="194" t="s">
        <v>167</v>
      </c>
      <c r="N794" s="52" t="str">
        <f>IF(AND('331-CT'!$E$7=TH!H794,OR(L794="331",M794="331")),"331",IF(AND(OR(L794="131",M794="131"),H794='131-CT'!$E$7),"131",""))</f>
        <v>131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94"/>
      <c r="AB794" s="833"/>
    </row>
    <row r="795" spans="1:28" ht="15.75" customHeight="1">
      <c r="A795" s="204" t="str">
        <f>IF(B795&lt;&gt;"",IF(AND(B795&gt;=_TM1,B795&lt;=_TM2,OR(TH!L795="1111",TH!M795="1111")),TH!D795,""),"")</f>
        <v/>
      </c>
      <c r="B795" s="36">
        <f t="shared" si="61"/>
        <v>6</v>
      </c>
      <c r="C795" s="191">
        <v>40723</v>
      </c>
      <c r="D795" s="191" t="s">
        <v>979</v>
      </c>
      <c r="E795" s="184">
        <v>40723</v>
      </c>
      <c r="F795" s="189" t="s">
        <v>933</v>
      </c>
      <c r="G795" s="498" t="s">
        <v>916</v>
      </c>
      <c r="H795" s="7" t="s">
        <v>733</v>
      </c>
      <c r="I795" s="256">
        <v>169</v>
      </c>
      <c r="J795" s="256">
        <v>8678</v>
      </c>
      <c r="K795" s="614">
        <v>1466582</v>
      </c>
      <c r="L795" s="194" t="s">
        <v>259</v>
      </c>
      <c r="M795" s="194" t="s">
        <v>167</v>
      </c>
      <c r="N795" s="52" t="str">
        <f>IF(AND('331-CT'!$E$7=TH!H795,OR(L795="331",M795="331")),"331",IF(AND(OR(L795="131",M795="131"),H795='131-CT'!$E$7),"131",""))</f>
        <v>131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94"/>
      <c r="AB795" s="833"/>
    </row>
    <row r="796" spans="1:28" ht="15.75" customHeight="1">
      <c r="A796" s="204" t="str">
        <f>IF(B796&lt;&gt;"",IF(AND(B796&gt;=_TM1,B796&lt;=_TM2,OR(TH!L796="1111",TH!M796="1111")),TH!D796,""),"")</f>
        <v/>
      </c>
      <c r="B796" s="36">
        <f t="shared" si="61"/>
        <v>6</v>
      </c>
      <c r="C796" s="191">
        <v>40723</v>
      </c>
      <c r="D796" s="191" t="s">
        <v>979</v>
      </c>
      <c r="E796" s="184">
        <v>40723</v>
      </c>
      <c r="F796" s="189" t="s">
        <v>929</v>
      </c>
      <c r="G796" s="498" t="s">
        <v>916</v>
      </c>
      <c r="H796" s="7" t="s">
        <v>733</v>
      </c>
      <c r="I796" s="256">
        <v>170</v>
      </c>
      <c r="J796" s="256">
        <v>2457</v>
      </c>
      <c r="K796" s="614">
        <v>417690</v>
      </c>
      <c r="L796" s="194" t="s">
        <v>259</v>
      </c>
      <c r="M796" s="194" t="s">
        <v>167</v>
      </c>
      <c r="N796" s="52" t="str">
        <f>IF(AND('331-CT'!$E$7=TH!H796,OR(L796="331",M796="331")),"331",IF(AND(OR(L796="131",M796="131"),H796='131-CT'!$E$7),"131",""))</f>
        <v>131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94"/>
      <c r="AB796" s="833"/>
    </row>
    <row r="797" spans="1:28" ht="15.75" customHeight="1">
      <c r="A797" s="204" t="str">
        <f>IF(B797&lt;&gt;"",IF(AND(B797&gt;=_TM1,B797&lt;=_TM2,OR(TH!L797="1111",TH!M797="1111")),TH!D797,""),"")</f>
        <v/>
      </c>
      <c r="B797" s="36">
        <f t="shared" si="61"/>
        <v>6</v>
      </c>
      <c r="C797" s="191">
        <v>40723</v>
      </c>
      <c r="D797" s="191" t="s">
        <v>979</v>
      </c>
      <c r="E797" s="184">
        <v>40723</v>
      </c>
      <c r="F797" s="189" t="s">
        <v>742</v>
      </c>
      <c r="G797" s="498" t="s">
        <v>916</v>
      </c>
      <c r="H797" s="7" t="s">
        <v>733</v>
      </c>
      <c r="I797" s="256">
        <v>442</v>
      </c>
      <c r="J797" s="256">
        <v>19814</v>
      </c>
      <c r="K797" s="614">
        <v>8757788</v>
      </c>
      <c r="L797" s="194" t="s">
        <v>259</v>
      </c>
      <c r="M797" s="194" t="s">
        <v>167</v>
      </c>
      <c r="N797" s="52" t="str">
        <f>IF(AND('331-CT'!$E$7=TH!H797,OR(L797="331",M797="331")),"331",IF(AND(OR(L797="131",M797="131"),H797='131-CT'!$E$7),"131",""))</f>
        <v>131</v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94"/>
      <c r="AB797" s="833"/>
    </row>
    <row r="798" spans="1:28" ht="15.75" customHeight="1">
      <c r="A798" s="204" t="str">
        <f>IF(B798&lt;&gt;"",IF(AND(B798&gt;=_TM1,B798&lt;=_TM2,OR(TH!L798="1111",TH!M798="1111")),TH!D798,""),"")</f>
        <v/>
      </c>
      <c r="B798" s="36">
        <f t="shared" si="61"/>
        <v>6</v>
      </c>
      <c r="C798" s="191">
        <v>40723</v>
      </c>
      <c r="D798" s="191" t="s">
        <v>979</v>
      </c>
      <c r="E798" s="184">
        <v>40723</v>
      </c>
      <c r="F798" s="192" t="s">
        <v>848</v>
      </c>
      <c r="G798" s="498" t="s">
        <v>916</v>
      </c>
      <c r="H798" s="7" t="s">
        <v>733</v>
      </c>
      <c r="I798" s="256"/>
      <c r="J798" s="256"/>
      <c r="K798" s="614">
        <v>2450159</v>
      </c>
      <c r="L798" s="194" t="s">
        <v>259</v>
      </c>
      <c r="M798" s="194" t="s">
        <v>731</v>
      </c>
      <c r="N798" s="52" t="str">
        <f>IF(AND('331-CT'!$E$7=TH!H798,OR(L798="331",M798="331")),"331",IF(AND(OR(L798="131",M798="131"),H798='131-CT'!$E$7),"131",""))</f>
        <v>131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94"/>
      <c r="AB798" s="833"/>
    </row>
    <row r="799" spans="1:28" ht="15.75" customHeight="1">
      <c r="A799" s="204" t="str">
        <f>IF(B799&lt;&gt;"",IF(AND(B799&gt;=_TM1,B799&lt;=_TM2,OR(TH!L799="1111",TH!M799="1111")),TH!D799,""),"")</f>
        <v/>
      </c>
      <c r="B799" s="36">
        <f t="shared" si="61"/>
        <v>6</v>
      </c>
      <c r="C799" s="191">
        <v>40723</v>
      </c>
      <c r="D799" s="191" t="s">
        <v>980</v>
      </c>
      <c r="E799" s="184">
        <v>40723</v>
      </c>
      <c r="F799" s="189" t="s">
        <v>934</v>
      </c>
      <c r="G799" s="498" t="s">
        <v>917</v>
      </c>
      <c r="H799" s="7" t="s">
        <v>733</v>
      </c>
      <c r="I799" s="256">
        <v>36</v>
      </c>
      <c r="J799" s="256">
        <v>18185</v>
      </c>
      <c r="K799" s="614">
        <v>654660</v>
      </c>
      <c r="L799" s="194" t="s">
        <v>259</v>
      </c>
      <c r="M799" s="194" t="s">
        <v>167</v>
      </c>
      <c r="N799" s="52" t="str">
        <f>IF(AND('331-CT'!$E$7=TH!H799,OR(L799="331",M799="331")),"331",IF(AND(OR(L799="131",M799="131"),H799='131-CT'!$E$7),"131",""))</f>
        <v>131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94"/>
      <c r="AB799" s="833"/>
    </row>
    <row r="800" spans="1:28" ht="15.75" customHeight="1">
      <c r="A800" s="204" t="str">
        <f>IF(B800&lt;&gt;"",IF(AND(B800&gt;=_TM1,B800&lt;=_TM2,OR(TH!L800="1111",TH!M800="1111")),TH!D800,""),"")</f>
        <v/>
      </c>
      <c r="B800" s="36">
        <f t="shared" si="61"/>
        <v>6</v>
      </c>
      <c r="C800" s="191">
        <v>40723</v>
      </c>
      <c r="D800" s="191" t="s">
        <v>980</v>
      </c>
      <c r="E800" s="184">
        <v>40723</v>
      </c>
      <c r="F800" s="189" t="s">
        <v>929</v>
      </c>
      <c r="G800" s="498" t="s">
        <v>917</v>
      </c>
      <c r="H800" s="7" t="s">
        <v>733</v>
      </c>
      <c r="I800" s="256">
        <v>90</v>
      </c>
      <c r="J800" s="256">
        <v>2734</v>
      </c>
      <c r="K800" s="614">
        <v>246060</v>
      </c>
      <c r="L800" s="194" t="s">
        <v>259</v>
      </c>
      <c r="M800" s="194" t="s">
        <v>167</v>
      </c>
      <c r="N800" s="52" t="str">
        <f>IF(AND('331-CT'!$E$7=TH!H800,OR(L800="331",M800="331")),"331",IF(AND(OR(L800="131",M800="131"),H800='131-CT'!$E$7),"131",""))</f>
        <v>131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94"/>
      <c r="AB800" s="833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61"/>
        <v>6</v>
      </c>
      <c r="C801" s="191">
        <v>40723</v>
      </c>
      <c r="D801" s="191" t="s">
        <v>980</v>
      </c>
      <c r="E801" s="184">
        <v>40723</v>
      </c>
      <c r="F801" s="189" t="s">
        <v>929</v>
      </c>
      <c r="G801" s="498" t="s">
        <v>917</v>
      </c>
      <c r="H801" s="7" t="s">
        <v>733</v>
      </c>
      <c r="I801" s="256">
        <v>164</v>
      </c>
      <c r="J801" s="256">
        <v>3065</v>
      </c>
      <c r="K801" s="614">
        <v>502660</v>
      </c>
      <c r="L801" s="194" t="s">
        <v>259</v>
      </c>
      <c r="M801" s="194" t="s">
        <v>167</v>
      </c>
      <c r="N801" s="52" t="str">
        <f>IF(AND('331-CT'!$E$7=TH!H801,OR(L801="331",M801="331")),"331",IF(AND(OR(L801="131",M801="131"),H801='131-CT'!$E$7),"131",""))</f>
        <v>131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94"/>
      <c r="AB801" s="833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61"/>
        <v>6</v>
      </c>
      <c r="C802" s="191">
        <v>40723</v>
      </c>
      <c r="D802" s="191" t="s">
        <v>980</v>
      </c>
      <c r="E802" s="184">
        <v>40723</v>
      </c>
      <c r="F802" s="189" t="s">
        <v>743</v>
      </c>
      <c r="G802" s="498" t="s">
        <v>917</v>
      </c>
      <c r="H802" s="7" t="s">
        <v>733</v>
      </c>
      <c r="I802" s="256">
        <v>639</v>
      </c>
      <c r="J802" s="256">
        <v>19248</v>
      </c>
      <c r="K802" s="614">
        <v>12299472</v>
      </c>
      <c r="L802" s="194" t="s">
        <v>259</v>
      </c>
      <c r="M802" s="194" t="s">
        <v>167</v>
      </c>
      <c r="N802" s="52" t="str">
        <f>IF(AND('331-CT'!$E$7=TH!H802,OR(L802="331",M802="331")),"331",IF(AND(OR(L802="131",M802="131"),H802='131-CT'!$E$7),"131",""))</f>
        <v>131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94"/>
      <c r="AB802" s="833"/>
    </row>
    <row r="803" spans="1:28" ht="15.75" customHeight="1">
      <c r="A803" s="204" t="str">
        <f>IF(B803&lt;&gt;"",IF(AND(B803&gt;=_TM1,B803&lt;=_TM2,OR(TH!L803="1111",TH!M803="1111")),TH!D803,""),"")</f>
        <v/>
      </c>
      <c r="B803" s="36">
        <f t="shared" si="61"/>
        <v>6</v>
      </c>
      <c r="C803" s="191">
        <v>40723</v>
      </c>
      <c r="D803" s="191" t="s">
        <v>980</v>
      </c>
      <c r="E803" s="184">
        <v>40723</v>
      </c>
      <c r="F803" s="189" t="s">
        <v>929</v>
      </c>
      <c r="G803" s="498" t="s">
        <v>917</v>
      </c>
      <c r="H803" s="7" t="s">
        <v>733</v>
      </c>
      <c r="I803" s="256">
        <v>210</v>
      </c>
      <c r="J803" s="256">
        <v>6577</v>
      </c>
      <c r="K803" s="614">
        <v>1381170</v>
      </c>
      <c r="L803" s="194" t="s">
        <v>259</v>
      </c>
      <c r="M803" s="194" t="s">
        <v>167</v>
      </c>
      <c r="N803" s="52" t="str">
        <f>IF(AND('331-CT'!$E$7=TH!H803,OR(L803="331",M803="331")),"331",IF(AND(OR(L803="131",M803="131"),H803='131-CT'!$E$7),"131",""))</f>
        <v>131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94"/>
      <c r="AB803" s="833"/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61"/>
        <v>6</v>
      </c>
      <c r="C804" s="191">
        <v>40723</v>
      </c>
      <c r="D804" s="191" t="s">
        <v>980</v>
      </c>
      <c r="E804" s="184">
        <v>40723</v>
      </c>
      <c r="F804" s="189" t="s">
        <v>929</v>
      </c>
      <c r="G804" s="498" t="s">
        <v>917</v>
      </c>
      <c r="H804" s="7" t="s">
        <v>733</v>
      </c>
      <c r="I804" s="256">
        <v>422</v>
      </c>
      <c r="J804" s="256">
        <v>4705</v>
      </c>
      <c r="K804" s="614">
        <v>1985510</v>
      </c>
      <c r="L804" s="194" t="s">
        <v>259</v>
      </c>
      <c r="M804" s="194" t="s">
        <v>167</v>
      </c>
      <c r="N804" s="52" t="str">
        <f>IF(AND('331-CT'!$E$7=TH!H804,OR(L804="331",M804="331")),"331",IF(AND(OR(L804="131",M804="131"),H804='131-CT'!$E$7),"131",""))</f>
        <v>131</v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94"/>
      <c r="AB804" s="833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61"/>
        <v>6</v>
      </c>
      <c r="C805" s="191">
        <v>40723</v>
      </c>
      <c r="D805" s="191" t="s">
        <v>980</v>
      </c>
      <c r="E805" s="184">
        <v>40723</v>
      </c>
      <c r="F805" s="189" t="s">
        <v>741</v>
      </c>
      <c r="G805" s="498" t="s">
        <v>917</v>
      </c>
      <c r="H805" s="7" t="s">
        <v>733</v>
      </c>
      <c r="I805" s="256">
        <v>209</v>
      </c>
      <c r="J805" s="256">
        <v>17330</v>
      </c>
      <c r="K805" s="614">
        <v>3621970</v>
      </c>
      <c r="L805" s="194" t="s">
        <v>259</v>
      </c>
      <c r="M805" s="194" t="s">
        <v>167</v>
      </c>
      <c r="N805" s="52" t="str">
        <f>IF(AND('331-CT'!$E$7=TH!H805,OR(L805="331",M805="331")),"331",IF(AND(OR(L805="131",M805="131"),H805='131-CT'!$E$7),"131",""))</f>
        <v>131</v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94"/>
      <c r="AB805" s="833"/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61"/>
        <v>6</v>
      </c>
      <c r="C806" s="191">
        <v>40723</v>
      </c>
      <c r="D806" s="191" t="s">
        <v>980</v>
      </c>
      <c r="E806" s="184">
        <v>40723</v>
      </c>
      <c r="F806" s="189" t="s">
        <v>935</v>
      </c>
      <c r="G806" s="498" t="s">
        <v>917</v>
      </c>
      <c r="H806" s="7" t="s">
        <v>733</v>
      </c>
      <c r="I806" s="256">
        <v>55</v>
      </c>
      <c r="J806" s="256">
        <v>17203</v>
      </c>
      <c r="K806" s="614">
        <v>946165</v>
      </c>
      <c r="L806" s="194" t="s">
        <v>259</v>
      </c>
      <c r="M806" s="194" t="s">
        <v>167</v>
      </c>
      <c r="N806" s="52" t="str">
        <f>IF(AND('331-CT'!$E$7=TH!H806,OR(L806="331",M806="331")),"331",IF(AND(OR(L806="131",M806="131"),H806='131-CT'!$E$7),"131",""))</f>
        <v>131</v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94"/>
      <c r="AB806" s="833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61"/>
        <v>6</v>
      </c>
      <c r="C807" s="191">
        <v>40723</v>
      </c>
      <c r="D807" s="191" t="s">
        <v>980</v>
      </c>
      <c r="E807" s="184">
        <v>40723</v>
      </c>
      <c r="F807" s="192" t="s">
        <v>848</v>
      </c>
      <c r="G807" s="498" t="s">
        <v>917</v>
      </c>
      <c r="H807" s="7" t="s">
        <v>733</v>
      </c>
      <c r="I807" s="256"/>
      <c r="J807" s="256"/>
      <c r="K807" s="38">
        <v>2163767</v>
      </c>
      <c r="L807" s="194" t="s">
        <v>259</v>
      </c>
      <c r="M807" s="194" t="s">
        <v>731</v>
      </c>
      <c r="N807" s="52" t="str">
        <f>IF(AND('331-CT'!$E$7=TH!H807,OR(L807="331",M807="331")),"331",IF(AND(OR(L807="131",M807="131"),H807='131-CT'!$E$7),"131",""))</f>
        <v>131</v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94"/>
      <c r="AB807" s="833"/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61"/>
        <v>6</v>
      </c>
      <c r="C808" s="191">
        <v>40723</v>
      </c>
      <c r="D808" s="191" t="s">
        <v>981</v>
      </c>
      <c r="E808" s="184">
        <v>40723</v>
      </c>
      <c r="F808" s="189" t="s">
        <v>936</v>
      </c>
      <c r="G808" s="498" t="s">
        <v>918</v>
      </c>
      <c r="H808" s="7" t="s">
        <v>733</v>
      </c>
      <c r="I808" s="256">
        <v>40</v>
      </c>
      <c r="J808" s="256">
        <v>14435</v>
      </c>
      <c r="K808" s="614">
        <v>577400</v>
      </c>
      <c r="L808" s="194" t="s">
        <v>259</v>
      </c>
      <c r="M808" s="194" t="s">
        <v>167</v>
      </c>
      <c r="N808" s="52" t="str">
        <f>IF(AND('331-CT'!$E$7=TH!H808,OR(L808="331",M808="331")),"331",IF(AND(OR(L808="131",M808="131"),H808='131-CT'!$E$7),"131",""))</f>
        <v>131</v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94"/>
      <c r="AB808" s="833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61"/>
        <v>6</v>
      </c>
      <c r="C809" s="191">
        <v>40723</v>
      </c>
      <c r="D809" s="191" t="s">
        <v>981</v>
      </c>
      <c r="E809" s="184">
        <v>40723</v>
      </c>
      <c r="F809" s="189" t="s">
        <v>904</v>
      </c>
      <c r="G809" s="498" t="s">
        <v>918</v>
      </c>
      <c r="H809" s="7" t="s">
        <v>733</v>
      </c>
      <c r="I809" s="256">
        <v>2</v>
      </c>
      <c r="J809" s="256">
        <v>10434</v>
      </c>
      <c r="K809" s="614">
        <v>20868</v>
      </c>
      <c r="L809" s="194" t="s">
        <v>259</v>
      </c>
      <c r="M809" s="194" t="s">
        <v>167</v>
      </c>
      <c r="N809" s="52" t="str">
        <f>IF(AND('331-CT'!$E$7=TH!H809,OR(L809="331",M809="331")),"331",IF(AND(OR(L809="131",M809="131"),H809='131-CT'!$E$7),"131",""))</f>
        <v>131</v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94"/>
      <c r="AB809" s="833"/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61"/>
        <v>6</v>
      </c>
      <c r="C810" s="191">
        <v>40723</v>
      </c>
      <c r="D810" s="191" t="s">
        <v>981</v>
      </c>
      <c r="E810" s="184">
        <v>40723</v>
      </c>
      <c r="F810" s="189" t="s">
        <v>937</v>
      </c>
      <c r="G810" s="498" t="s">
        <v>918</v>
      </c>
      <c r="H810" s="7" t="s">
        <v>733</v>
      </c>
      <c r="I810" s="256">
        <v>207</v>
      </c>
      <c r="J810" s="256">
        <v>24601</v>
      </c>
      <c r="K810" s="614">
        <v>5092407</v>
      </c>
      <c r="L810" s="194" t="s">
        <v>259</v>
      </c>
      <c r="M810" s="194" t="s">
        <v>167</v>
      </c>
      <c r="N810" s="52" t="str">
        <f>IF(AND('331-CT'!$E$7=TH!H810,OR(L810="331",M810="331")),"331",IF(AND(OR(L810="131",M810="131"),H810='131-CT'!$E$7),"131",""))</f>
        <v>131</v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94"/>
      <c r="AB810" s="833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61"/>
        <v>6</v>
      </c>
      <c r="C811" s="191">
        <v>40723</v>
      </c>
      <c r="D811" s="191" t="s">
        <v>981</v>
      </c>
      <c r="E811" s="184">
        <v>40723</v>
      </c>
      <c r="F811" s="189" t="s">
        <v>929</v>
      </c>
      <c r="G811" s="498" t="s">
        <v>918</v>
      </c>
      <c r="H811" s="7" t="s">
        <v>733</v>
      </c>
      <c r="I811" s="256">
        <v>203</v>
      </c>
      <c r="J811" s="256">
        <v>12255</v>
      </c>
      <c r="K811" s="614">
        <v>2487765</v>
      </c>
      <c r="L811" s="194" t="s">
        <v>259</v>
      </c>
      <c r="M811" s="194" t="s">
        <v>167</v>
      </c>
      <c r="N811" s="52" t="str">
        <f>IF(AND('331-CT'!$E$7=TH!H811,OR(L811="331",M811="331")),"331",IF(AND(OR(L811="131",M811="131"),H811='131-CT'!$E$7),"131",""))</f>
        <v>131</v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94"/>
      <c r="AB811" s="833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61"/>
        <v>6</v>
      </c>
      <c r="C812" s="191">
        <v>40723</v>
      </c>
      <c r="D812" s="191" t="s">
        <v>981</v>
      </c>
      <c r="E812" s="184">
        <v>40723</v>
      </c>
      <c r="F812" s="189" t="s">
        <v>938</v>
      </c>
      <c r="G812" s="498" t="s">
        <v>918</v>
      </c>
      <c r="H812" s="7" t="s">
        <v>733</v>
      </c>
      <c r="I812" s="256">
        <v>9</v>
      </c>
      <c r="J812" s="256">
        <v>19640</v>
      </c>
      <c r="K812" s="614">
        <v>176760</v>
      </c>
      <c r="L812" s="194" t="s">
        <v>259</v>
      </c>
      <c r="M812" s="194" t="s">
        <v>167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94"/>
      <c r="AB812" s="833"/>
    </row>
    <row r="813" spans="1:28" ht="15.75" customHeight="1">
      <c r="A813" s="204" t="str">
        <f>IF(B813&lt;&gt;"",IF(AND(B813&gt;=_TM1,B813&lt;=_TM2,OR(TH!L813="1111",TH!M813="1111")),TH!D813,""),"")</f>
        <v/>
      </c>
      <c r="B813" s="36">
        <f t="shared" si="61"/>
        <v>6</v>
      </c>
      <c r="C813" s="191">
        <v>40723</v>
      </c>
      <c r="D813" s="191" t="s">
        <v>981</v>
      </c>
      <c r="E813" s="184">
        <v>40723</v>
      </c>
      <c r="F813" s="189" t="s">
        <v>752</v>
      </c>
      <c r="G813" s="498" t="s">
        <v>918</v>
      </c>
      <c r="H813" s="7" t="s">
        <v>733</v>
      </c>
      <c r="I813" s="256">
        <v>1</v>
      </c>
      <c r="J813" s="256">
        <v>16417</v>
      </c>
      <c r="K813" s="614">
        <v>16417</v>
      </c>
      <c r="L813" s="194" t="s">
        <v>259</v>
      </c>
      <c r="M813" s="194" t="s">
        <v>167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94"/>
      <c r="AB813" s="833"/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61"/>
        <v>6</v>
      </c>
      <c r="C814" s="191">
        <v>40723</v>
      </c>
      <c r="D814" s="191" t="s">
        <v>981</v>
      </c>
      <c r="E814" s="184">
        <v>40723</v>
      </c>
      <c r="F814" s="189" t="s">
        <v>939</v>
      </c>
      <c r="G814" s="498" t="s">
        <v>918</v>
      </c>
      <c r="H814" s="7" t="s">
        <v>733</v>
      </c>
      <c r="I814" s="256">
        <v>3</v>
      </c>
      <c r="J814" s="256">
        <v>20389</v>
      </c>
      <c r="K814" s="614">
        <v>61167</v>
      </c>
      <c r="L814" s="194" t="s">
        <v>259</v>
      </c>
      <c r="M814" s="194" t="s">
        <v>167</v>
      </c>
      <c r="N814" s="52" t="str">
        <f>IF(AND('331-CT'!$E$7=TH!H814,OR(L814="331",M814="331")),"331",IF(AND(OR(L814="131",M814="131"),H814='131-CT'!$E$7),"131",""))</f>
        <v>131</v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94"/>
      <c r="AB814" s="833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61"/>
        <v>6</v>
      </c>
      <c r="C815" s="191">
        <v>40723</v>
      </c>
      <c r="D815" s="191" t="s">
        <v>981</v>
      </c>
      <c r="E815" s="184">
        <v>40723</v>
      </c>
      <c r="F815" s="189" t="s">
        <v>751</v>
      </c>
      <c r="G815" s="498" t="s">
        <v>918</v>
      </c>
      <c r="H815" s="7" t="s">
        <v>733</v>
      </c>
      <c r="I815" s="256">
        <v>11</v>
      </c>
      <c r="J815" s="256">
        <v>14129</v>
      </c>
      <c r="K815" s="614">
        <v>155419</v>
      </c>
      <c r="L815" s="194" t="s">
        <v>259</v>
      </c>
      <c r="M815" s="194" t="s">
        <v>167</v>
      </c>
      <c r="N815" s="52" t="str">
        <f>IF(AND('331-CT'!$E$7=TH!H815,OR(L815="331",M815="331")),"331",IF(AND(OR(L815="131",M815="131"),H815='131-CT'!$E$7),"131",""))</f>
        <v>131</v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94"/>
      <c r="AB815" s="833"/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61"/>
        <v>6</v>
      </c>
      <c r="C816" s="191">
        <v>40723</v>
      </c>
      <c r="D816" s="191" t="s">
        <v>981</v>
      </c>
      <c r="E816" s="184">
        <v>40723</v>
      </c>
      <c r="F816" s="192" t="s">
        <v>848</v>
      </c>
      <c r="G816" s="498" t="s">
        <v>918</v>
      </c>
      <c r="H816" s="7" t="s">
        <v>733</v>
      </c>
      <c r="I816" s="256"/>
      <c r="J816" s="256"/>
      <c r="K816" s="614">
        <v>858820</v>
      </c>
      <c r="L816" s="194" t="s">
        <v>259</v>
      </c>
      <c r="M816" s="194" t="s">
        <v>731</v>
      </c>
      <c r="N816" s="52" t="str">
        <f>IF(AND('331-CT'!$E$7=TH!H816,OR(L816="331",M816="331")),"331",IF(AND(OR(L816="131",M816="131"),H816='131-CT'!$E$7),"131",""))</f>
        <v>131</v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94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61"/>
        <v>6</v>
      </c>
      <c r="C817" s="191">
        <v>40723</v>
      </c>
      <c r="D817" s="191" t="s">
        <v>982</v>
      </c>
      <c r="E817" s="184">
        <v>40723</v>
      </c>
      <c r="F817" s="189" t="s">
        <v>903</v>
      </c>
      <c r="G817" s="498" t="s">
        <v>919</v>
      </c>
      <c r="H817" s="7" t="s">
        <v>733</v>
      </c>
      <c r="I817" s="256">
        <v>26</v>
      </c>
      <c r="J817" s="256">
        <v>10433</v>
      </c>
      <c r="K817" s="614">
        <v>271258</v>
      </c>
      <c r="L817" s="194" t="s">
        <v>259</v>
      </c>
      <c r="M817" s="194" t="s">
        <v>167</v>
      </c>
      <c r="N817" s="52" t="str">
        <f>IF(AND('331-CT'!$E$7=TH!H817,OR(L817="331",M817="331")),"331",IF(AND(OR(L817="131",M817="131"),H817='131-CT'!$E$7),"131",""))</f>
        <v>131</v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94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61"/>
        <v>6</v>
      </c>
      <c r="C818" s="191">
        <v>40723</v>
      </c>
      <c r="D818" s="191" t="s">
        <v>982</v>
      </c>
      <c r="E818" s="184">
        <v>40723</v>
      </c>
      <c r="F818" s="189" t="s">
        <v>940</v>
      </c>
      <c r="G818" s="498" t="s">
        <v>919</v>
      </c>
      <c r="H818" s="7" t="s">
        <v>733</v>
      </c>
      <c r="I818" s="256">
        <v>20</v>
      </c>
      <c r="J818" s="256">
        <v>19208</v>
      </c>
      <c r="K818" s="614">
        <v>384160</v>
      </c>
      <c r="L818" s="194" t="s">
        <v>259</v>
      </c>
      <c r="M818" s="194" t="s">
        <v>167</v>
      </c>
      <c r="N818" s="52" t="str">
        <f>IF(AND('331-CT'!$E$7=TH!H818,OR(L818="331",M818="331")),"331",IF(AND(OR(L818="131",M818="131"),H818='131-CT'!$E$7),"131",""))</f>
        <v>131</v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94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61"/>
        <v>6</v>
      </c>
      <c r="C819" s="191">
        <v>40723</v>
      </c>
      <c r="D819" s="191" t="s">
        <v>982</v>
      </c>
      <c r="E819" s="184">
        <v>40723</v>
      </c>
      <c r="F819" s="189" t="s">
        <v>941</v>
      </c>
      <c r="G819" s="498" t="s">
        <v>919</v>
      </c>
      <c r="H819" s="7" t="s">
        <v>733</v>
      </c>
      <c r="I819" s="256">
        <v>61</v>
      </c>
      <c r="J819" s="256">
        <v>21962</v>
      </c>
      <c r="K819" s="614">
        <v>1339682</v>
      </c>
      <c r="L819" s="194" t="s">
        <v>259</v>
      </c>
      <c r="M819" s="194" t="s">
        <v>167</v>
      </c>
      <c r="N819" s="52" t="str">
        <f>IF(AND('331-CT'!$E$7=TH!H819,OR(L819="331",M819="331")),"331",IF(AND(OR(L819="131",M819="131"),H819='131-CT'!$E$7),"131",""))</f>
        <v>131</v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94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61"/>
        <v>6</v>
      </c>
      <c r="C820" s="191">
        <v>40723</v>
      </c>
      <c r="D820" s="191" t="s">
        <v>982</v>
      </c>
      <c r="E820" s="184">
        <v>40723</v>
      </c>
      <c r="F820" s="189" t="s">
        <v>756</v>
      </c>
      <c r="G820" s="498" t="s">
        <v>919</v>
      </c>
      <c r="H820" s="7" t="s">
        <v>733</v>
      </c>
      <c r="I820" s="256">
        <v>140</v>
      </c>
      <c r="J820" s="256">
        <v>3065</v>
      </c>
      <c r="K820" s="614">
        <v>429100</v>
      </c>
      <c r="L820" s="194" t="s">
        <v>259</v>
      </c>
      <c r="M820" s="194" t="s">
        <v>167</v>
      </c>
      <c r="N820" s="52" t="str">
        <f>IF(AND('331-CT'!$E$7=TH!H820,OR(L820="331",M820="331")),"331",IF(AND(OR(L820="131",M820="131"),H820='131-CT'!$E$7),"131",""))</f>
        <v>131</v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94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61"/>
        <v>6</v>
      </c>
      <c r="C821" s="191">
        <v>40723</v>
      </c>
      <c r="D821" s="191" t="s">
        <v>982</v>
      </c>
      <c r="E821" s="184">
        <v>40723</v>
      </c>
      <c r="F821" s="189" t="s">
        <v>934</v>
      </c>
      <c r="G821" s="498" t="s">
        <v>919</v>
      </c>
      <c r="H821" s="7" t="s">
        <v>733</v>
      </c>
      <c r="I821" s="256">
        <v>40</v>
      </c>
      <c r="J821" s="256">
        <v>18185</v>
      </c>
      <c r="K821" s="614">
        <v>727400</v>
      </c>
      <c r="L821" s="194" t="s">
        <v>259</v>
      </c>
      <c r="M821" s="194" t="s">
        <v>167</v>
      </c>
      <c r="N821" s="52" t="str">
        <f>IF(AND('331-CT'!$E$7=TH!H821,OR(L821="331",M821="331")),"331",IF(AND(OR(L821="131",M821="131"),H821='131-CT'!$E$7),"131",""))</f>
        <v>131</v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94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61"/>
        <v>6</v>
      </c>
      <c r="C822" s="191">
        <v>40723</v>
      </c>
      <c r="D822" s="191" t="s">
        <v>982</v>
      </c>
      <c r="E822" s="184">
        <v>40723</v>
      </c>
      <c r="F822" s="189" t="s">
        <v>744</v>
      </c>
      <c r="G822" s="498" t="s">
        <v>919</v>
      </c>
      <c r="H822" s="7" t="s">
        <v>733</v>
      </c>
      <c r="I822" s="256">
        <v>95</v>
      </c>
      <c r="J822" s="256">
        <v>14591</v>
      </c>
      <c r="K822" s="614">
        <v>1386145</v>
      </c>
      <c r="L822" s="194" t="s">
        <v>259</v>
      </c>
      <c r="M822" s="194" t="s">
        <v>167</v>
      </c>
      <c r="N822" s="52" t="str">
        <f>IF(AND('331-CT'!$E$7=TH!H822,OR(L822="331",M822="331")),"331",IF(AND(OR(L822="131",M822="131"),H822='131-CT'!$E$7),"131",""))</f>
        <v>131</v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94"/>
      <c r="AB822" s="833"/>
    </row>
    <row r="823" spans="1:28" ht="15.75" customHeight="1">
      <c r="A823" s="204" t="str">
        <f>IF(B823&lt;&gt;"",IF(AND(B823&gt;=_TM1,B823&lt;=_TM2,OR(TH!L823="1111",TH!M823="1111")),TH!D823,""),"")</f>
        <v/>
      </c>
      <c r="B823" s="36">
        <f t="shared" si="61"/>
        <v>6</v>
      </c>
      <c r="C823" s="191">
        <v>40723</v>
      </c>
      <c r="D823" s="191" t="s">
        <v>982</v>
      </c>
      <c r="E823" s="184">
        <v>40723</v>
      </c>
      <c r="F823" s="192" t="s">
        <v>848</v>
      </c>
      <c r="G823" s="498" t="s">
        <v>919</v>
      </c>
      <c r="H823" s="7" t="s">
        <v>733</v>
      </c>
      <c r="I823" s="256"/>
      <c r="J823" s="256"/>
      <c r="K823" s="614">
        <v>453775</v>
      </c>
      <c r="L823" s="194" t="s">
        <v>259</v>
      </c>
      <c r="M823" s="194" t="s">
        <v>731</v>
      </c>
      <c r="N823" s="52" t="str">
        <f>IF(AND('331-CT'!$E$7=TH!H823,OR(L823="331",M823="331")),"331",IF(AND(OR(L823="131",M823="131"),H823='131-CT'!$E$7),"131",""))</f>
        <v>131</v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94"/>
      <c r="AB823" s="833"/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61"/>
        <v>6</v>
      </c>
      <c r="C824" s="191">
        <v>40723</v>
      </c>
      <c r="D824" s="191" t="s">
        <v>983</v>
      </c>
      <c r="E824" s="184">
        <v>40723</v>
      </c>
      <c r="F824" s="192" t="s">
        <v>907</v>
      </c>
      <c r="G824" s="498" t="s">
        <v>920</v>
      </c>
      <c r="H824" s="210" t="s">
        <v>906</v>
      </c>
      <c r="I824" s="256">
        <v>2000</v>
      </c>
      <c r="J824" s="256">
        <v>7229</v>
      </c>
      <c r="K824" s="614">
        <v>14458000</v>
      </c>
      <c r="L824" s="194" t="s">
        <v>259</v>
      </c>
      <c r="M824" s="194" t="s">
        <v>167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94"/>
      <c r="AB824" s="833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61"/>
        <v>6</v>
      </c>
      <c r="C825" s="191">
        <v>40723</v>
      </c>
      <c r="D825" s="191" t="s">
        <v>983</v>
      </c>
      <c r="E825" s="184">
        <v>40723</v>
      </c>
      <c r="F825" s="192" t="s">
        <v>835</v>
      </c>
      <c r="G825" s="498" t="s">
        <v>920</v>
      </c>
      <c r="H825" s="210" t="s">
        <v>906</v>
      </c>
      <c r="I825" s="256"/>
      <c r="J825" s="256"/>
      <c r="K825" s="614">
        <v>1445800</v>
      </c>
      <c r="L825" s="194" t="s">
        <v>259</v>
      </c>
      <c r="M825" s="194" t="s">
        <v>731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94"/>
      <c r="AB825" s="833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61"/>
        <v>6</v>
      </c>
      <c r="C826" s="191">
        <v>40723</v>
      </c>
      <c r="D826" s="191" t="s">
        <v>984</v>
      </c>
      <c r="E826" s="184">
        <v>40723</v>
      </c>
      <c r="F826" s="192" t="s">
        <v>942</v>
      </c>
      <c r="G826" s="498" t="s">
        <v>927</v>
      </c>
      <c r="H826" s="7" t="s">
        <v>734</v>
      </c>
      <c r="I826" s="256">
        <v>306</v>
      </c>
      <c r="J826" s="256">
        <v>14330</v>
      </c>
      <c r="K826" s="614">
        <v>4384980</v>
      </c>
      <c r="L826" s="194" t="s">
        <v>259</v>
      </c>
      <c r="M826" s="194" t="s">
        <v>167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94"/>
      <c r="AB826" s="833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61"/>
        <v>6</v>
      </c>
      <c r="C827" s="191">
        <v>40723</v>
      </c>
      <c r="D827" s="191" t="s">
        <v>984</v>
      </c>
      <c r="E827" s="184">
        <v>40723</v>
      </c>
      <c r="F827" s="192" t="s">
        <v>829</v>
      </c>
      <c r="G827" s="498" t="s">
        <v>927</v>
      </c>
      <c r="H827" s="7" t="s">
        <v>734</v>
      </c>
      <c r="I827" s="256">
        <v>391</v>
      </c>
      <c r="J827" s="256">
        <v>9760</v>
      </c>
      <c r="K827" s="614">
        <v>3816160</v>
      </c>
      <c r="L827" s="194" t="s">
        <v>259</v>
      </c>
      <c r="M827" s="194" t="s">
        <v>167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94"/>
      <c r="AB827" s="833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61"/>
        <v>6</v>
      </c>
      <c r="C828" s="191">
        <v>40723</v>
      </c>
      <c r="D828" s="191" t="s">
        <v>984</v>
      </c>
      <c r="E828" s="184">
        <v>40723</v>
      </c>
      <c r="F828" s="192" t="s">
        <v>822</v>
      </c>
      <c r="G828" s="498" t="s">
        <v>927</v>
      </c>
      <c r="H828" s="7" t="s">
        <v>734</v>
      </c>
      <c r="I828" s="256">
        <v>297</v>
      </c>
      <c r="J828" s="256">
        <v>7500</v>
      </c>
      <c r="K828" s="614">
        <v>2227500</v>
      </c>
      <c r="L828" s="194" t="s">
        <v>259</v>
      </c>
      <c r="M828" s="194" t="s">
        <v>167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94"/>
      <c r="AB828" s="833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61"/>
        <v>6</v>
      </c>
      <c r="C829" s="191">
        <v>40723</v>
      </c>
      <c r="D829" s="191" t="s">
        <v>984</v>
      </c>
      <c r="E829" s="184">
        <v>40723</v>
      </c>
      <c r="F829" s="192" t="s">
        <v>944</v>
      </c>
      <c r="G829" s="498" t="s">
        <v>927</v>
      </c>
      <c r="H829" s="7" t="s">
        <v>734</v>
      </c>
      <c r="I829" s="256">
        <v>101</v>
      </c>
      <c r="J829" s="256">
        <v>8800</v>
      </c>
      <c r="K829" s="614">
        <v>888800</v>
      </c>
      <c r="L829" s="194" t="s">
        <v>259</v>
      </c>
      <c r="M829" s="194" t="s">
        <v>167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94"/>
      <c r="AB829" s="833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61"/>
        <v>6</v>
      </c>
      <c r="C830" s="191">
        <v>40723</v>
      </c>
      <c r="D830" s="191" t="s">
        <v>984</v>
      </c>
      <c r="E830" s="184">
        <v>40723</v>
      </c>
      <c r="F830" s="192" t="s">
        <v>943</v>
      </c>
      <c r="G830" s="498" t="s">
        <v>927</v>
      </c>
      <c r="H830" s="7" t="s">
        <v>734</v>
      </c>
      <c r="I830" s="256">
        <v>103</v>
      </c>
      <c r="J830" s="256">
        <v>7630</v>
      </c>
      <c r="K830" s="614">
        <v>785890</v>
      </c>
      <c r="L830" s="194" t="s">
        <v>259</v>
      </c>
      <c r="M830" s="194" t="s">
        <v>167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94"/>
      <c r="AB830" s="833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61"/>
        <v>6</v>
      </c>
      <c r="C831" s="191">
        <v>40723</v>
      </c>
      <c r="D831" s="191" t="s">
        <v>984</v>
      </c>
      <c r="E831" s="184">
        <v>40723</v>
      </c>
      <c r="F831" s="192" t="s">
        <v>819</v>
      </c>
      <c r="G831" s="498" t="s">
        <v>927</v>
      </c>
      <c r="H831" s="7" t="s">
        <v>734</v>
      </c>
      <c r="I831" s="256">
        <v>109</v>
      </c>
      <c r="J831" s="256">
        <v>18940</v>
      </c>
      <c r="K831" s="614">
        <v>2064460</v>
      </c>
      <c r="L831" s="194" t="s">
        <v>259</v>
      </c>
      <c r="M831" s="194" t="s">
        <v>167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94"/>
      <c r="AB831" s="833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61"/>
        <v>6</v>
      </c>
      <c r="C832" s="191">
        <v>40723</v>
      </c>
      <c r="D832" s="191" t="s">
        <v>984</v>
      </c>
      <c r="E832" s="184">
        <v>40723</v>
      </c>
      <c r="F832" s="192" t="s">
        <v>945</v>
      </c>
      <c r="G832" s="498" t="s">
        <v>927</v>
      </c>
      <c r="H832" s="7" t="s">
        <v>734</v>
      </c>
      <c r="I832" s="254">
        <v>104</v>
      </c>
      <c r="J832" s="254">
        <v>23100</v>
      </c>
      <c r="K832" s="614">
        <v>2402400</v>
      </c>
      <c r="L832" s="194" t="s">
        <v>259</v>
      </c>
      <c r="M832" s="194" t="s">
        <v>167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94"/>
      <c r="AB832" s="833"/>
    </row>
    <row r="833" spans="1:28" ht="15.75" customHeight="1">
      <c r="A833" s="204" t="str">
        <f>IF(B833&lt;&gt;"",IF(AND(B833&gt;=_TM1,B833&lt;=_TM2,OR(TH!L833="1111",TH!M833="1111")),TH!D833,""),"")</f>
        <v/>
      </c>
      <c r="B833" s="36">
        <f t="shared" si="61"/>
        <v>6</v>
      </c>
      <c r="C833" s="191">
        <v>40723</v>
      </c>
      <c r="D833" s="191" t="s">
        <v>984</v>
      </c>
      <c r="E833" s="184">
        <v>40723</v>
      </c>
      <c r="F833" s="192" t="s">
        <v>848</v>
      </c>
      <c r="G833" s="498" t="s">
        <v>927</v>
      </c>
      <c r="H833" s="7" t="s">
        <v>734</v>
      </c>
      <c r="I833" s="256"/>
      <c r="J833" s="256"/>
      <c r="K833" s="614">
        <v>1657019</v>
      </c>
      <c r="L833" s="194" t="s">
        <v>259</v>
      </c>
      <c r="M833" s="194" t="s">
        <v>731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94"/>
      <c r="AB833" s="833"/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61"/>
        <v>6</v>
      </c>
      <c r="C834" s="191">
        <v>40723</v>
      </c>
      <c r="D834" s="191" t="s">
        <v>974</v>
      </c>
      <c r="E834" s="184">
        <v>40723</v>
      </c>
      <c r="F834" s="189" t="s">
        <v>911</v>
      </c>
      <c r="G834" s="498" t="s">
        <v>393</v>
      </c>
      <c r="H834" s="7" t="s">
        <v>733</v>
      </c>
      <c r="I834" s="256">
        <v>17</v>
      </c>
      <c r="J834" s="256">
        <v>22124.823529411766</v>
      </c>
      <c r="K834" s="614">
        <f t="shared" ref="K834:K865" si="62">ROUND(I834*J834,0)</f>
        <v>376122</v>
      </c>
      <c r="L834" s="854" t="s">
        <v>165</v>
      </c>
      <c r="M834" s="854" t="s">
        <v>159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>632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94"/>
      <c r="AB834" s="833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61"/>
        <v>6</v>
      </c>
      <c r="C835" s="191">
        <v>40723</v>
      </c>
      <c r="D835" s="191" t="s">
        <v>974</v>
      </c>
      <c r="E835" s="184">
        <v>40723</v>
      </c>
      <c r="F835" s="189" t="s">
        <v>895</v>
      </c>
      <c r="G835" s="498" t="s">
        <v>393</v>
      </c>
      <c r="H835" s="7" t="s">
        <v>733</v>
      </c>
      <c r="I835" s="256">
        <v>8</v>
      </c>
      <c r="J835" s="256">
        <v>25265.5</v>
      </c>
      <c r="K835" s="614">
        <f t="shared" si="62"/>
        <v>202124</v>
      </c>
      <c r="L835" s="854" t="s">
        <v>165</v>
      </c>
      <c r="M835" s="854" t="s">
        <v>159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>632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94"/>
      <c r="AB835" s="833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61"/>
        <v>6</v>
      </c>
      <c r="C836" s="191">
        <v>40723</v>
      </c>
      <c r="D836" s="191" t="s">
        <v>974</v>
      </c>
      <c r="E836" s="184">
        <v>40723</v>
      </c>
      <c r="F836" s="189" t="s">
        <v>885</v>
      </c>
      <c r="G836" s="498" t="s">
        <v>393</v>
      </c>
      <c r="H836" s="7" t="s">
        <v>733</v>
      </c>
      <c r="I836" s="256">
        <v>38</v>
      </c>
      <c r="J836" s="256">
        <v>25265.5</v>
      </c>
      <c r="K836" s="614">
        <f t="shared" si="62"/>
        <v>960089</v>
      </c>
      <c r="L836" s="854" t="s">
        <v>165</v>
      </c>
      <c r="M836" s="854" t="s">
        <v>159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>632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94"/>
      <c r="AB836" s="833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61"/>
        <v>6</v>
      </c>
      <c r="C837" s="191">
        <v>40723</v>
      </c>
      <c r="D837" s="191" t="s">
        <v>974</v>
      </c>
      <c r="E837" s="184">
        <v>40723</v>
      </c>
      <c r="F837" s="189" t="s">
        <v>912</v>
      </c>
      <c r="G837" s="498" t="s">
        <v>393</v>
      </c>
      <c r="H837" s="7" t="s">
        <v>733</v>
      </c>
      <c r="I837" s="256">
        <v>47</v>
      </c>
      <c r="J837" s="256">
        <v>19142.510638297874</v>
      </c>
      <c r="K837" s="614">
        <f t="shared" si="62"/>
        <v>899698</v>
      </c>
      <c r="L837" s="854" t="s">
        <v>165</v>
      </c>
      <c r="M837" s="854" t="s">
        <v>159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>632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94"/>
      <c r="AB837" s="833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61"/>
        <v>6</v>
      </c>
      <c r="C838" s="191">
        <v>40723</v>
      </c>
      <c r="D838" s="191" t="s">
        <v>974</v>
      </c>
      <c r="E838" s="184">
        <v>40723</v>
      </c>
      <c r="F838" s="189" t="s">
        <v>913</v>
      </c>
      <c r="G838" s="498" t="s">
        <v>393</v>
      </c>
      <c r="H838" s="7" t="s">
        <v>733</v>
      </c>
      <c r="I838" s="256">
        <v>830</v>
      </c>
      <c r="J838" s="256">
        <v>13362.013253012048</v>
      </c>
      <c r="K838" s="614">
        <f t="shared" si="62"/>
        <v>11090471</v>
      </c>
      <c r="L838" s="854" t="s">
        <v>165</v>
      </c>
      <c r="M838" s="854" t="s">
        <v>159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>632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94"/>
      <c r="AB838" s="833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61"/>
        <v>6</v>
      </c>
      <c r="C839" s="191">
        <v>40723</v>
      </c>
      <c r="D839" s="191" t="s">
        <v>974</v>
      </c>
      <c r="E839" s="184">
        <v>40723</v>
      </c>
      <c r="F839" s="189" t="s">
        <v>751</v>
      </c>
      <c r="G839" s="498" t="s">
        <v>393</v>
      </c>
      <c r="H839" s="7" t="s">
        <v>733</v>
      </c>
      <c r="I839" s="256">
        <v>738</v>
      </c>
      <c r="J839" s="256">
        <v>13362.012195121952</v>
      </c>
      <c r="K839" s="614">
        <f t="shared" si="62"/>
        <v>9861165</v>
      </c>
      <c r="L839" s="854" t="s">
        <v>165</v>
      </c>
      <c r="M839" s="854" t="s">
        <v>159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>632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94"/>
      <c r="AB839" s="833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61"/>
        <v>6</v>
      </c>
      <c r="C840" s="191">
        <v>40723</v>
      </c>
      <c r="D840" s="191" t="s">
        <v>974</v>
      </c>
      <c r="E840" s="184">
        <v>40723</v>
      </c>
      <c r="F840" s="189" t="s">
        <v>755</v>
      </c>
      <c r="G840" s="498" t="s">
        <v>393</v>
      </c>
      <c r="H840" s="7" t="s">
        <v>733</v>
      </c>
      <c r="I840" s="256">
        <v>2</v>
      </c>
      <c r="J840" s="256">
        <v>9590.5</v>
      </c>
      <c r="K840" s="614">
        <f t="shared" si="62"/>
        <v>19181</v>
      </c>
      <c r="L840" s="854" t="s">
        <v>165</v>
      </c>
      <c r="M840" s="854" t="s">
        <v>159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>632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94"/>
      <c r="AB840" s="833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61"/>
        <v>6</v>
      </c>
      <c r="C841" s="191">
        <v>40723</v>
      </c>
      <c r="D841" s="191" t="s">
        <v>974</v>
      </c>
      <c r="E841" s="184">
        <v>40723</v>
      </c>
      <c r="F841" s="189" t="s">
        <v>914</v>
      </c>
      <c r="G841" s="498" t="s">
        <v>393</v>
      </c>
      <c r="H841" s="7" t="s">
        <v>733</v>
      </c>
      <c r="I841" s="256">
        <v>2</v>
      </c>
      <c r="J841" s="256">
        <v>10554.5</v>
      </c>
      <c r="K841" s="614">
        <f t="shared" si="62"/>
        <v>21109</v>
      </c>
      <c r="L841" s="854" t="s">
        <v>165</v>
      </c>
      <c r="M841" s="854" t="s">
        <v>159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>632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94"/>
      <c r="AB841" s="833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61"/>
        <v>6</v>
      </c>
      <c r="C842" s="191">
        <v>40723</v>
      </c>
      <c r="D842" s="191" t="s">
        <v>975</v>
      </c>
      <c r="E842" s="184">
        <v>40723</v>
      </c>
      <c r="F842" s="189" t="s">
        <v>914</v>
      </c>
      <c r="G842" s="498" t="s">
        <v>881</v>
      </c>
      <c r="H842" s="7" t="s">
        <v>733</v>
      </c>
      <c r="I842" s="256">
        <v>21</v>
      </c>
      <c r="J842" s="256">
        <v>17305.523809523809</v>
      </c>
      <c r="K842" s="614">
        <f t="shared" si="62"/>
        <v>363416</v>
      </c>
      <c r="L842" s="854" t="s">
        <v>165</v>
      </c>
      <c r="M842" s="854" t="s">
        <v>159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>632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94"/>
      <c r="AB842" s="833"/>
    </row>
    <row r="843" spans="1:28" ht="15.75" customHeight="1">
      <c r="A843" s="204" t="str">
        <f>IF(B843&lt;&gt;"",IF(AND(B843&gt;=_TM1,B843&lt;=_TM2,OR(TH!L843="1111",TH!M843="1111")),TH!D843,""),"")</f>
        <v/>
      </c>
      <c r="B843" s="36">
        <f t="shared" si="61"/>
        <v>6</v>
      </c>
      <c r="C843" s="191">
        <v>40723</v>
      </c>
      <c r="D843" s="191" t="s">
        <v>975</v>
      </c>
      <c r="E843" s="184">
        <v>40723</v>
      </c>
      <c r="F843" s="189" t="s">
        <v>921</v>
      </c>
      <c r="G843" s="498" t="s">
        <v>881</v>
      </c>
      <c r="H843" s="7" t="s">
        <v>733</v>
      </c>
      <c r="I843" s="256">
        <v>33</v>
      </c>
      <c r="J843" s="256">
        <v>17305.515151515152</v>
      </c>
      <c r="K843" s="614">
        <f t="shared" si="62"/>
        <v>571082</v>
      </c>
      <c r="L843" s="854" t="s">
        <v>165</v>
      </c>
      <c r="M843" s="854" t="s">
        <v>159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>632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94"/>
      <c r="AB843" s="833"/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61"/>
        <v>6</v>
      </c>
      <c r="C844" s="191">
        <v>40723</v>
      </c>
      <c r="D844" s="191" t="s">
        <v>975</v>
      </c>
      <c r="E844" s="184">
        <v>40723</v>
      </c>
      <c r="F844" s="189" t="s">
        <v>742</v>
      </c>
      <c r="G844" s="498" t="s">
        <v>881</v>
      </c>
      <c r="H844" s="7" t="s">
        <v>733</v>
      </c>
      <c r="I844" s="256">
        <v>390</v>
      </c>
      <c r="J844" s="256">
        <v>18233.102564102563</v>
      </c>
      <c r="K844" s="614">
        <f t="shared" si="62"/>
        <v>7110910</v>
      </c>
      <c r="L844" s="854" t="s">
        <v>165</v>
      </c>
      <c r="M844" s="854" t="s">
        <v>159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>632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94"/>
      <c r="AB844" s="833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61"/>
        <v>6</v>
      </c>
      <c r="C845" s="191">
        <v>40723</v>
      </c>
      <c r="D845" s="191" t="s">
        <v>975</v>
      </c>
      <c r="E845" s="184">
        <v>40723</v>
      </c>
      <c r="F845" s="189" t="s">
        <v>746</v>
      </c>
      <c r="G845" s="498" t="s">
        <v>881</v>
      </c>
      <c r="H845" s="7" t="s">
        <v>733</v>
      </c>
      <c r="I845" s="256">
        <v>482</v>
      </c>
      <c r="J845" s="256">
        <v>8566.5124481327803</v>
      </c>
      <c r="K845" s="614">
        <f t="shared" si="62"/>
        <v>4129059</v>
      </c>
      <c r="L845" s="854" t="s">
        <v>165</v>
      </c>
      <c r="M845" s="854" t="s">
        <v>159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>632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94"/>
      <c r="AB845" s="833"/>
    </row>
    <row r="846" spans="1:28" ht="15.75" customHeight="1">
      <c r="A846" s="204" t="str">
        <f>IF(B846&lt;&gt;"",IF(AND(B846&gt;=_TM1,B846&lt;=_TM2,OR(TH!L846="1111",TH!M846="1111")),TH!D846,""),"")</f>
        <v/>
      </c>
      <c r="B846" s="36">
        <f t="shared" si="61"/>
        <v>6</v>
      </c>
      <c r="C846" s="191">
        <v>40723</v>
      </c>
      <c r="D846" s="191" t="s">
        <v>975</v>
      </c>
      <c r="E846" s="184">
        <v>40723</v>
      </c>
      <c r="F846" s="189" t="s">
        <v>914</v>
      </c>
      <c r="G846" s="498" t="s">
        <v>881</v>
      </c>
      <c r="H846" s="7" t="s">
        <v>733</v>
      </c>
      <c r="I846" s="256">
        <v>56</v>
      </c>
      <c r="J846" s="256">
        <v>15438.517857142857</v>
      </c>
      <c r="K846" s="614">
        <f t="shared" si="62"/>
        <v>864557</v>
      </c>
      <c r="L846" s="854" t="s">
        <v>165</v>
      </c>
      <c r="M846" s="854" t="s">
        <v>159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>632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94"/>
      <c r="AB846" s="833"/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61"/>
        <v>6</v>
      </c>
      <c r="C847" s="191">
        <v>40723</v>
      </c>
      <c r="D847" s="191" t="s">
        <v>975</v>
      </c>
      <c r="E847" s="184">
        <v>40723</v>
      </c>
      <c r="F847" s="192" t="s">
        <v>922</v>
      </c>
      <c r="G847" s="498" t="s">
        <v>881</v>
      </c>
      <c r="H847" s="7" t="s">
        <v>733</v>
      </c>
      <c r="I847" s="256">
        <v>203</v>
      </c>
      <c r="J847" s="256">
        <v>7385.5123152709357</v>
      </c>
      <c r="K847" s="614">
        <f t="shared" si="62"/>
        <v>1499259</v>
      </c>
      <c r="L847" s="854" t="s">
        <v>165</v>
      </c>
      <c r="M847" s="854" t="s">
        <v>159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>632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94"/>
      <c r="AB847" s="833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61"/>
        <v>6</v>
      </c>
      <c r="C848" s="191">
        <v>40723</v>
      </c>
      <c r="D848" s="191" t="s">
        <v>975</v>
      </c>
      <c r="E848" s="184">
        <v>40723</v>
      </c>
      <c r="F848" s="189" t="s">
        <v>923</v>
      </c>
      <c r="G848" s="498" t="s">
        <v>881</v>
      </c>
      <c r="H848" s="7" t="s">
        <v>733</v>
      </c>
      <c r="I848" s="256">
        <v>1</v>
      </c>
      <c r="J848" s="256">
        <v>5809</v>
      </c>
      <c r="K848" s="614">
        <f t="shared" si="62"/>
        <v>5809</v>
      </c>
      <c r="L848" s="854" t="s">
        <v>165</v>
      </c>
      <c r="M848" s="854" t="s">
        <v>159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94"/>
      <c r="AB848" s="833"/>
    </row>
    <row r="849" spans="1:28" ht="15.75" customHeight="1">
      <c r="A849" s="204" t="str">
        <f>IF(B849&lt;&gt;"",IF(AND(B849&gt;=_TM1,B849&lt;=_TM2,OR(TH!L849="1111",TH!M849="1111")),TH!D849,""),"")</f>
        <v/>
      </c>
      <c r="B849" s="36">
        <f t="shared" si="61"/>
        <v>6</v>
      </c>
      <c r="C849" s="191">
        <v>40723</v>
      </c>
      <c r="D849" s="191" t="s">
        <v>975</v>
      </c>
      <c r="E849" s="184">
        <v>40723</v>
      </c>
      <c r="F849" s="189" t="s">
        <v>748</v>
      </c>
      <c r="G849" s="498" t="s">
        <v>881</v>
      </c>
      <c r="H849" s="7" t="s">
        <v>733</v>
      </c>
      <c r="I849" s="256">
        <v>1</v>
      </c>
      <c r="J849" s="256">
        <v>9591</v>
      </c>
      <c r="K849" s="614">
        <f t="shared" si="62"/>
        <v>9591</v>
      </c>
      <c r="L849" s="854" t="s">
        <v>165</v>
      </c>
      <c r="M849" s="854" t="s">
        <v>159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94"/>
      <c r="AB849" s="833"/>
    </row>
    <row r="850" spans="1:28" ht="15.75" customHeight="1">
      <c r="A850" s="204" t="str">
        <f>IF(B850&lt;&gt;"",IF(AND(B850&gt;=_TM1,B850&lt;=_TM2,OR(TH!L850="1111",TH!M850="1111")),TH!D850,""),"")</f>
        <v/>
      </c>
      <c r="B850" s="36">
        <f t="shared" si="61"/>
        <v>6</v>
      </c>
      <c r="C850" s="191">
        <v>40723</v>
      </c>
      <c r="D850" s="191" t="s">
        <v>976</v>
      </c>
      <c r="E850" s="184">
        <v>40723</v>
      </c>
      <c r="F850" s="189" t="s">
        <v>924</v>
      </c>
      <c r="G850" s="498" t="s">
        <v>888</v>
      </c>
      <c r="H850" s="7" t="s">
        <v>733</v>
      </c>
      <c r="I850" s="256">
        <v>2</v>
      </c>
      <c r="J850" s="256">
        <v>5951.5</v>
      </c>
      <c r="K850" s="614">
        <f t="shared" si="62"/>
        <v>11903</v>
      </c>
      <c r="L850" s="854" t="s">
        <v>165</v>
      </c>
      <c r="M850" s="854" t="s">
        <v>159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94"/>
      <c r="AB850" s="833"/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61"/>
        <v>6</v>
      </c>
      <c r="C851" s="191">
        <v>40723</v>
      </c>
      <c r="D851" s="191" t="s">
        <v>976</v>
      </c>
      <c r="E851" s="184">
        <v>40723</v>
      </c>
      <c r="F851" s="189" t="s">
        <v>759</v>
      </c>
      <c r="G851" s="498" t="s">
        <v>888</v>
      </c>
      <c r="H851" s="7" t="s">
        <v>733</v>
      </c>
      <c r="I851" s="256">
        <v>1</v>
      </c>
      <c r="J851" s="256">
        <v>14807</v>
      </c>
      <c r="K851" s="614">
        <f t="shared" si="62"/>
        <v>14807</v>
      </c>
      <c r="L851" s="854" t="s">
        <v>165</v>
      </c>
      <c r="M851" s="854" t="s">
        <v>159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94"/>
      <c r="AB851" s="833"/>
    </row>
    <row r="852" spans="1:28" ht="15.75" customHeight="1">
      <c r="A852" s="204" t="str">
        <f>IF(B852&lt;&gt;"",IF(AND(B852&gt;=_TM1,B852&lt;=_TM2,OR(TH!L852="1111",TH!M852="1111")),TH!D852,""),"")</f>
        <v/>
      </c>
      <c r="B852" s="36">
        <f t="shared" si="61"/>
        <v>6</v>
      </c>
      <c r="C852" s="191">
        <v>40723</v>
      </c>
      <c r="D852" s="191" t="s">
        <v>976</v>
      </c>
      <c r="E852" s="184">
        <v>40723</v>
      </c>
      <c r="F852" s="189" t="s">
        <v>925</v>
      </c>
      <c r="G852" s="498" t="s">
        <v>888</v>
      </c>
      <c r="H852" s="7" t="s">
        <v>733</v>
      </c>
      <c r="I852" s="256">
        <v>9</v>
      </c>
      <c r="J852" s="256">
        <v>14806.555555555555</v>
      </c>
      <c r="K852" s="614">
        <f t="shared" si="62"/>
        <v>133259</v>
      </c>
      <c r="L852" s="854" t="s">
        <v>165</v>
      </c>
      <c r="M852" s="854" t="s">
        <v>159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94"/>
      <c r="AB852" s="833"/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61"/>
        <v>6</v>
      </c>
      <c r="C853" s="191">
        <v>40723</v>
      </c>
      <c r="D853" s="191" t="s">
        <v>976</v>
      </c>
      <c r="E853" s="184">
        <v>40723</v>
      </c>
      <c r="F853" s="192" t="s">
        <v>926</v>
      </c>
      <c r="G853" s="498" t="s">
        <v>888</v>
      </c>
      <c r="H853" s="7" t="s">
        <v>733</v>
      </c>
      <c r="I853" s="256">
        <v>291</v>
      </c>
      <c r="J853" s="256">
        <v>7483.5120274914088</v>
      </c>
      <c r="K853" s="614">
        <f t="shared" si="62"/>
        <v>2177702</v>
      </c>
      <c r="L853" s="854" t="s">
        <v>165</v>
      </c>
      <c r="M853" s="854" t="s">
        <v>159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94"/>
      <c r="AB853" s="833"/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61"/>
        <v>6</v>
      </c>
      <c r="C854" s="191">
        <v>40723</v>
      </c>
      <c r="D854" s="191" t="s">
        <v>976</v>
      </c>
      <c r="E854" s="184">
        <v>40723</v>
      </c>
      <c r="F854" s="189" t="s">
        <v>914</v>
      </c>
      <c r="G854" s="498" t="s">
        <v>888</v>
      </c>
      <c r="H854" s="7" t="s">
        <v>733</v>
      </c>
      <c r="I854" s="256">
        <v>1</v>
      </c>
      <c r="J854" s="256">
        <v>7484</v>
      </c>
      <c r="K854" s="614">
        <f t="shared" si="62"/>
        <v>7484</v>
      </c>
      <c r="L854" s="854" t="s">
        <v>165</v>
      </c>
      <c r="M854" s="854" t="s">
        <v>159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94"/>
      <c r="AB854" s="833"/>
    </row>
    <row r="855" spans="1:28" ht="15.75" customHeight="1">
      <c r="A855" s="204" t="str">
        <f>IF(B855&lt;&gt;"",IF(AND(B855&gt;=_TM1,B855&lt;=_TM2,OR(TH!L855="1111",TH!M855="1111")),TH!D855,""),"")</f>
        <v/>
      </c>
      <c r="B855" s="36">
        <f t="shared" si="61"/>
        <v>6</v>
      </c>
      <c r="C855" s="191">
        <v>40723</v>
      </c>
      <c r="D855" s="191" t="s">
        <v>976</v>
      </c>
      <c r="E855" s="184">
        <v>40723</v>
      </c>
      <c r="F855" s="189" t="s">
        <v>741</v>
      </c>
      <c r="G855" s="498" t="s">
        <v>888</v>
      </c>
      <c r="H855" s="7" t="s">
        <v>733</v>
      </c>
      <c r="I855" s="256">
        <v>119</v>
      </c>
      <c r="J855" s="256">
        <v>17439.512605042019</v>
      </c>
      <c r="K855" s="614">
        <f t="shared" si="62"/>
        <v>2075302</v>
      </c>
      <c r="L855" s="854" t="s">
        <v>165</v>
      </c>
      <c r="M855" s="854" t="s">
        <v>159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94"/>
      <c r="AB855" s="833"/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si="61"/>
        <v>6</v>
      </c>
      <c r="C856" s="191">
        <v>40723</v>
      </c>
      <c r="D856" s="191" t="s">
        <v>976</v>
      </c>
      <c r="E856" s="184">
        <v>40723</v>
      </c>
      <c r="F856" s="189" t="s">
        <v>904</v>
      </c>
      <c r="G856" s="498" t="s">
        <v>888</v>
      </c>
      <c r="H856" s="7" t="s">
        <v>733</v>
      </c>
      <c r="I856" s="256">
        <v>304</v>
      </c>
      <c r="J856" s="256">
        <v>12545.513157894737</v>
      </c>
      <c r="K856" s="614">
        <f t="shared" si="62"/>
        <v>3813836</v>
      </c>
      <c r="L856" s="854" t="s">
        <v>165</v>
      </c>
      <c r="M856" s="854" t="s">
        <v>159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94"/>
      <c r="AB856" s="833"/>
    </row>
    <row r="857" spans="1:28" ht="15.75" customHeight="1">
      <c r="A857" s="204" t="str">
        <f>IF(B857&lt;&gt;"",IF(AND(B857&gt;=_TM1,B857&lt;=_TM2,OR(TH!L857="1111",TH!M857="1111")),TH!D857,""),"")</f>
        <v/>
      </c>
      <c r="B857" s="36">
        <f t="shared" ref="B857:B920" si="63">IF(C857&lt;&gt;"",MONTH(C857),"")</f>
        <v>6</v>
      </c>
      <c r="C857" s="191">
        <v>40723</v>
      </c>
      <c r="D857" s="191" t="s">
        <v>976</v>
      </c>
      <c r="E857" s="184">
        <v>40723</v>
      </c>
      <c r="F857" s="189" t="s">
        <v>903</v>
      </c>
      <c r="G857" s="498" t="s">
        <v>888</v>
      </c>
      <c r="H857" s="7" t="s">
        <v>733</v>
      </c>
      <c r="I857" s="256">
        <v>65</v>
      </c>
      <c r="J857" s="256">
        <v>8499.5076923076922</v>
      </c>
      <c r="K857" s="614">
        <f t="shared" si="62"/>
        <v>552468</v>
      </c>
      <c r="L857" s="854" t="s">
        <v>165</v>
      </c>
      <c r="M857" s="854" t="s">
        <v>159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94"/>
      <c r="AB857" s="833"/>
    </row>
    <row r="858" spans="1:28" ht="15.75" customHeight="1">
      <c r="A858" s="204" t="str">
        <f>IF(B858&lt;&gt;"",IF(AND(B858&gt;=_TM1,B858&lt;=_TM2,OR(TH!L858="1111",TH!M858="1111")),TH!D858,""),"")</f>
        <v/>
      </c>
      <c r="B858" s="36">
        <f t="shared" si="63"/>
        <v>6</v>
      </c>
      <c r="C858" s="191">
        <v>40723</v>
      </c>
      <c r="D858" s="191" t="s">
        <v>977</v>
      </c>
      <c r="E858" s="184">
        <v>40723</v>
      </c>
      <c r="F858" s="189" t="s">
        <v>925</v>
      </c>
      <c r="G858" s="498" t="s">
        <v>894</v>
      </c>
      <c r="H858" s="7" t="s">
        <v>733</v>
      </c>
      <c r="I858" s="256">
        <v>32</v>
      </c>
      <c r="J858" s="256">
        <v>14806.5</v>
      </c>
      <c r="K858" s="614">
        <f t="shared" si="62"/>
        <v>473808</v>
      </c>
      <c r="L858" s="854" t="s">
        <v>165</v>
      </c>
      <c r="M858" s="854" t="s">
        <v>159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94"/>
      <c r="AB858" s="833"/>
    </row>
    <row r="859" spans="1:28" ht="15.75" customHeight="1">
      <c r="A859" s="204" t="str">
        <f>IF(B859&lt;&gt;"",IF(AND(B859&gt;=_TM1,B859&lt;=_TM2,OR(TH!L859="1111",TH!M859="1111")),TH!D859,""),"")</f>
        <v/>
      </c>
      <c r="B859" s="36">
        <f t="shared" si="63"/>
        <v>6</v>
      </c>
      <c r="C859" s="191">
        <v>40723</v>
      </c>
      <c r="D859" s="191" t="s">
        <v>977</v>
      </c>
      <c r="E859" s="184">
        <v>40723</v>
      </c>
      <c r="F859" s="189" t="s">
        <v>750</v>
      </c>
      <c r="G859" s="498" t="s">
        <v>894</v>
      </c>
      <c r="H859" s="7" t="s">
        <v>733</v>
      </c>
      <c r="I859" s="256">
        <v>5</v>
      </c>
      <c r="J859" s="256">
        <v>15586</v>
      </c>
      <c r="K859" s="614">
        <f t="shared" si="62"/>
        <v>77930</v>
      </c>
      <c r="L859" s="854" t="s">
        <v>165</v>
      </c>
      <c r="M859" s="854" t="s">
        <v>159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94"/>
      <c r="AB859" s="833"/>
    </row>
    <row r="860" spans="1:28" ht="15.75" customHeight="1">
      <c r="A860" s="204" t="str">
        <f>IF(B860&lt;&gt;"",IF(AND(B860&gt;=_TM1,B860&lt;=_TM2,OR(TH!L860="1111",TH!M860="1111")),TH!D860,""),"")</f>
        <v/>
      </c>
      <c r="B860" s="36">
        <f t="shared" si="63"/>
        <v>6</v>
      </c>
      <c r="C860" s="191">
        <v>40723</v>
      </c>
      <c r="D860" s="191" t="s">
        <v>977</v>
      </c>
      <c r="E860" s="184">
        <v>40723</v>
      </c>
      <c r="F860" s="189" t="s">
        <v>913</v>
      </c>
      <c r="G860" s="498" t="s">
        <v>894</v>
      </c>
      <c r="H860" s="7" t="s">
        <v>733</v>
      </c>
      <c r="I860" s="256">
        <v>80</v>
      </c>
      <c r="J860" s="256">
        <v>13362.012500000001</v>
      </c>
      <c r="K860" s="614">
        <f t="shared" si="62"/>
        <v>1068961</v>
      </c>
      <c r="L860" s="854" t="s">
        <v>165</v>
      </c>
      <c r="M860" s="854" t="s">
        <v>159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>632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94"/>
      <c r="AB860" s="833"/>
    </row>
    <row r="861" spans="1:28" ht="15.75" customHeight="1">
      <c r="A861" s="204" t="str">
        <f>IF(B861&lt;&gt;"",IF(AND(B861&gt;=_TM1,B861&lt;=_TM2,OR(TH!L861="1111",TH!M861="1111")),TH!D861,""),"")</f>
        <v/>
      </c>
      <c r="B861" s="36">
        <f t="shared" si="63"/>
        <v>6</v>
      </c>
      <c r="C861" s="191">
        <v>40723</v>
      </c>
      <c r="D861" s="191" t="s">
        <v>977</v>
      </c>
      <c r="E861" s="184">
        <v>40723</v>
      </c>
      <c r="F861" s="189" t="s">
        <v>746</v>
      </c>
      <c r="G861" s="498" t="s">
        <v>894</v>
      </c>
      <c r="H861" s="7" t="s">
        <v>733</v>
      </c>
      <c r="I861" s="256">
        <v>49</v>
      </c>
      <c r="J861" s="256">
        <v>8499.5102040816328</v>
      </c>
      <c r="K861" s="614">
        <f t="shared" si="62"/>
        <v>416476</v>
      </c>
      <c r="L861" s="854" t="s">
        <v>165</v>
      </c>
      <c r="M861" s="854" t="s">
        <v>159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>632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94"/>
      <c r="AB861" s="833"/>
    </row>
    <row r="862" spans="1:28" ht="15.75" customHeight="1">
      <c r="A862" s="204" t="str">
        <f>IF(B862&lt;&gt;"",IF(AND(B862&gt;=_TM1,B862&lt;=_TM2,OR(TH!L862="1111",TH!M862="1111")),TH!D862,""),"")</f>
        <v/>
      </c>
      <c r="B862" s="36">
        <f t="shared" si="63"/>
        <v>6</v>
      </c>
      <c r="C862" s="191">
        <v>40723</v>
      </c>
      <c r="D862" s="191" t="s">
        <v>977</v>
      </c>
      <c r="E862" s="184">
        <v>40723</v>
      </c>
      <c r="F862" s="189" t="s">
        <v>758</v>
      </c>
      <c r="G862" s="498" t="s">
        <v>894</v>
      </c>
      <c r="H862" s="7" t="s">
        <v>733</v>
      </c>
      <c r="I862" s="256">
        <v>2</v>
      </c>
      <c r="J862" s="256">
        <v>5951.5</v>
      </c>
      <c r="K862" s="614">
        <f t="shared" si="62"/>
        <v>11903</v>
      </c>
      <c r="L862" s="854" t="s">
        <v>165</v>
      </c>
      <c r="M862" s="854" t="s">
        <v>159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>632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94"/>
      <c r="AB862" s="833"/>
    </row>
    <row r="863" spans="1:28" ht="15.75" customHeight="1">
      <c r="A863" s="204" t="str">
        <f>IF(B863&lt;&gt;"",IF(AND(B863&gt;=_TM1,B863&lt;=_TM2,OR(TH!L863="1111",TH!M863="1111")),TH!D863,""),"")</f>
        <v/>
      </c>
      <c r="B863" s="36">
        <f t="shared" si="63"/>
        <v>6</v>
      </c>
      <c r="C863" s="191">
        <v>40723</v>
      </c>
      <c r="D863" s="191" t="s">
        <v>977</v>
      </c>
      <c r="E863" s="184">
        <v>40723</v>
      </c>
      <c r="F863" s="189" t="s">
        <v>928</v>
      </c>
      <c r="G863" s="498" t="s">
        <v>894</v>
      </c>
      <c r="H863" s="7" t="s">
        <v>733</v>
      </c>
      <c r="I863" s="256">
        <v>2</v>
      </c>
      <c r="J863" s="256">
        <v>9590.5</v>
      </c>
      <c r="K863" s="614">
        <f t="shared" si="62"/>
        <v>19181</v>
      </c>
      <c r="L863" s="854" t="s">
        <v>165</v>
      </c>
      <c r="M863" s="854" t="s">
        <v>159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>632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94"/>
      <c r="AB863" s="833"/>
    </row>
    <row r="864" spans="1:28" ht="15.75" customHeight="1">
      <c r="A864" s="204" t="str">
        <f>IF(B864&lt;&gt;"",IF(AND(B864&gt;=_TM1,B864&lt;=_TM2,OR(TH!L864="1111",TH!M864="1111")),TH!D864,""),"")</f>
        <v/>
      </c>
      <c r="B864" s="36">
        <f t="shared" si="63"/>
        <v>6</v>
      </c>
      <c r="C864" s="191">
        <v>40723</v>
      </c>
      <c r="D864" s="191" t="s">
        <v>977</v>
      </c>
      <c r="E864" s="184">
        <v>40723</v>
      </c>
      <c r="F864" s="192" t="s">
        <v>926</v>
      </c>
      <c r="G864" s="498" t="s">
        <v>894</v>
      </c>
      <c r="H864" s="7" t="s">
        <v>733</v>
      </c>
      <c r="I864" s="256">
        <v>5</v>
      </c>
      <c r="J864" s="256">
        <v>7483.6</v>
      </c>
      <c r="K864" s="614">
        <f t="shared" si="62"/>
        <v>37418</v>
      </c>
      <c r="L864" s="854" t="s">
        <v>165</v>
      </c>
      <c r="M864" s="854" t="s">
        <v>159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>632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94"/>
      <c r="AB864" s="833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63"/>
        <v>6</v>
      </c>
      <c r="C865" s="191">
        <v>40723</v>
      </c>
      <c r="D865" s="191" t="s">
        <v>977</v>
      </c>
      <c r="E865" s="184">
        <v>40723</v>
      </c>
      <c r="F865" s="189" t="s">
        <v>755</v>
      </c>
      <c r="G865" s="498" t="s">
        <v>894</v>
      </c>
      <c r="H865" s="7" t="s">
        <v>733</v>
      </c>
      <c r="I865" s="256">
        <v>1</v>
      </c>
      <c r="J865" s="256">
        <v>9591</v>
      </c>
      <c r="K865" s="614">
        <f t="shared" si="62"/>
        <v>9591</v>
      </c>
      <c r="L865" s="854" t="s">
        <v>165</v>
      </c>
      <c r="M865" s="854" t="s">
        <v>159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>632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94"/>
      <c r="AB865" s="833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63"/>
        <v>6</v>
      </c>
      <c r="C866" s="191">
        <v>40723</v>
      </c>
      <c r="D866" s="191" t="s">
        <v>978</v>
      </c>
      <c r="E866" s="184">
        <v>40723</v>
      </c>
      <c r="F866" s="189" t="s">
        <v>757</v>
      </c>
      <c r="G866" s="498" t="s">
        <v>915</v>
      </c>
      <c r="H866" s="7" t="s">
        <v>733</v>
      </c>
      <c r="I866" s="256">
        <v>1</v>
      </c>
      <c r="J866" s="256">
        <v>5809</v>
      </c>
      <c r="K866" s="614">
        <f t="shared" ref="K866:K897" si="64">ROUND(I866*J866,0)</f>
        <v>5809</v>
      </c>
      <c r="L866" s="854" t="s">
        <v>165</v>
      </c>
      <c r="M866" s="854" t="s">
        <v>159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>632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94"/>
      <c r="AB866" s="833"/>
    </row>
    <row r="867" spans="1:28" ht="15.75" customHeight="1">
      <c r="A867" s="204" t="str">
        <f>IF(B867&lt;&gt;"",IF(AND(B867&gt;=_TM1,B867&lt;=_TM2,OR(TH!L867="1111",TH!M867="1111")),TH!D867,""),"")</f>
        <v/>
      </c>
      <c r="B867" s="36">
        <f t="shared" si="63"/>
        <v>6</v>
      </c>
      <c r="C867" s="191">
        <v>40723</v>
      </c>
      <c r="D867" s="191" t="s">
        <v>978</v>
      </c>
      <c r="E867" s="184">
        <v>40723</v>
      </c>
      <c r="F867" s="189" t="s">
        <v>753</v>
      </c>
      <c r="G867" s="498" t="s">
        <v>915</v>
      </c>
      <c r="H867" s="7" t="s">
        <v>733</v>
      </c>
      <c r="I867" s="256">
        <v>3</v>
      </c>
      <c r="J867" s="256">
        <v>15438.666666666666</v>
      </c>
      <c r="K867" s="614">
        <f t="shared" si="64"/>
        <v>46316</v>
      </c>
      <c r="L867" s="854" t="s">
        <v>165</v>
      </c>
      <c r="M867" s="854" t="s">
        <v>159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>632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94"/>
      <c r="AB867" s="833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63"/>
        <v>6</v>
      </c>
      <c r="C868" s="191">
        <v>40723</v>
      </c>
      <c r="D868" s="191" t="s">
        <v>978</v>
      </c>
      <c r="E868" s="184">
        <v>40723</v>
      </c>
      <c r="F868" s="189" t="s">
        <v>747</v>
      </c>
      <c r="G868" s="498" t="s">
        <v>915</v>
      </c>
      <c r="H868" s="7" t="s">
        <v>733</v>
      </c>
      <c r="I868" s="256">
        <v>2</v>
      </c>
      <c r="J868" s="256">
        <v>9590.5</v>
      </c>
      <c r="K868" s="614">
        <f t="shared" si="64"/>
        <v>19181</v>
      </c>
      <c r="L868" s="854" t="s">
        <v>165</v>
      </c>
      <c r="M868" s="854" t="s">
        <v>159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>632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94"/>
      <c r="AB868" s="833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63"/>
        <v>6</v>
      </c>
      <c r="C869" s="191">
        <v>40723</v>
      </c>
      <c r="D869" s="191" t="s">
        <v>978</v>
      </c>
      <c r="E869" s="184">
        <v>40723</v>
      </c>
      <c r="F869" s="192" t="s">
        <v>922</v>
      </c>
      <c r="G869" s="498" t="s">
        <v>915</v>
      </c>
      <c r="H869" s="7" t="s">
        <v>733</v>
      </c>
      <c r="I869" s="256">
        <v>8</v>
      </c>
      <c r="J869" s="256">
        <v>7385.5</v>
      </c>
      <c r="K869" s="614">
        <f t="shared" si="64"/>
        <v>59084</v>
      </c>
      <c r="L869" s="854" t="s">
        <v>165</v>
      </c>
      <c r="M869" s="854" t="s">
        <v>159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>632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94"/>
      <c r="AB869" s="833"/>
    </row>
    <row r="870" spans="1:28" ht="15.75" customHeight="1">
      <c r="A870" s="204" t="str">
        <f>IF(B870&lt;&gt;"",IF(AND(B870&gt;=_TM1,B870&lt;=_TM2,OR(TH!L870="1111",TH!M870="1111")),TH!D870,""),"")</f>
        <v/>
      </c>
      <c r="B870" s="36">
        <f t="shared" si="63"/>
        <v>6</v>
      </c>
      <c r="C870" s="191">
        <v>40723</v>
      </c>
      <c r="D870" s="191" t="s">
        <v>978</v>
      </c>
      <c r="E870" s="184">
        <v>40723</v>
      </c>
      <c r="F870" s="189" t="s">
        <v>745</v>
      </c>
      <c r="G870" s="498" t="s">
        <v>915</v>
      </c>
      <c r="H870" s="7" t="s">
        <v>733</v>
      </c>
      <c r="I870" s="256">
        <v>1</v>
      </c>
      <c r="J870" s="256">
        <v>7484</v>
      </c>
      <c r="K870" s="614">
        <f t="shared" si="64"/>
        <v>7484</v>
      </c>
      <c r="L870" s="854" t="s">
        <v>165</v>
      </c>
      <c r="M870" s="854" t="s">
        <v>159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>632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94"/>
      <c r="AB870" s="833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63"/>
        <v>6</v>
      </c>
      <c r="C871" s="191">
        <v>40723</v>
      </c>
      <c r="D871" s="191" t="s">
        <v>978</v>
      </c>
      <c r="E871" s="184">
        <v>40723</v>
      </c>
      <c r="F871" s="189" t="s">
        <v>748</v>
      </c>
      <c r="G871" s="498" t="s">
        <v>915</v>
      </c>
      <c r="H871" s="7" t="s">
        <v>733</v>
      </c>
      <c r="I871" s="256">
        <v>1</v>
      </c>
      <c r="J871" s="256">
        <v>9591</v>
      </c>
      <c r="K871" s="614">
        <f t="shared" si="64"/>
        <v>9591</v>
      </c>
      <c r="L871" s="854" t="s">
        <v>165</v>
      </c>
      <c r="M871" s="854" t="s">
        <v>159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>632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94"/>
      <c r="AB871" s="833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63"/>
        <v>6</v>
      </c>
      <c r="C872" s="191">
        <v>40723</v>
      </c>
      <c r="D872" s="191" t="s">
        <v>978</v>
      </c>
      <c r="E872" s="184">
        <v>40723</v>
      </c>
      <c r="F872" s="189" t="s">
        <v>749</v>
      </c>
      <c r="G872" s="498" t="s">
        <v>915</v>
      </c>
      <c r="H872" s="7" t="s">
        <v>733</v>
      </c>
      <c r="I872" s="256">
        <v>4</v>
      </c>
      <c r="J872" s="256">
        <v>10554.5</v>
      </c>
      <c r="K872" s="614">
        <f t="shared" si="64"/>
        <v>42218</v>
      </c>
      <c r="L872" s="854" t="s">
        <v>165</v>
      </c>
      <c r="M872" s="854" t="s">
        <v>159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>632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94"/>
      <c r="AB872" s="833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63"/>
        <v>6</v>
      </c>
      <c r="C873" s="191">
        <v>40723</v>
      </c>
      <c r="D873" s="191" t="s">
        <v>978</v>
      </c>
      <c r="E873" s="184">
        <v>40723</v>
      </c>
      <c r="F873" s="189" t="s">
        <v>754</v>
      </c>
      <c r="G873" s="498" t="s">
        <v>915</v>
      </c>
      <c r="H873" s="7" t="s">
        <v>733</v>
      </c>
      <c r="I873" s="256">
        <v>1</v>
      </c>
      <c r="J873" s="256">
        <v>9591</v>
      </c>
      <c r="K873" s="614">
        <f t="shared" si="64"/>
        <v>9591</v>
      </c>
      <c r="L873" s="854" t="s">
        <v>165</v>
      </c>
      <c r="M873" s="854" t="s">
        <v>159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>632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94"/>
      <c r="AB873" s="833"/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63"/>
        <v>6</v>
      </c>
      <c r="C874" s="191">
        <v>40723</v>
      </c>
      <c r="D874" s="191" t="s">
        <v>979</v>
      </c>
      <c r="E874" s="184">
        <v>40723</v>
      </c>
      <c r="F874" s="189" t="s">
        <v>930</v>
      </c>
      <c r="G874" s="498" t="s">
        <v>916</v>
      </c>
      <c r="H874" s="7" t="s">
        <v>733</v>
      </c>
      <c r="I874" s="256">
        <v>2</v>
      </c>
      <c r="J874" s="256">
        <v>5808.5</v>
      </c>
      <c r="K874" s="614">
        <f t="shared" si="64"/>
        <v>11617</v>
      </c>
      <c r="L874" s="854" t="s">
        <v>165</v>
      </c>
      <c r="M874" s="854" t="s">
        <v>159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>632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94"/>
      <c r="AB874" s="833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63"/>
        <v>6</v>
      </c>
      <c r="C875" s="191">
        <v>40723</v>
      </c>
      <c r="D875" s="191" t="s">
        <v>979</v>
      </c>
      <c r="E875" s="184">
        <v>40723</v>
      </c>
      <c r="F875" s="189" t="s">
        <v>931</v>
      </c>
      <c r="G875" s="498" t="s">
        <v>916</v>
      </c>
      <c r="H875" s="7" t="s">
        <v>733</v>
      </c>
      <c r="I875" s="256">
        <v>2</v>
      </c>
      <c r="J875" s="256">
        <v>10554.5</v>
      </c>
      <c r="K875" s="614">
        <f t="shared" si="64"/>
        <v>21109</v>
      </c>
      <c r="L875" s="854" t="s">
        <v>165</v>
      </c>
      <c r="M875" s="854" t="s">
        <v>159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>632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94"/>
      <c r="AB875" s="833"/>
    </row>
    <row r="876" spans="1:28" ht="15.75" customHeight="1">
      <c r="A876" s="204" t="str">
        <f>IF(B876&lt;&gt;"",IF(AND(B876&gt;=_TM1,B876&lt;=_TM2,OR(TH!L876="1111",TH!M876="1111")),TH!D876,""),"")</f>
        <v/>
      </c>
      <c r="B876" s="36">
        <f t="shared" si="63"/>
        <v>6</v>
      </c>
      <c r="C876" s="191">
        <v>40723</v>
      </c>
      <c r="D876" s="191" t="s">
        <v>979</v>
      </c>
      <c r="E876" s="184">
        <v>40723</v>
      </c>
      <c r="F876" s="189" t="s">
        <v>744</v>
      </c>
      <c r="G876" s="498" t="s">
        <v>916</v>
      </c>
      <c r="H876" s="7" t="s">
        <v>733</v>
      </c>
      <c r="I876" s="256">
        <v>37</v>
      </c>
      <c r="J876" s="256">
        <v>13362</v>
      </c>
      <c r="K876" s="614">
        <f t="shared" si="64"/>
        <v>494394</v>
      </c>
      <c r="L876" s="854" t="s">
        <v>165</v>
      </c>
      <c r="M876" s="854" t="s">
        <v>159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>632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94"/>
      <c r="AB876" s="833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63"/>
        <v>6</v>
      </c>
      <c r="C877" s="191">
        <v>40723</v>
      </c>
      <c r="D877" s="191" t="s">
        <v>979</v>
      </c>
      <c r="E877" s="184">
        <v>40723</v>
      </c>
      <c r="F877" s="189" t="s">
        <v>932</v>
      </c>
      <c r="G877" s="498" t="s">
        <v>916</v>
      </c>
      <c r="H877" s="7" t="s">
        <v>733</v>
      </c>
      <c r="I877" s="256">
        <v>897</v>
      </c>
      <c r="J877" s="256">
        <v>9361.1794871794864</v>
      </c>
      <c r="K877" s="614">
        <f t="shared" si="64"/>
        <v>8396978</v>
      </c>
      <c r="L877" s="854" t="s">
        <v>165</v>
      </c>
      <c r="M877" s="854" t="s">
        <v>159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>632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94"/>
      <c r="AB877" s="833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63"/>
        <v>6</v>
      </c>
      <c r="C878" s="191">
        <v>40723</v>
      </c>
      <c r="D878" s="191" t="s">
        <v>979</v>
      </c>
      <c r="E878" s="184">
        <v>40723</v>
      </c>
      <c r="F878" s="189" t="s">
        <v>929</v>
      </c>
      <c r="G878" s="498" t="s">
        <v>916</v>
      </c>
      <c r="H878" s="7" t="s">
        <v>733</v>
      </c>
      <c r="I878" s="256">
        <v>917</v>
      </c>
      <c r="J878" s="256">
        <v>2523.9182115594331</v>
      </c>
      <c r="K878" s="614">
        <f t="shared" si="64"/>
        <v>2314433</v>
      </c>
      <c r="L878" s="854" t="s">
        <v>165</v>
      </c>
      <c r="M878" s="854" t="s">
        <v>159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>632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94"/>
      <c r="AB878" s="833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63"/>
        <v>6</v>
      </c>
      <c r="C879" s="191">
        <v>40723</v>
      </c>
      <c r="D879" s="191" t="s">
        <v>979</v>
      </c>
      <c r="E879" s="184">
        <v>40723</v>
      </c>
      <c r="F879" s="189" t="s">
        <v>933</v>
      </c>
      <c r="G879" s="498" t="s">
        <v>916</v>
      </c>
      <c r="H879" s="7" t="s">
        <v>733</v>
      </c>
      <c r="I879" s="256">
        <v>169</v>
      </c>
      <c r="J879" s="256">
        <v>7385.5147928994083</v>
      </c>
      <c r="K879" s="614">
        <f t="shared" si="64"/>
        <v>1248152</v>
      </c>
      <c r="L879" s="854" t="s">
        <v>165</v>
      </c>
      <c r="M879" s="854" t="s">
        <v>159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>632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94"/>
      <c r="AB879" s="833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63"/>
        <v>6</v>
      </c>
      <c r="C880" s="191">
        <v>40723</v>
      </c>
      <c r="D880" s="191" t="s">
        <v>979</v>
      </c>
      <c r="E880" s="184">
        <v>40723</v>
      </c>
      <c r="F880" s="189" t="s">
        <v>929</v>
      </c>
      <c r="G880" s="498" t="s">
        <v>916</v>
      </c>
      <c r="H880" s="7" t="s">
        <v>733</v>
      </c>
      <c r="I880" s="256">
        <v>170</v>
      </c>
      <c r="J880" s="256">
        <v>2471.7647058823532</v>
      </c>
      <c r="K880" s="614">
        <f t="shared" si="64"/>
        <v>420200</v>
      </c>
      <c r="L880" s="854" t="s">
        <v>165</v>
      </c>
      <c r="M880" s="854" t="s">
        <v>159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>632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94"/>
      <c r="AB880" s="833"/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63"/>
        <v>6</v>
      </c>
      <c r="C881" s="191">
        <v>40723</v>
      </c>
      <c r="D881" s="191" t="s">
        <v>979</v>
      </c>
      <c r="E881" s="184">
        <v>40723</v>
      </c>
      <c r="F881" s="189" t="s">
        <v>742</v>
      </c>
      <c r="G881" s="498" t="s">
        <v>916</v>
      </c>
      <c r="H881" s="7" t="s">
        <v>733</v>
      </c>
      <c r="I881" s="256">
        <v>442</v>
      </c>
      <c r="J881" s="256">
        <v>18786.513574660632</v>
      </c>
      <c r="K881" s="614">
        <f t="shared" si="64"/>
        <v>8303639</v>
      </c>
      <c r="L881" s="854" t="s">
        <v>165</v>
      </c>
      <c r="M881" s="854" t="s">
        <v>159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>632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94"/>
      <c r="AB881" s="833"/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63"/>
        <v>6</v>
      </c>
      <c r="C882" s="191">
        <v>40723</v>
      </c>
      <c r="D882" s="191" t="s">
        <v>980</v>
      </c>
      <c r="E882" s="184">
        <v>40723</v>
      </c>
      <c r="F882" s="189" t="s">
        <v>934</v>
      </c>
      <c r="G882" s="498" t="s">
        <v>917</v>
      </c>
      <c r="H882" s="7" t="s">
        <v>733</v>
      </c>
      <c r="I882" s="256">
        <v>36</v>
      </c>
      <c r="J882" s="256">
        <v>17039.5</v>
      </c>
      <c r="K882" s="614">
        <f t="shared" si="64"/>
        <v>613422</v>
      </c>
      <c r="L882" s="854" t="s">
        <v>165</v>
      </c>
      <c r="M882" s="854" t="s">
        <v>159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>632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94"/>
      <c r="AB882" s="833"/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63"/>
        <v>6</v>
      </c>
      <c r="C883" s="191">
        <v>40723</v>
      </c>
      <c r="D883" s="191" t="s">
        <v>980</v>
      </c>
      <c r="E883" s="184">
        <v>40723</v>
      </c>
      <c r="F883" s="189" t="s">
        <v>929</v>
      </c>
      <c r="G883" s="498" t="s">
        <v>917</v>
      </c>
      <c r="H883" s="7" t="s">
        <v>733</v>
      </c>
      <c r="I883" s="256">
        <v>90</v>
      </c>
      <c r="J883" s="256">
        <v>2471.7666666666669</v>
      </c>
      <c r="K883" s="614">
        <f t="shared" si="64"/>
        <v>222459</v>
      </c>
      <c r="L883" s="854" t="s">
        <v>165</v>
      </c>
      <c r="M883" s="854" t="s">
        <v>159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>632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94"/>
      <c r="AB883" s="833"/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63"/>
        <v>6</v>
      </c>
      <c r="C884" s="191">
        <v>40723</v>
      </c>
      <c r="D884" s="191" t="s">
        <v>980</v>
      </c>
      <c r="E884" s="184">
        <v>40723</v>
      </c>
      <c r="F884" s="189" t="s">
        <v>929</v>
      </c>
      <c r="G884" s="498" t="s">
        <v>917</v>
      </c>
      <c r="H884" s="7" t="s">
        <v>733</v>
      </c>
      <c r="I884" s="256">
        <v>164</v>
      </c>
      <c r="J884" s="256">
        <v>2471.7621951219512</v>
      </c>
      <c r="K884" s="614">
        <f t="shared" si="64"/>
        <v>405369</v>
      </c>
      <c r="L884" s="854" t="s">
        <v>165</v>
      </c>
      <c r="M884" s="854" t="s">
        <v>159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>632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94"/>
      <c r="AB884" s="833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63"/>
        <v>6</v>
      </c>
      <c r="C885" s="191">
        <v>40723</v>
      </c>
      <c r="D885" s="191" t="s">
        <v>980</v>
      </c>
      <c r="E885" s="184">
        <v>40723</v>
      </c>
      <c r="F885" s="189" t="s">
        <v>743</v>
      </c>
      <c r="G885" s="498" t="s">
        <v>917</v>
      </c>
      <c r="H885" s="7" t="s">
        <v>733</v>
      </c>
      <c r="I885" s="256">
        <v>639</v>
      </c>
      <c r="J885" s="256">
        <v>18443.433489827858</v>
      </c>
      <c r="K885" s="614">
        <f t="shared" si="64"/>
        <v>11785354</v>
      </c>
      <c r="L885" s="854" t="s">
        <v>165</v>
      </c>
      <c r="M885" s="854" t="s">
        <v>159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>632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94"/>
      <c r="AB885" s="833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63"/>
        <v>6</v>
      </c>
      <c r="C886" s="191">
        <v>40723</v>
      </c>
      <c r="D886" s="191" t="s">
        <v>980</v>
      </c>
      <c r="E886" s="184">
        <v>40723</v>
      </c>
      <c r="F886" s="189" t="s">
        <v>929</v>
      </c>
      <c r="G886" s="498" t="s">
        <v>917</v>
      </c>
      <c r="H886" s="7" t="s">
        <v>733</v>
      </c>
      <c r="I886" s="256">
        <v>210</v>
      </c>
      <c r="J886" s="256">
        <v>5808.5142857142855</v>
      </c>
      <c r="K886" s="614">
        <f t="shared" si="64"/>
        <v>1219788</v>
      </c>
      <c r="L886" s="854" t="s">
        <v>165</v>
      </c>
      <c r="M886" s="854" t="s">
        <v>159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>632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94"/>
      <c r="AB886" s="833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63"/>
        <v>6</v>
      </c>
      <c r="C887" s="191">
        <v>40723</v>
      </c>
      <c r="D887" s="191" t="s">
        <v>980</v>
      </c>
      <c r="E887" s="184">
        <v>40723</v>
      </c>
      <c r="F887" s="189" t="s">
        <v>929</v>
      </c>
      <c r="G887" s="498" t="s">
        <v>917</v>
      </c>
      <c r="H887" s="7" t="s">
        <v>733</v>
      </c>
      <c r="I887" s="256">
        <v>422</v>
      </c>
      <c r="J887" s="256">
        <v>3584.0118483412321</v>
      </c>
      <c r="K887" s="614">
        <f t="shared" si="64"/>
        <v>1512453</v>
      </c>
      <c r="L887" s="854" t="s">
        <v>165</v>
      </c>
      <c r="M887" s="854" t="s">
        <v>159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>632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94"/>
      <c r="AB887" s="833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63"/>
        <v>6</v>
      </c>
      <c r="C888" s="191">
        <v>40723</v>
      </c>
      <c r="D888" s="191" t="s">
        <v>980</v>
      </c>
      <c r="E888" s="184">
        <v>40723</v>
      </c>
      <c r="F888" s="189" t="s">
        <v>741</v>
      </c>
      <c r="G888" s="498" t="s">
        <v>917</v>
      </c>
      <c r="H888" s="7" t="s">
        <v>733</v>
      </c>
      <c r="I888" s="256">
        <v>209</v>
      </c>
      <c r="J888" s="256">
        <v>17381.808612440193</v>
      </c>
      <c r="K888" s="614">
        <f t="shared" si="64"/>
        <v>3632798</v>
      </c>
      <c r="L888" s="854" t="s">
        <v>165</v>
      </c>
      <c r="M888" s="854" t="s">
        <v>159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>632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94"/>
      <c r="AB888" s="833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63"/>
        <v>6</v>
      </c>
      <c r="C889" s="191">
        <v>40723</v>
      </c>
      <c r="D889" s="191" t="s">
        <v>980</v>
      </c>
      <c r="E889" s="184">
        <v>40723</v>
      </c>
      <c r="F889" s="189" t="s">
        <v>935</v>
      </c>
      <c r="G889" s="498" t="s">
        <v>917</v>
      </c>
      <c r="H889" s="7" t="s">
        <v>733</v>
      </c>
      <c r="I889" s="256">
        <v>55</v>
      </c>
      <c r="J889" s="256">
        <v>17595.436363636363</v>
      </c>
      <c r="K889" s="614">
        <f t="shared" si="64"/>
        <v>967749</v>
      </c>
      <c r="L889" s="854" t="s">
        <v>165</v>
      </c>
      <c r="M889" s="854" t="s">
        <v>159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>632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94"/>
      <c r="AB889" s="833"/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63"/>
        <v>6</v>
      </c>
      <c r="C890" s="191">
        <v>40723</v>
      </c>
      <c r="D890" s="191" t="s">
        <v>981</v>
      </c>
      <c r="E890" s="184">
        <v>40723</v>
      </c>
      <c r="F890" s="189" t="s">
        <v>936</v>
      </c>
      <c r="G890" s="498" t="s">
        <v>918</v>
      </c>
      <c r="H890" s="7" t="s">
        <v>733</v>
      </c>
      <c r="I890" s="256">
        <v>40</v>
      </c>
      <c r="J890" s="256">
        <v>13362.025</v>
      </c>
      <c r="K890" s="614">
        <f t="shared" si="64"/>
        <v>534481</v>
      </c>
      <c r="L890" s="854" t="s">
        <v>165</v>
      </c>
      <c r="M890" s="854" t="s">
        <v>159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>632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94"/>
      <c r="AB890" s="833"/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63"/>
        <v>6</v>
      </c>
      <c r="C891" s="191">
        <v>40723</v>
      </c>
      <c r="D891" s="191" t="s">
        <v>981</v>
      </c>
      <c r="E891" s="184">
        <v>40723</v>
      </c>
      <c r="F891" s="189" t="s">
        <v>904</v>
      </c>
      <c r="G891" s="498" t="s">
        <v>918</v>
      </c>
      <c r="H891" s="7" t="s">
        <v>733</v>
      </c>
      <c r="I891" s="256">
        <v>2</v>
      </c>
      <c r="J891" s="256">
        <v>8566.5</v>
      </c>
      <c r="K891" s="614">
        <f t="shared" si="64"/>
        <v>17133</v>
      </c>
      <c r="L891" s="854" t="s">
        <v>165</v>
      </c>
      <c r="M891" s="854" t="s">
        <v>159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>632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94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63"/>
        <v>6</v>
      </c>
      <c r="C892" s="191">
        <v>40723</v>
      </c>
      <c r="D892" s="191" t="s">
        <v>981</v>
      </c>
      <c r="E892" s="184">
        <v>40723</v>
      </c>
      <c r="F892" s="189" t="s">
        <v>937</v>
      </c>
      <c r="G892" s="498" t="s">
        <v>918</v>
      </c>
      <c r="H892" s="7" t="s">
        <v>733</v>
      </c>
      <c r="I892" s="256">
        <v>207</v>
      </c>
      <c r="J892" s="256">
        <v>23151.830917874395</v>
      </c>
      <c r="K892" s="614">
        <f t="shared" si="64"/>
        <v>4792429</v>
      </c>
      <c r="L892" s="854" t="s">
        <v>165</v>
      </c>
      <c r="M892" s="854" t="s">
        <v>159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>632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94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63"/>
        <v>6</v>
      </c>
      <c r="C893" s="191">
        <v>40723</v>
      </c>
      <c r="D893" s="191" t="s">
        <v>981</v>
      </c>
      <c r="E893" s="184">
        <v>40723</v>
      </c>
      <c r="F893" s="189" t="s">
        <v>929</v>
      </c>
      <c r="G893" s="498" t="s">
        <v>918</v>
      </c>
      <c r="H893" s="7" t="s">
        <v>733</v>
      </c>
      <c r="I893" s="256">
        <v>203</v>
      </c>
      <c r="J893" s="256">
        <v>10599.807881773399</v>
      </c>
      <c r="K893" s="614">
        <f t="shared" si="64"/>
        <v>2151761</v>
      </c>
      <c r="L893" s="854" t="s">
        <v>165</v>
      </c>
      <c r="M893" s="854" t="s">
        <v>159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>632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94"/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63"/>
        <v>6</v>
      </c>
      <c r="C894" s="191">
        <v>40723</v>
      </c>
      <c r="D894" s="191" t="s">
        <v>981</v>
      </c>
      <c r="E894" s="184">
        <v>40723</v>
      </c>
      <c r="F894" s="189" t="s">
        <v>938</v>
      </c>
      <c r="G894" s="498" t="s">
        <v>918</v>
      </c>
      <c r="H894" s="7" t="s">
        <v>733</v>
      </c>
      <c r="I894" s="256">
        <v>9</v>
      </c>
      <c r="J894" s="256">
        <v>18786.555555555555</v>
      </c>
      <c r="K894" s="614">
        <f t="shared" si="64"/>
        <v>169079</v>
      </c>
      <c r="L894" s="854" t="s">
        <v>165</v>
      </c>
      <c r="M894" s="854" t="s">
        <v>159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>632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94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63"/>
        <v>6</v>
      </c>
      <c r="C895" s="191">
        <v>40723</v>
      </c>
      <c r="D895" s="191" t="s">
        <v>981</v>
      </c>
      <c r="E895" s="184">
        <v>40723</v>
      </c>
      <c r="F895" s="189" t="s">
        <v>752</v>
      </c>
      <c r="G895" s="498" t="s">
        <v>918</v>
      </c>
      <c r="H895" s="7" t="s">
        <v>733</v>
      </c>
      <c r="I895" s="256">
        <v>1</v>
      </c>
      <c r="J895" s="256">
        <v>15439</v>
      </c>
      <c r="K895" s="614">
        <f t="shared" si="64"/>
        <v>15439</v>
      </c>
      <c r="L895" s="854" t="s">
        <v>165</v>
      </c>
      <c r="M895" s="854" t="s">
        <v>159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>632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94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63"/>
        <v>6</v>
      </c>
      <c r="C896" s="191">
        <v>40723</v>
      </c>
      <c r="D896" s="191" t="s">
        <v>981</v>
      </c>
      <c r="E896" s="184">
        <v>40723</v>
      </c>
      <c r="F896" s="189" t="s">
        <v>939</v>
      </c>
      <c r="G896" s="498" t="s">
        <v>918</v>
      </c>
      <c r="H896" s="7" t="s">
        <v>733</v>
      </c>
      <c r="I896" s="256">
        <v>3</v>
      </c>
      <c r="J896" s="256">
        <v>19142.666666666668</v>
      </c>
      <c r="K896" s="614">
        <f t="shared" si="64"/>
        <v>57428</v>
      </c>
      <c r="L896" s="854" t="s">
        <v>165</v>
      </c>
      <c r="M896" s="854" t="s">
        <v>159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>632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94"/>
    </row>
    <row r="897" spans="1:27" ht="15.75" customHeight="1">
      <c r="A897" s="204" t="str">
        <f>IF(B897&lt;&gt;"",IF(AND(B897&gt;=_TM1,B897&lt;=_TM2,OR(TH!L897="1111",TH!M897="1111")),TH!D897,""),"")</f>
        <v/>
      </c>
      <c r="B897" s="36">
        <f t="shared" si="63"/>
        <v>6</v>
      </c>
      <c r="C897" s="191">
        <v>40723</v>
      </c>
      <c r="D897" s="191" t="s">
        <v>981</v>
      </c>
      <c r="E897" s="184">
        <v>40723</v>
      </c>
      <c r="F897" s="189" t="s">
        <v>751</v>
      </c>
      <c r="G897" s="498" t="s">
        <v>918</v>
      </c>
      <c r="H897" s="7" t="s">
        <v>733</v>
      </c>
      <c r="I897" s="256">
        <v>11</v>
      </c>
      <c r="J897" s="256">
        <v>13362</v>
      </c>
      <c r="K897" s="614">
        <f t="shared" si="64"/>
        <v>146982</v>
      </c>
      <c r="L897" s="854" t="s">
        <v>165</v>
      </c>
      <c r="M897" s="854" t="s">
        <v>159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>632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94"/>
    </row>
    <row r="898" spans="1:27" ht="15.75" customHeight="1">
      <c r="A898" s="204" t="str">
        <f>IF(B898&lt;&gt;"",IF(AND(B898&gt;=_TM1,B898&lt;=_TM2,OR(TH!L898="1111",TH!M898="1111")),TH!D898,""),"")</f>
        <v/>
      </c>
      <c r="B898" s="36">
        <f t="shared" si="63"/>
        <v>6</v>
      </c>
      <c r="C898" s="191">
        <v>40723</v>
      </c>
      <c r="D898" s="191" t="s">
        <v>982</v>
      </c>
      <c r="E898" s="184">
        <v>40723</v>
      </c>
      <c r="F898" s="189" t="s">
        <v>903</v>
      </c>
      <c r="G898" s="498" t="s">
        <v>919</v>
      </c>
      <c r="H898" s="7" t="s">
        <v>733</v>
      </c>
      <c r="I898" s="256">
        <v>26</v>
      </c>
      <c r="J898" s="256">
        <v>8566.5</v>
      </c>
      <c r="K898" s="614">
        <f t="shared" ref="K898:K929" si="65">ROUND(I898*J898,0)</f>
        <v>222729</v>
      </c>
      <c r="L898" s="854" t="s">
        <v>165</v>
      </c>
      <c r="M898" s="854" t="s">
        <v>159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>632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94"/>
    </row>
    <row r="899" spans="1:27" ht="15.75" customHeight="1">
      <c r="A899" s="204" t="str">
        <f>IF(B899&lt;&gt;"",IF(AND(B899&gt;=_TM1,B899&lt;=_TM2,OR(TH!L899="1111",TH!M899="1111")),TH!D899,""),"")</f>
        <v/>
      </c>
      <c r="B899" s="36">
        <f t="shared" si="63"/>
        <v>6</v>
      </c>
      <c r="C899" s="191">
        <v>40723</v>
      </c>
      <c r="D899" s="191" t="s">
        <v>982</v>
      </c>
      <c r="E899" s="184">
        <v>40723</v>
      </c>
      <c r="F899" s="189" t="s">
        <v>940</v>
      </c>
      <c r="G899" s="498" t="s">
        <v>919</v>
      </c>
      <c r="H899" s="7" t="s">
        <v>733</v>
      </c>
      <c r="I899" s="256">
        <v>20</v>
      </c>
      <c r="J899" s="256">
        <v>18019.5</v>
      </c>
      <c r="K899" s="614">
        <f t="shared" si="65"/>
        <v>360390</v>
      </c>
      <c r="L899" s="854" t="s">
        <v>165</v>
      </c>
      <c r="M899" s="854" t="s">
        <v>159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>632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94"/>
    </row>
    <row r="900" spans="1:27" ht="15.75" customHeight="1">
      <c r="A900" s="204" t="str">
        <f>IF(B900&lt;&gt;"",IF(AND(B900&gt;=_TM1,B900&lt;=_TM2,OR(TH!L900="1111",TH!M900="1111")),TH!D900,""),"")</f>
        <v/>
      </c>
      <c r="B900" s="36">
        <f t="shared" si="63"/>
        <v>6</v>
      </c>
      <c r="C900" s="191">
        <v>40723</v>
      </c>
      <c r="D900" s="191" t="s">
        <v>982</v>
      </c>
      <c r="E900" s="184">
        <v>40723</v>
      </c>
      <c r="F900" s="189" t="s">
        <v>941</v>
      </c>
      <c r="G900" s="498" t="s">
        <v>919</v>
      </c>
      <c r="H900" s="7" t="s">
        <v>733</v>
      </c>
      <c r="I900" s="256">
        <v>61</v>
      </c>
      <c r="J900" s="256">
        <v>19878.065573770491</v>
      </c>
      <c r="K900" s="614">
        <f t="shared" si="65"/>
        <v>1212562</v>
      </c>
      <c r="L900" s="854" t="s">
        <v>165</v>
      </c>
      <c r="M900" s="854" t="s">
        <v>159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>632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94"/>
    </row>
    <row r="901" spans="1:27" ht="15.75" customHeight="1">
      <c r="A901" s="204" t="str">
        <f>IF(B901&lt;&gt;"",IF(AND(B901&gt;=_TM1,B901&lt;=_TM2,OR(TH!L901="1111",TH!M901="1111")),TH!D901,""),"")</f>
        <v/>
      </c>
      <c r="B901" s="36">
        <f t="shared" si="63"/>
        <v>6</v>
      </c>
      <c r="C901" s="191">
        <v>40723</v>
      </c>
      <c r="D901" s="191" t="s">
        <v>982</v>
      </c>
      <c r="E901" s="184">
        <v>40723</v>
      </c>
      <c r="F901" s="192" t="s">
        <v>756</v>
      </c>
      <c r="G901" s="498" t="s">
        <v>919</v>
      </c>
      <c r="H901" s="7" t="s">
        <v>733</v>
      </c>
      <c r="I901" s="256">
        <v>140</v>
      </c>
      <c r="J901" s="256">
        <v>2471.7642857142855</v>
      </c>
      <c r="K901" s="614">
        <f t="shared" si="65"/>
        <v>346047</v>
      </c>
      <c r="L901" s="854" t="s">
        <v>165</v>
      </c>
      <c r="M901" s="854" t="s">
        <v>159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>632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94"/>
    </row>
    <row r="902" spans="1:27" ht="15.75" customHeight="1">
      <c r="A902" s="204" t="str">
        <f>IF(B902&lt;&gt;"",IF(AND(B902&gt;=_TM1,B902&lt;=_TM2,OR(TH!L902="1111",TH!M902="1111")),TH!D902,""),"")</f>
        <v/>
      </c>
      <c r="B902" s="36">
        <f t="shared" si="63"/>
        <v>6</v>
      </c>
      <c r="C902" s="191">
        <v>40723</v>
      </c>
      <c r="D902" s="191" t="s">
        <v>982</v>
      </c>
      <c r="E902" s="184">
        <v>40723</v>
      </c>
      <c r="F902" s="189" t="s">
        <v>934</v>
      </c>
      <c r="G902" s="498" t="s">
        <v>919</v>
      </c>
      <c r="H902" s="7" t="s">
        <v>733</v>
      </c>
      <c r="I902" s="256">
        <v>40</v>
      </c>
      <c r="J902" s="256">
        <v>17179.525000000001</v>
      </c>
      <c r="K902" s="614">
        <f t="shared" si="65"/>
        <v>687181</v>
      </c>
      <c r="L902" s="854" t="s">
        <v>165</v>
      </c>
      <c r="M902" s="854" t="s">
        <v>159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>632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94"/>
    </row>
    <row r="903" spans="1:27" ht="15.75" customHeight="1">
      <c r="A903" s="204" t="str">
        <f>IF(B903&lt;&gt;"",IF(AND(B903&gt;=_TM1,B903&lt;=_TM2,OR(TH!L903="1111",TH!M903="1111")),TH!D903,""),"")</f>
        <v/>
      </c>
      <c r="B903" s="36">
        <f t="shared" si="63"/>
        <v>6</v>
      </c>
      <c r="C903" s="191">
        <v>40723</v>
      </c>
      <c r="D903" s="191" t="s">
        <v>982</v>
      </c>
      <c r="E903" s="184">
        <v>40723</v>
      </c>
      <c r="F903" s="189" t="s">
        <v>744</v>
      </c>
      <c r="G903" s="498" t="s">
        <v>919</v>
      </c>
      <c r="H903" s="7" t="s">
        <v>733</v>
      </c>
      <c r="I903" s="256">
        <v>95</v>
      </c>
      <c r="J903" s="256">
        <v>13488.357894736842</v>
      </c>
      <c r="K903" s="614">
        <f t="shared" si="65"/>
        <v>1281394</v>
      </c>
      <c r="L903" s="854" t="s">
        <v>165</v>
      </c>
      <c r="M903" s="854" t="s">
        <v>159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>632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94"/>
    </row>
    <row r="904" spans="1:27" ht="15.75" customHeight="1">
      <c r="A904" s="204" t="str">
        <f>IF(B904&lt;&gt;"",IF(AND(B904&gt;=_TM1,B904&lt;=_TM2,OR(TH!L904="1111",TH!M904="1111")),TH!D904,""),"")</f>
        <v/>
      </c>
      <c r="B904" s="36">
        <f t="shared" si="63"/>
        <v>6</v>
      </c>
      <c r="C904" s="191">
        <v>40723</v>
      </c>
      <c r="D904" s="191" t="s">
        <v>983</v>
      </c>
      <c r="E904" s="184">
        <v>40723</v>
      </c>
      <c r="F904" s="192" t="s">
        <v>907</v>
      </c>
      <c r="G904" s="498" t="s">
        <v>920</v>
      </c>
      <c r="H904" s="210" t="s">
        <v>906</v>
      </c>
      <c r="I904" s="256">
        <v>2000</v>
      </c>
      <c r="J904" s="256">
        <v>5951.5129999999999</v>
      </c>
      <c r="K904" s="614">
        <f t="shared" si="65"/>
        <v>11903026</v>
      </c>
      <c r="L904" s="854" t="s">
        <v>165</v>
      </c>
      <c r="M904" s="854" t="s">
        <v>159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>632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94"/>
    </row>
    <row r="905" spans="1:27" ht="15.75" customHeight="1">
      <c r="A905" s="204" t="str">
        <f>IF(B905&lt;&gt;"",IF(AND(B905&gt;=_TM1,B905&lt;=_TM2,OR(TH!L905="1111",TH!M905="1111")),TH!D905,""),"")</f>
        <v/>
      </c>
      <c r="B905" s="36">
        <f t="shared" si="63"/>
        <v>6</v>
      </c>
      <c r="C905" s="191">
        <v>40723</v>
      </c>
      <c r="D905" s="191" t="s">
        <v>984</v>
      </c>
      <c r="E905" s="184">
        <v>40723</v>
      </c>
      <c r="F905" s="192" t="s">
        <v>942</v>
      </c>
      <c r="G905" s="498" t="s">
        <v>927</v>
      </c>
      <c r="H905" s="7" t="s">
        <v>734</v>
      </c>
      <c r="I905" s="256">
        <v>306</v>
      </c>
      <c r="J905" s="256">
        <v>13362.013071895424</v>
      </c>
      <c r="K905" s="614">
        <f t="shared" si="65"/>
        <v>4088776</v>
      </c>
      <c r="L905" s="854" t="s">
        <v>165</v>
      </c>
      <c r="M905" s="854" t="s">
        <v>159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>632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94"/>
    </row>
    <row r="906" spans="1:27" ht="15.75" customHeight="1">
      <c r="A906" s="204" t="str">
        <f>IF(B906&lt;&gt;"",IF(AND(B906&gt;=_TM1,B906&lt;=_TM2,OR(TH!L906="1111",TH!M906="1111")),TH!D906,""),"")</f>
        <v/>
      </c>
      <c r="B906" s="36">
        <f t="shared" si="63"/>
        <v>6</v>
      </c>
      <c r="C906" s="191">
        <v>40723</v>
      </c>
      <c r="D906" s="191" t="s">
        <v>984</v>
      </c>
      <c r="E906" s="184">
        <v>40723</v>
      </c>
      <c r="F906" s="192" t="s">
        <v>829</v>
      </c>
      <c r="G906" s="498" t="s">
        <v>927</v>
      </c>
      <c r="H906" s="7" t="s">
        <v>734</v>
      </c>
      <c r="I906" s="256">
        <v>391</v>
      </c>
      <c r="J906" s="256">
        <v>7483.5140664961637</v>
      </c>
      <c r="K906" s="614">
        <f t="shared" si="65"/>
        <v>2926054</v>
      </c>
      <c r="L906" s="854" t="s">
        <v>165</v>
      </c>
      <c r="M906" s="854" t="s">
        <v>159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>632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94"/>
    </row>
    <row r="907" spans="1:27" ht="15.75" customHeight="1">
      <c r="A907" s="204" t="str">
        <f>IF(B907&lt;&gt;"",IF(AND(B907&gt;=_TM1,B907&lt;=_TM2,OR(TH!L907="1111",TH!M907="1111")),TH!D907,""),"")</f>
        <v/>
      </c>
      <c r="B907" s="36">
        <f t="shared" si="63"/>
        <v>6</v>
      </c>
      <c r="C907" s="191">
        <v>40723</v>
      </c>
      <c r="D907" s="191" t="s">
        <v>984</v>
      </c>
      <c r="E907" s="184">
        <v>40723</v>
      </c>
      <c r="F907" s="192" t="s">
        <v>822</v>
      </c>
      <c r="G907" s="498" t="s">
        <v>927</v>
      </c>
      <c r="H907" s="7" t="s">
        <v>734</v>
      </c>
      <c r="I907" s="256">
        <v>297</v>
      </c>
      <c r="J907" s="256">
        <v>7385.5117845117848</v>
      </c>
      <c r="K907" s="614">
        <f t="shared" si="65"/>
        <v>2193497</v>
      </c>
      <c r="L907" s="854" t="s">
        <v>165</v>
      </c>
      <c r="M907" s="854" t="s">
        <v>159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>632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94"/>
    </row>
    <row r="908" spans="1:27" ht="15.75" customHeight="1">
      <c r="A908" s="204" t="str">
        <f>IF(B908&lt;&gt;"",IF(AND(B908&gt;=_TM1,B908&lt;=_TM2,OR(TH!L908="1111",TH!M908="1111")),TH!D908,""),"")</f>
        <v/>
      </c>
      <c r="B908" s="36">
        <f t="shared" si="63"/>
        <v>6</v>
      </c>
      <c r="C908" s="191">
        <v>40723</v>
      </c>
      <c r="D908" s="191" t="s">
        <v>984</v>
      </c>
      <c r="E908" s="184">
        <v>40723</v>
      </c>
      <c r="F908" s="192" t="s">
        <v>944</v>
      </c>
      <c r="G908" s="498" t="s">
        <v>927</v>
      </c>
      <c r="H908" s="7" t="s">
        <v>734</v>
      </c>
      <c r="I908" s="256">
        <v>101</v>
      </c>
      <c r="J908" s="256">
        <v>7385.5148514851489</v>
      </c>
      <c r="K908" s="614">
        <f t="shared" si="65"/>
        <v>745937</v>
      </c>
      <c r="L908" s="854" t="s">
        <v>165</v>
      </c>
      <c r="M908" s="854" t="s">
        <v>159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>632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94"/>
    </row>
    <row r="909" spans="1:27" ht="15.75" customHeight="1">
      <c r="A909" s="204" t="str">
        <f>IF(B909&lt;&gt;"",IF(AND(B909&gt;=_TM1,B909&lt;=_TM2,OR(TH!L909="1111",TH!M909="1111")),TH!D909,""),"")</f>
        <v/>
      </c>
      <c r="B909" s="36">
        <f t="shared" si="63"/>
        <v>6</v>
      </c>
      <c r="C909" s="191">
        <v>40723</v>
      </c>
      <c r="D909" s="191" t="s">
        <v>984</v>
      </c>
      <c r="E909" s="184">
        <v>40723</v>
      </c>
      <c r="F909" s="192" t="s">
        <v>943</v>
      </c>
      <c r="G909" s="498" t="s">
        <v>927</v>
      </c>
      <c r="H909" s="7" t="s">
        <v>734</v>
      </c>
      <c r="I909" s="256">
        <v>103</v>
      </c>
      <c r="J909" s="256">
        <v>7385.5145631067962</v>
      </c>
      <c r="K909" s="614">
        <f t="shared" si="65"/>
        <v>760708</v>
      </c>
      <c r="L909" s="854" t="s">
        <v>165</v>
      </c>
      <c r="M909" s="854" t="s">
        <v>159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>632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94"/>
    </row>
    <row r="910" spans="1:27" ht="15.75" customHeight="1">
      <c r="A910" s="204" t="str">
        <f>IF(B910&lt;&gt;"",IF(AND(B910&gt;=_TM1,B910&lt;=_TM2,OR(TH!L910="1111",TH!M910="1111")),TH!D910,""),"")</f>
        <v/>
      </c>
      <c r="B910" s="36">
        <f t="shared" si="63"/>
        <v>6</v>
      </c>
      <c r="C910" s="191">
        <v>40723</v>
      </c>
      <c r="D910" s="191" t="s">
        <v>984</v>
      </c>
      <c r="E910" s="184">
        <v>40723</v>
      </c>
      <c r="F910" s="192" t="s">
        <v>819</v>
      </c>
      <c r="G910" s="498" t="s">
        <v>927</v>
      </c>
      <c r="H910" s="7" t="s">
        <v>734</v>
      </c>
      <c r="I910" s="256">
        <v>109</v>
      </c>
      <c r="J910" s="256">
        <v>16526.394495412846</v>
      </c>
      <c r="K910" s="614">
        <f t="shared" si="65"/>
        <v>1801377</v>
      </c>
      <c r="L910" s="854" t="s">
        <v>165</v>
      </c>
      <c r="M910" s="854" t="s">
        <v>159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>632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94"/>
    </row>
    <row r="911" spans="1:27" ht="15.75" customHeight="1">
      <c r="A911" s="204" t="str">
        <f>IF(B911&lt;&gt;"",IF(AND(B911&gt;=_TM1,B911&lt;=_TM2,OR(TH!L911="1111",TH!M911="1111")),TH!D911,""),"")</f>
        <v/>
      </c>
      <c r="B911" s="36">
        <f t="shared" si="63"/>
        <v>6</v>
      </c>
      <c r="C911" s="191">
        <v>40723</v>
      </c>
      <c r="D911" s="191" t="s">
        <v>984</v>
      </c>
      <c r="E911" s="184">
        <v>40723</v>
      </c>
      <c r="F911" s="192" t="s">
        <v>945</v>
      </c>
      <c r="G911" s="498" t="s">
        <v>927</v>
      </c>
      <c r="H911" s="7" t="s">
        <v>734</v>
      </c>
      <c r="I911" s="254">
        <v>104</v>
      </c>
      <c r="J911" s="254">
        <v>21595.509615384617</v>
      </c>
      <c r="K911" s="614">
        <f t="shared" si="65"/>
        <v>2245933</v>
      </c>
      <c r="L911" s="854" t="s">
        <v>165</v>
      </c>
      <c r="M911" s="854" t="s">
        <v>159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>632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94"/>
    </row>
    <row r="912" spans="1:27" ht="15.75" customHeight="1">
      <c r="A912" s="204" t="str">
        <f>IF(B912&lt;&gt;"",IF(AND(B912&gt;=_TM1,B912&lt;=_TM2,OR(TH!L912="1111",TH!M912="1111")),TH!D912,""),"")</f>
        <v/>
      </c>
      <c r="B912" s="36">
        <f t="shared" si="63"/>
        <v>6</v>
      </c>
      <c r="C912" s="191">
        <f t="shared" ref="C912:C943" si="66">E912</f>
        <v>40723</v>
      </c>
      <c r="D912" s="191" t="s">
        <v>1123</v>
      </c>
      <c r="E912" s="191">
        <v>40723</v>
      </c>
      <c r="F912" s="192" t="s">
        <v>911</v>
      </c>
      <c r="G912" s="498"/>
      <c r="H912" s="628" t="s">
        <v>1092</v>
      </c>
      <c r="I912" s="256">
        <v>17</v>
      </c>
      <c r="J912" s="256">
        <v>22124.823529411766</v>
      </c>
      <c r="K912" s="614">
        <f t="shared" si="65"/>
        <v>376122</v>
      </c>
      <c r="L912" s="39" t="s">
        <v>159</v>
      </c>
      <c r="M912" s="724" t="s">
        <v>157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94"/>
    </row>
    <row r="913" spans="1:27" ht="15.75" customHeight="1">
      <c r="A913" s="204" t="str">
        <f>IF(B913&lt;&gt;"",IF(AND(B913&gt;=_TM1,B913&lt;=_TM2,OR(TH!L913="1111",TH!M913="1111")),TH!D913,""),"")</f>
        <v/>
      </c>
      <c r="B913" s="36">
        <f t="shared" si="63"/>
        <v>6</v>
      </c>
      <c r="C913" s="191">
        <f t="shared" si="66"/>
        <v>40723</v>
      </c>
      <c r="D913" s="191" t="s">
        <v>1123</v>
      </c>
      <c r="E913" s="191">
        <v>40723</v>
      </c>
      <c r="F913" s="192" t="s">
        <v>895</v>
      </c>
      <c r="G913" s="498"/>
      <c r="H913" s="628" t="s">
        <v>1092</v>
      </c>
      <c r="I913" s="256">
        <v>8</v>
      </c>
      <c r="J913" s="256">
        <v>25265.5</v>
      </c>
      <c r="K913" s="614">
        <f t="shared" si="65"/>
        <v>202124</v>
      </c>
      <c r="L913" s="39" t="s">
        <v>159</v>
      </c>
      <c r="M913" s="724" t="s">
        <v>157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94"/>
    </row>
    <row r="914" spans="1:27" ht="15.75" customHeight="1">
      <c r="A914" s="204" t="str">
        <f>IF(B914&lt;&gt;"",IF(AND(B914&gt;=_TM1,B914&lt;=_TM2,OR(TH!L914="1111",TH!M914="1111")),TH!D914,""),"")</f>
        <v/>
      </c>
      <c r="B914" s="36">
        <f t="shared" si="63"/>
        <v>6</v>
      </c>
      <c r="C914" s="191">
        <f t="shared" si="66"/>
        <v>40723</v>
      </c>
      <c r="D914" s="191" t="s">
        <v>1123</v>
      </c>
      <c r="E914" s="191">
        <v>40723</v>
      </c>
      <c r="F914" s="192" t="s">
        <v>885</v>
      </c>
      <c r="G914" s="498"/>
      <c r="H914" s="628" t="s">
        <v>1092</v>
      </c>
      <c r="I914" s="256">
        <v>38</v>
      </c>
      <c r="J914" s="256">
        <v>25265.5</v>
      </c>
      <c r="K914" s="614">
        <f t="shared" si="65"/>
        <v>960089</v>
      </c>
      <c r="L914" s="39" t="s">
        <v>159</v>
      </c>
      <c r="M914" s="724" t="s">
        <v>157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94"/>
    </row>
    <row r="915" spans="1:27" ht="15.75" customHeight="1">
      <c r="A915" s="204" t="str">
        <f>IF(B915&lt;&gt;"",IF(AND(B915&gt;=_TM1,B915&lt;=_TM2,OR(TH!L915="1111",TH!M915="1111")),TH!D915,""),"")</f>
        <v/>
      </c>
      <c r="B915" s="36">
        <f t="shared" si="63"/>
        <v>6</v>
      </c>
      <c r="C915" s="191">
        <f t="shared" si="66"/>
        <v>40723</v>
      </c>
      <c r="D915" s="191" t="s">
        <v>1123</v>
      </c>
      <c r="E915" s="191">
        <v>40723</v>
      </c>
      <c r="F915" s="192" t="s">
        <v>912</v>
      </c>
      <c r="G915" s="498"/>
      <c r="H915" s="628" t="s">
        <v>1092</v>
      </c>
      <c r="I915" s="256">
        <v>47</v>
      </c>
      <c r="J915" s="256">
        <v>19142.510638297874</v>
      </c>
      <c r="K915" s="614">
        <f t="shared" si="65"/>
        <v>899698</v>
      </c>
      <c r="L915" s="39" t="s">
        <v>159</v>
      </c>
      <c r="M915" s="724" t="s">
        <v>157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94"/>
    </row>
    <row r="916" spans="1:27" ht="15.75" customHeight="1">
      <c r="A916" s="204" t="str">
        <f>IF(B916&lt;&gt;"",IF(AND(B916&gt;=_TM1,B916&lt;=_TM2,OR(TH!L916="1111",TH!M916="1111")),TH!D916,""),"")</f>
        <v/>
      </c>
      <c r="B916" s="36">
        <f t="shared" si="63"/>
        <v>6</v>
      </c>
      <c r="C916" s="191">
        <f t="shared" si="66"/>
        <v>40723</v>
      </c>
      <c r="D916" s="191" t="s">
        <v>1123</v>
      </c>
      <c r="E916" s="191">
        <v>40723</v>
      </c>
      <c r="F916" s="192" t="s">
        <v>913</v>
      </c>
      <c r="G916" s="498"/>
      <c r="H916" s="628" t="s">
        <v>1092</v>
      </c>
      <c r="I916" s="256">
        <v>830</v>
      </c>
      <c r="J916" s="256">
        <v>13362.013253012048</v>
      </c>
      <c r="K916" s="614">
        <f t="shared" si="65"/>
        <v>11090471</v>
      </c>
      <c r="L916" s="39" t="s">
        <v>159</v>
      </c>
      <c r="M916" s="724" t="s">
        <v>157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94"/>
    </row>
    <row r="917" spans="1:27" ht="15.75" customHeight="1">
      <c r="A917" s="204" t="str">
        <f>IF(B917&lt;&gt;"",IF(AND(B917&gt;=_TM1,B917&lt;=_TM2,OR(TH!L917="1111",TH!M917="1111")),TH!D917,""),"")</f>
        <v/>
      </c>
      <c r="B917" s="36">
        <f t="shared" si="63"/>
        <v>6</v>
      </c>
      <c r="C917" s="191">
        <f t="shared" si="66"/>
        <v>40723</v>
      </c>
      <c r="D917" s="191" t="s">
        <v>1123</v>
      </c>
      <c r="E917" s="191">
        <v>40723</v>
      </c>
      <c r="F917" s="192" t="s">
        <v>751</v>
      </c>
      <c r="G917" s="498"/>
      <c r="H917" s="628" t="s">
        <v>1092</v>
      </c>
      <c r="I917" s="256">
        <v>738</v>
      </c>
      <c r="J917" s="256">
        <v>13362.012195121952</v>
      </c>
      <c r="K917" s="614">
        <f t="shared" si="65"/>
        <v>9861165</v>
      </c>
      <c r="L917" s="39" t="s">
        <v>159</v>
      </c>
      <c r="M917" s="724" t="s">
        <v>157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94"/>
    </row>
    <row r="918" spans="1:27" ht="15.75" customHeight="1">
      <c r="A918" s="204" t="str">
        <f>IF(B918&lt;&gt;"",IF(AND(B918&gt;=_TM1,B918&lt;=_TM2,OR(TH!L918="1111",TH!M918="1111")),TH!D918,""),"")</f>
        <v/>
      </c>
      <c r="B918" s="36">
        <f t="shared" si="63"/>
        <v>6</v>
      </c>
      <c r="C918" s="191">
        <f t="shared" si="66"/>
        <v>40723</v>
      </c>
      <c r="D918" s="191" t="s">
        <v>1123</v>
      </c>
      <c r="E918" s="191">
        <v>40723</v>
      </c>
      <c r="F918" s="192" t="s">
        <v>755</v>
      </c>
      <c r="G918" s="498"/>
      <c r="H918" s="628" t="s">
        <v>1092</v>
      </c>
      <c r="I918" s="256">
        <v>2</v>
      </c>
      <c r="J918" s="256">
        <v>9590.5</v>
      </c>
      <c r="K918" s="614">
        <f t="shared" si="65"/>
        <v>19181</v>
      </c>
      <c r="L918" s="39" t="s">
        <v>159</v>
      </c>
      <c r="M918" s="724" t="s">
        <v>157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94"/>
    </row>
    <row r="919" spans="1:27" ht="15.75" customHeight="1">
      <c r="A919" s="204" t="str">
        <f>IF(B919&lt;&gt;"",IF(AND(B919&gt;=_TM1,B919&lt;=_TM2,OR(TH!L919="1111",TH!M919="1111")),TH!D919,""),"")</f>
        <v/>
      </c>
      <c r="B919" s="36">
        <f t="shared" si="63"/>
        <v>6</v>
      </c>
      <c r="C919" s="191">
        <f t="shared" si="66"/>
        <v>40723</v>
      </c>
      <c r="D919" s="191" t="s">
        <v>1123</v>
      </c>
      <c r="E919" s="191">
        <v>40723</v>
      </c>
      <c r="F919" s="192" t="s">
        <v>914</v>
      </c>
      <c r="G919" s="498"/>
      <c r="H919" s="628" t="s">
        <v>1092</v>
      </c>
      <c r="I919" s="256">
        <v>2</v>
      </c>
      <c r="J919" s="256">
        <v>10554.5</v>
      </c>
      <c r="K919" s="614">
        <f t="shared" si="65"/>
        <v>21109</v>
      </c>
      <c r="L919" s="39" t="s">
        <v>159</v>
      </c>
      <c r="M919" s="724" t="s">
        <v>157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94"/>
    </row>
    <row r="920" spans="1:27" ht="15.75" customHeight="1">
      <c r="A920" s="204" t="str">
        <f>IF(B920&lt;&gt;"",IF(AND(B920&gt;=_TM1,B920&lt;=_TM2,OR(TH!L920="1111",TH!M920="1111")),TH!D920,""),"")</f>
        <v/>
      </c>
      <c r="B920" s="36">
        <f t="shared" si="63"/>
        <v>6</v>
      </c>
      <c r="C920" s="191">
        <f t="shared" si="66"/>
        <v>40723</v>
      </c>
      <c r="D920" s="191" t="s">
        <v>1123</v>
      </c>
      <c r="E920" s="191">
        <v>40723</v>
      </c>
      <c r="F920" s="192" t="s">
        <v>914</v>
      </c>
      <c r="G920" s="498"/>
      <c r="H920" s="628" t="s">
        <v>1092</v>
      </c>
      <c r="I920" s="256">
        <v>21</v>
      </c>
      <c r="J920" s="256">
        <v>17305.523809523809</v>
      </c>
      <c r="K920" s="614">
        <f t="shared" si="65"/>
        <v>363416</v>
      </c>
      <c r="L920" s="39" t="s">
        <v>159</v>
      </c>
      <c r="M920" s="724" t="s">
        <v>157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94"/>
    </row>
    <row r="921" spans="1:27" ht="15.75" customHeight="1">
      <c r="A921" s="204" t="str">
        <f>IF(B921&lt;&gt;"",IF(AND(B921&gt;=_TM1,B921&lt;=_TM2,OR(TH!L921="1111",TH!M921="1111")),TH!D921,""),"")</f>
        <v/>
      </c>
      <c r="B921" s="36">
        <f t="shared" ref="B921:B984" si="67">IF(C921&lt;&gt;"",MONTH(C921),"")</f>
        <v>6</v>
      </c>
      <c r="C921" s="191">
        <f t="shared" si="66"/>
        <v>40723</v>
      </c>
      <c r="D921" s="191" t="s">
        <v>1124</v>
      </c>
      <c r="E921" s="191">
        <v>40723</v>
      </c>
      <c r="F921" s="192" t="s">
        <v>921</v>
      </c>
      <c r="G921" s="498"/>
      <c r="H921" s="628" t="s">
        <v>1092</v>
      </c>
      <c r="I921" s="256">
        <v>33</v>
      </c>
      <c r="J921" s="256">
        <v>17305.515151515152</v>
      </c>
      <c r="K921" s="614">
        <f t="shared" si="65"/>
        <v>571082</v>
      </c>
      <c r="L921" s="39" t="s">
        <v>159</v>
      </c>
      <c r="M921" s="724" t="s">
        <v>157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94"/>
    </row>
    <row r="922" spans="1:27" ht="15.75" customHeight="1">
      <c r="A922" s="204" t="str">
        <f>IF(B922&lt;&gt;"",IF(AND(B922&gt;=_TM1,B922&lt;=_TM2,OR(TH!L922="1111",TH!M922="1111")),TH!D922,""),"")</f>
        <v/>
      </c>
      <c r="B922" s="36">
        <f t="shared" si="67"/>
        <v>6</v>
      </c>
      <c r="C922" s="191">
        <f t="shared" si="66"/>
        <v>40723</v>
      </c>
      <c r="D922" s="191" t="s">
        <v>1124</v>
      </c>
      <c r="E922" s="191">
        <v>40723</v>
      </c>
      <c r="F922" s="192" t="s">
        <v>742</v>
      </c>
      <c r="G922" s="498"/>
      <c r="H922" s="628" t="s">
        <v>1092</v>
      </c>
      <c r="I922" s="256">
        <v>390</v>
      </c>
      <c r="J922" s="256">
        <v>18233.102564102563</v>
      </c>
      <c r="K922" s="614">
        <f t="shared" si="65"/>
        <v>7110910</v>
      </c>
      <c r="L922" s="39" t="s">
        <v>159</v>
      </c>
      <c r="M922" s="724" t="s">
        <v>157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94"/>
    </row>
    <row r="923" spans="1:27" ht="15.75" customHeight="1">
      <c r="A923" s="204" t="str">
        <f>IF(B923&lt;&gt;"",IF(AND(B923&gt;=_TM1,B923&lt;=_TM2,OR(TH!L923="1111",TH!M923="1111")),TH!D923,""),"")</f>
        <v/>
      </c>
      <c r="B923" s="36">
        <f t="shared" si="67"/>
        <v>6</v>
      </c>
      <c r="C923" s="191">
        <f t="shared" si="66"/>
        <v>40723</v>
      </c>
      <c r="D923" s="191" t="s">
        <v>1124</v>
      </c>
      <c r="E923" s="191">
        <v>40723</v>
      </c>
      <c r="F923" s="192" t="s">
        <v>746</v>
      </c>
      <c r="G923" s="498"/>
      <c r="H923" s="628" t="s">
        <v>1092</v>
      </c>
      <c r="I923" s="256">
        <v>482</v>
      </c>
      <c r="J923" s="256">
        <v>8566.5124481327803</v>
      </c>
      <c r="K923" s="614">
        <f t="shared" si="65"/>
        <v>4129059</v>
      </c>
      <c r="L923" s="39" t="s">
        <v>159</v>
      </c>
      <c r="M923" s="724" t="s">
        <v>157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94"/>
    </row>
    <row r="924" spans="1:27" ht="15.75" customHeight="1">
      <c r="A924" s="204" t="str">
        <f>IF(B924&lt;&gt;"",IF(AND(B924&gt;=_TM1,B924&lt;=_TM2,OR(TH!L924="1111",TH!M924="1111")),TH!D924,""),"")</f>
        <v/>
      </c>
      <c r="B924" s="36">
        <f t="shared" si="67"/>
        <v>6</v>
      </c>
      <c r="C924" s="191">
        <f t="shared" si="66"/>
        <v>40723</v>
      </c>
      <c r="D924" s="191" t="s">
        <v>1124</v>
      </c>
      <c r="E924" s="191">
        <v>40723</v>
      </c>
      <c r="F924" s="192" t="s">
        <v>914</v>
      </c>
      <c r="G924" s="498"/>
      <c r="H924" s="628" t="s">
        <v>1092</v>
      </c>
      <c r="I924" s="256">
        <v>56</v>
      </c>
      <c r="J924" s="256">
        <v>15438.517857142857</v>
      </c>
      <c r="K924" s="614">
        <f t="shared" si="65"/>
        <v>864557</v>
      </c>
      <c r="L924" s="39" t="s">
        <v>159</v>
      </c>
      <c r="M924" s="724" t="s">
        <v>157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94"/>
    </row>
    <row r="925" spans="1:27" ht="15.75" customHeight="1">
      <c r="A925" s="204" t="str">
        <f>IF(B925&lt;&gt;"",IF(AND(B925&gt;=_TM1,B925&lt;=_TM2,OR(TH!L925="1111",TH!M925="1111")),TH!D925,""),"")</f>
        <v/>
      </c>
      <c r="B925" s="36">
        <f t="shared" si="67"/>
        <v>6</v>
      </c>
      <c r="C925" s="191">
        <f t="shared" si="66"/>
        <v>40723</v>
      </c>
      <c r="D925" s="191" t="s">
        <v>1124</v>
      </c>
      <c r="E925" s="191">
        <v>40723</v>
      </c>
      <c r="F925" s="192" t="s">
        <v>922</v>
      </c>
      <c r="G925" s="498"/>
      <c r="H925" s="628" t="s">
        <v>1092</v>
      </c>
      <c r="I925" s="256">
        <v>203</v>
      </c>
      <c r="J925" s="256">
        <v>7385.5123152709357</v>
      </c>
      <c r="K925" s="614">
        <f t="shared" si="65"/>
        <v>1499259</v>
      </c>
      <c r="L925" s="39" t="s">
        <v>159</v>
      </c>
      <c r="M925" s="724" t="s">
        <v>157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94"/>
    </row>
    <row r="926" spans="1:27" ht="15.75" customHeight="1">
      <c r="A926" s="204" t="str">
        <f>IF(B926&lt;&gt;"",IF(AND(B926&gt;=_TM1,B926&lt;=_TM2,OR(TH!L926="1111",TH!M926="1111")),TH!D926,""),"")</f>
        <v/>
      </c>
      <c r="B926" s="36">
        <f t="shared" si="67"/>
        <v>6</v>
      </c>
      <c r="C926" s="191">
        <f t="shared" si="66"/>
        <v>40723</v>
      </c>
      <c r="D926" s="191" t="s">
        <v>1124</v>
      </c>
      <c r="E926" s="191">
        <v>40723</v>
      </c>
      <c r="F926" s="192" t="s">
        <v>923</v>
      </c>
      <c r="G926" s="498"/>
      <c r="H926" s="628" t="s">
        <v>1092</v>
      </c>
      <c r="I926" s="256">
        <v>1</v>
      </c>
      <c r="J926" s="256">
        <v>5809</v>
      </c>
      <c r="K926" s="614">
        <f t="shared" si="65"/>
        <v>5809</v>
      </c>
      <c r="L926" s="39" t="s">
        <v>159</v>
      </c>
      <c r="M926" s="724" t="s">
        <v>157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94"/>
    </row>
    <row r="927" spans="1:27" ht="15.75" customHeight="1">
      <c r="A927" s="204" t="str">
        <f>IF(B927&lt;&gt;"",IF(AND(B927&gt;=_TM1,B927&lt;=_TM2,OR(TH!L927="1111",TH!M927="1111")),TH!D927,""),"")</f>
        <v/>
      </c>
      <c r="B927" s="36">
        <f t="shared" si="67"/>
        <v>6</v>
      </c>
      <c r="C927" s="191">
        <f t="shared" si="66"/>
        <v>40723</v>
      </c>
      <c r="D927" s="191" t="s">
        <v>1124</v>
      </c>
      <c r="E927" s="191">
        <v>40723</v>
      </c>
      <c r="F927" s="192" t="s">
        <v>748</v>
      </c>
      <c r="G927" s="498"/>
      <c r="H927" s="628" t="s">
        <v>1092</v>
      </c>
      <c r="I927" s="256">
        <v>1</v>
      </c>
      <c r="J927" s="256">
        <v>9591</v>
      </c>
      <c r="K927" s="614">
        <f t="shared" si="65"/>
        <v>9591</v>
      </c>
      <c r="L927" s="39" t="s">
        <v>159</v>
      </c>
      <c r="M927" s="724" t="s">
        <v>157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94"/>
    </row>
    <row r="928" spans="1:27" ht="15.75" customHeight="1">
      <c r="A928" s="204" t="str">
        <f>IF(B928&lt;&gt;"",IF(AND(B928&gt;=_TM1,B928&lt;=_TM2,OR(TH!L928="1111",TH!M928="1111")),TH!D928,""),"")</f>
        <v/>
      </c>
      <c r="B928" s="36">
        <f t="shared" si="67"/>
        <v>6</v>
      </c>
      <c r="C928" s="191">
        <f t="shared" si="66"/>
        <v>40723</v>
      </c>
      <c r="D928" s="191" t="s">
        <v>1124</v>
      </c>
      <c r="E928" s="191">
        <v>40723</v>
      </c>
      <c r="F928" s="189" t="s">
        <v>924</v>
      </c>
      <c r="G928" s="498"/>
      <c r="H928" s="628" t="s">
        <v>1092</v>
      </c>
      <c r="I928" s="256">
        <v>2</v>
      </c>
      <c r="J928" s="256">
        <v>5951.5</v>
      </c>
      <c r="K928" s="614">
        <f t="shared" si="65"/>
        <v>11903</v>
      </c>
      <c r="L928" s="39" t="s">
        <v>159</v>
      </c>
      <c r="M928" s="724" t="s">
        <v>157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94"/>
    </row>
    <row r="929" spans="1:27" ht="15.75" customHeight="1">
      <c r="A929" s="204" t="str">
        <f>IF(B929&lt;&gt;"",IF(AND(B929&gt;=_TM1,B929&lt;=_TM2,OR(TH!L929="1111",TH!M929="1111")),TH!D929,""),"")</f>
        <v/>
      </c>
      <c r="B929" s="36">
        <f t="shared" si="67"/>
        <v>6</v>
      </c>
      <c r="C929" s="191">
        <f t="shared" si="66"/>
        <v>40723</v>
      </c>
      <c r="D929" s="191" t="s">
        <v>1124</v>
      </c>
      <c r="E929" s="191">
        <v>40723</v>
      </c>
      <c r="F929" s="192" t="s">
        <v>759</v>
      </c>
      <c r="G929" s="498"/>
      <c r="H929" s="628" t="s">
        <v>1092</v>
      </c>
      <c r="I929" s="256">
        <v>1</v>
      </c>
      <c r="J929" s="256">
        <v>14807</v>
      </c>
      <c r="K929" s="614">
        <f t="shared" si="65"/>
        <v>14807</v>
      </c>
      <c r="L929" s="39" t="s">
        <v>159</v>
      </c>
      <c r="M929" s="724" t="s">
        <v>157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94"/>
    </row>
    <row r="930" spans="1:27" ht="15.75" customHeight="1">
      <c r="A930" s="204" t="str">
        <f>IF(B930&lt;&gt;"",IF(AND(B930&gt;=_TM1,B930&lt;=_TM2,OR(TH!L930="1111",TH!M930="1111")),TH!D930,""),"")</f>
        <v/>
      </c>
      <c r="B930" s="36">
        <f t="shared" si="67"/>
        <v>6</v>
      </c>
      <c r="C930" s="191">
        <f t="shared" si="66"/>
        <v>40723</v>
      </c>
      <c r="D930" s="191" t="s">
        <v>1125</v>
      </c>
      <c r="E930" s="191">
        <v>40723</v>
      </c>
      <c r="F930" s="192" t="s">
        <v>925</v>
      </c>
      <c r="G930" s="498"/>
      <c r="H930" s="628" t="s">
        <v>1092</v>
      </c>
      <c r="I930" s="256">
        <v>9</v>
      </c>
      <c r="J930" s="256">
        <v>14806.555555555555</v>
      </c>
      <c r="K930" s="614">
        <f t="shared" ref="K930:K961" si="68">ROUND(I930*J930,0)</f>
        <v>133259</v>
      </c>
      <c r="L930" s="39" t="s">
        <v>159</v>
      </c>
      <c r="M930" s="724" t="s">
        <v>157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94"/>
    </row>
    <row r="931" spans="1:27" ht="15.75" customHeight="1">
      <c r="A931" s="204" t="str">
        <f>IF(B931&lt;&gt;"",IF(AND(B931&gt;=_TM1,B931&lt;=_TM2,OR(TH!L931="1111",TH!M931="1111")),TH!D931,""),"")</f>
        <v/>
      </c>
      <c r="B931" s="36">
        <f t="shared" si="67"/>
        <v>6</v>
      </c>
      <c r="C931" s="191">
        <f t="shared" si="66"/>
        <v>40723</v>
      </c>
      <c r="D931" s="191" t="s">
        <v>1125</v>
      </c>
      <c r="E931" s="37">
        <v>40723</v>
      </c>
      <c r="F931" s="192" t="s">
        <v>926</v>
      </c>
      <c r="G931" s="40"/>
      <c r="H931" s="628" t="s">
        <v>1092</v>
      </c>
      <c r="I931" s="842">
        <v>291</v>
      </c>
      <c r="J931" s="821">
        <v>7483.5120274914088</v>
      </c>
      <c r="K931" s="614">
        <f t="shared" si="68"/>
        <v>2177702</v>
      </c>
      <c r="L931" s="39" t="s">
        <v>159</v>
      </c>
      <c r="M931" s="724" t="s">
        <v>157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94"/>
    </row>
    <row r="932" spans="1:27" ht="15.75" customHeight="1">
      <c r="A932" s="204" t="str">
        <f>IF(B932&lt;&gt;"",IF(AND(B932&gt;=_TM1,B932&lt;=_TM2,OR(TH!L932="1111",TH!M932="1111")),TH!D932,""),"")</f>
        <v/>
      </c>
      <c r="B932" s="36">
        <f t="shared" si="67"/>
        <v>6</v>
      </c>
      <c r="C932" s="191">
        <f t="shared" si="66"/>
        <v>40723</v>
      </c>
      <c r="D932" s="191" t="s">
        <v>1125</v>
      </c>
      <c r="E932" s="37">
        <v>40723</v>
      </c>
      <c r="F932" s="40" t="s">
        <v>914</v>
      </c>
      <c r="G932" s="40"/>
      <c r="H932" s="628" t="s">
        <v>1092</v>
      </c>
      <c r="I932" s="842">
        <v>1</v>
      </c>
      <c r="J932" s="821">
        <v>7484</v>
      </c>
      <c r="K932" s="614">
        <f t="shared" si="68"/>
        <v>7484</v>
      </c>
      <c r="L932" s="39" t="s">
        <v>159</v>
      </c>
      <c r="M932" s="724" t="s">
        <v>157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94"/>
    </row>
    <row r="933" spans="1:27" ht="15.75" customHeight="1">
      <c r="A933" s="204" t="str">
        <f>IF(B933&lt;&gt;"",IF(AND(B933&gt;=_TM1,B933&lt;=_TM2,OR(TH!L933="1111",TH!M933="1111")),TH!D933,""),"")</f>
        <v/>
      </c>
      <c r="B933" s="36">
        <f t="shared" si="67"/>
        <v>6</v>
      </c>
      <c r="C933" s="191">
        <f t="shared" si="66"/>
        <v>40723</v>
      </c>
      <c r="D933" s="191" t="s">
        <v>1125</v>
      </c>
      <c r="E933" s="37">
        <v>40723</v>
      </c>
      <c r="F933" s="189" t="s">
        <v>741</v>
      </c>
      <c r="G933" s="40"/>
      <c r="H933" s="628" t="s">
        <v>1092</v>
      </c>
      <c r="I933" s="842">
        <v>119</v>
      </c>
      <c r="J933" s="821">
        <v>17439.512605042019</v>
      </c>
      <c r="K933" s="614">
        <f t="shared" si="68"/>
        <v>2075302</v>
      </c>
      <c r="L933" s="39" t="s">
        <v>159</v>
      </c>
      <c r="M933" s="724" t="s">
        <v>157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94"/>
    </row>
    <row r="934" spans="1:27" ht="15.75" customHeight="1">
      <c r="A934" s="204" t="str">
        <f>IF(B934&lt;&gt;"",IF(AND(B934&gt;=_TM1,B934&lt;=_TM2,OR(TH!L934="1111",TH!M934="1111")),TH!D934,""),"")</f>
        <v/>
      </c>
      <c r="B934" s="36">
        <f t="shared" si="67"/>
        <v>6</v>
      </c>
      <c r="C934" s="191">
        <f t="shared" si="66"/>
        <v>40723</v>
      </c>
      <c r="D934" s="191" t="s">
        <v>1125</v>
      </c>
      <c r="E934" s="37">
        <v>40723</v>
      </c>
      <c r="F934" s="298" t="s">
        <v>904</v>
      </c>
      <c r="G934" s="40"/>
      <c r="H934" s="628" t="s">
        <v>1092</v>
      </c>
      <c r="I934" s="842">
        <v>304</v>
      </c>
      <c r="J934" s="821">
        <v>12545.513157894737</v>
      </c>
      <c r="K934" s="614">
        <f t="shared" si="68"/>
        <v>3813836</v>
      </c>
      <c r="L934" s="39" t="s">
        <v>159</v>
      </c>
      <c r="M934" s="724" t="s">
        <v>157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94"/>
    </row>
    <row r="935" spans="1:27" ht="15.75" customHeight="1">
      <c r="A935" s="204" t="str">
        <f>IF(B935&lt;&gt;"",IF(AND(B935&gt;=_TM1,B935&lt;=_TM2,OR(TH!L935="1111",TH!M935="1111")),TH!D935,""),"")</f>
        <v/>
      </c>
      <c r="B935" s="36">
        <f t="shared" si="67"/>
        <v>6</v>
      </c>
      <c r="C935" s="191">
        <f t="shared" si="66"/>
        <v>40723</v>
      </c>
      <c r="D935" s="191" t="s">
        <v>1125</v>
      </c>
      <c r="E935" s="37">
        <v>40723</v>
      </c>
      <c r="F935" s="189" t="s">
        <v>903</v>
      </c>
      <c r="G935" s="40"/>
      <c r="H935" s="628" t="s">
        <v>1092</v>
      </c>
      <c r="I935" s="842">
        <v>65</v>
      </c>
      <c r="J935" s="821">
        <v>8499.5076923076922</v>
      </c>
      <c r="K935" s="614">
        <f t="shared" si="68"/>
        <v>552468</v>
      </c>
      <c r="L935" s="39" t="s">
        <v>159</v>
      </c>
      <c r="M935" s="724" t="s">
        <v>157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94"/>
    </row>
    <row r="936" spans="1:27" ht="15.75" customHeight="1">
      <c r="A936" s="204" t="str">
        <f>IF(B936&lt;&gt;"",IF(AND(B936&gt;=_TM1,B936&lt;=_TM2,OR(TH!L936="1111",TH!M936="1111")),TH!D936,""),"")</f>
        <v/>
      </c>
      <c r="B936" s="36">
        <f t="shared" si="67"/>
        <v>6</v>
      </c>
      <c r="C936" s="191">
        <f t="shared" si="66"/>
        <v>40723</v>
      </c>
      <c r="D936" s="191" t="s">
        <v>1125</v>
      </c>
      <c r="E936" s="37">
        <v>40723</v>
      </c>
      <c r="F936" s="298" t="s">
        <v>925</v>
      </c>
      <c r="G936" s="40"/>
      <c r="H936" s="628" t="s">
        <v>1092</v>
      </c>
      <c r="I936" s="842">
        <v>32</v>
      </c>
      <c r="J936" s="821">
        <v>14806.5</v>
      </c>
      <c r="K936" s="614">
        <f t="shared" si="68"/>
        <v>473808</v>
      </c>
      <c r="L936" s="39" t="s">
        <v>159</v>
      </c>
      <c r="M936" s="724" t="s">
        <v>157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94"/>
    </row>
    <row r="937" spans="1:27" ht="15.75" customHeight="1">
      <c r="A937" s="204" t="str">
        <f>IF(B937&lt;&gt;"",IF(AND(B937&gt;=_TM1,B937&lt;=_TM2,OR(TH!L937="1111",TH!M937="1111")),TH!D937,""),"")</f>
        <v/>
      </c>
      <c r="B937" s="36">
        <f t="shared" si="67"/>
        <v>6</v>
      </c>
      <c r="C937" s="191">
        <f t="shared" si="66"/>
        <v>40723</v>
      </c>
      <c r="D937" s="191" t="s">
        <v>1125</v>
      </c>
      <c r="E937" s="37">
        <v>40723</v>
      </c>
      <c r="F937" s="298" t="s">
        <v>750</v>
      </c>
      <c r="G937" s="40"/>
      <c r="H937" s="628" t="s">
        <v>1092</v>
      </c>
      <c r="I937" s="842">
        <v>5</v>
      </c>
      <c r="J937" s="821">
        <v>15586</v>
      </c>
      <c r="K937" s="614">
        <f t="shared" si="68"/>
        <v>77930</v>
      </c>
      <c r="L937" s="39" t="s">
        <v>159</v>
      </c>
      <c r="M937" s="724" t="s">
        <v>157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94"/>
    </row>
    <row r="938" spans="1:27" ht="15.75" customHeight="1">
      <c r="A938" s="204" t="str">
        <f>IF(B938&lt;&gt;"",IF(AND(B938&gt;=_TM1,B938&lt;=_TM2,OR(TH!L938="1111",TH!M938="1111")),TH!D938,""),"")</f>
        <v/>
      </c>
      <c r="B938" s="36">
        <f t="shared" si="67"/>
        <v>6</v>
      </c>
      <c r="C938" s="191">
        <f t="shared" si="66"/>
        <v>40723</v>
      </c>
      <c r="D938" s="191" t="s">
        <v>1125</v>
      </c>
      <c r="E938" s="37">
        <v>40723</v>
      </c>
      <c r="F938" s="298" t="s">
        <v>913</v>
      </c>
      <c r="G938" s="40"/>
      <c r="H938" s="628" t="s">
        <v>1092</v>
      </c>
      <c r="I938" s="842">
        <v>80</v>
      </c>
      <c r="J938" s="821">
        <v>13362.012500000001</v>
      </c>
      <c r="K938" s="614">
        <f t="shared" si="68"/>
        <v>1068961</v>
      </c>
      <c r="L938" s="39" t="s">
        <v>159</v>
      </c>
      <c r="M938" s="724" t="s">
        <v>157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94"/>
    </row>
    <row r="939" spans="1:27" ht="15.75" customHeight="1">
      <c r="A939" s="204" t="str">
        <f>IF(B939&lt;&gt;"",IF(AND(B939&gt;=_TM1,B939&lt;=_TM2,OR(TH!L939="1111",TH!M939="1111")),TH!D939,""),"")</f>
        <v/>
      </c>
      <c r="B939" s="36">
        <f t="shared" si="67"/>
        <v>6</v>
      </c>
      <c r="C939" s="191">
        <f t="shared" si="66"/>
        <v>40723</v>
      </c>
      <c r="D939" s="191" t="s">
        <v>1126</v>
      </c>
      <c r="E939" s="37">
        <v>40723</v>
      </c>
      <c r="F939" s="189" t="s">
        <v>746</v>
      </c>
      <c r="G939" s="40"/>
      <c r="H939" s="628" t="s">
        <v>1092</v>
      </c>
      <c r="I939" s="842">
        <v>49</v>
      </c>
      <c r="J939" s="821">
        <v>8499.5102040816328</v>
      </c>
      <c r="K939" s="614">
        <f t="shared" si="68"/>
        <v>416476</v>
      </c>
      <c r="L939" s="39" t="s">
        <v>159</v>
      </c>
      <c r="M939" s="724" t="s">
        <v>157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94"/>
    </row>
    <row r="940" spans="1:27" ht="15.75" customHeight="1">
      <c r="A940" s="204" t="str">
        <f>IF(B940&lt;&gt;"",IF(AND(B940&gt;=_TM1,B940&lt;=_TM2,OR(TH!L940="1111",TH!M940="1111")),TH!D940,""),"")</f>
        <v/>
      </c>
      <c r="B940" s="36">
        <f t="shared" si="67"/>
        <v>6</v>
      </c>
      <c r="C940" s="191">
        <f t="shared" si="66"/>
        <v>40723</v>
      </c>
      <c r="D940" s="191" t="s">
        <v>1126</v>
      </c>
      <c r="E940" s="37">
        <v>40723</v>
      </c>
      <c r="F940" s="189" t="s">
        <v>758</v>
      </c>
      <c r="G940" s="40"/>
      <c r="H940" s="628" t="s">
        <v>1092</v>
      </c>
      <c r="I940" s="842">
        <v>2</v>
      </c>
      <c r="J940" s="821">
        <v>5951.5</v>
      </c>
      <c r="K940" s="614">
        <f t="shared" si="68"/>
        <v>11903</v>
      </c>
      <c r="L940" s="39" t="s">
        <v>159</v>
      </c>
      <c r="M940" s="724" t="s">
        <v>157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94"/>
    </row>
    <row r="941" spans="1:27" ht="15.75" customHeight="1">
      <c r="A941" s="204" t="str">
        <f>IF(B941&lt;&gt;"",IF(AND(B941&gt;=_TM1,B941&lt;=_TM2,OR(TH!L941="1111",TH!M941="1111")),TH!D941,""),"")</f>
        <v/>
      </c>
      <c r="B941" s="36">
        <f t="shared" si="67"/>
        <v>6</v>
      </c>
      <c r="C941" s="191">
        <f t="shared" si="66"/>
        <v>40723</v>
      </c>
      <c r="D941" s="191" t="s">
        <v>1126</v>
      </c>
      <c r="E941" s="37">
        <v>40723</v>
      </c>
      <c r="F941" s="40" t="s">
        <v>928</v>
      </c>
      <c r="G941" s="40"/>
      <c r="H941" s="628" t="s">
        <v>1092</v>
      </c>
      <c r="I941" s="306">
        <v>2</v>
      </c>
      <c r="J941" s="822">
        <v>9590.5</v>
      </c>
      <c r="K941" s="614">
        <f t="shared" si="68"/>
        <v>19181</v>
      </c>
      <c r="L941" s="39" t="s">
        <v>159</v>
      </c>
      <c r="M941" s="724" t="s">
        <v>157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94"/>
    </row>
    <row r="942" spans="1:27" ht="15.75" customHeight="1">
      <c r="A942" s="204" t="str">
        <f>IF(B942&lt;&gt;"",IF(AND(B942&gt;=_TM1,B942&lt;=_TM2,OR(TH!L942="1111",TH!M942="1111")),TH!D942,""),"")</f>
        <v/>
      </c>
      <c r="B942" s="36">
        <f t="shared" si="67"/>
        <v>6</v>
      </c>
      <c r="C942" s="191">
        <f t="shared" si="66"/>
        <v>40723</v>
      </c>
      <c r="D942" s="191" t="s">
        <v>1126</v>
      </c>
      <c r="E942" s="37">
        <v>40723</v>
      </c>
      <c r="F942" s="192" t="s">
        <v>926</v>
      </c>
      <c r="G942" s="40"/>
      <c r="H942" s="628" t="s">
        <v>1092</v>
      </c>
      <c r="I942" s="306">
        <v>5</v>
      </c>
      <c r="J942" s="822">
        <v>7483.6</v>
      </c>
      <c r="K942" s="614">
        <f t="shared" si="68"/>
        <v>37418</v>
      </c>
      <c r="L942" s="39" t="s">
        <v>159</v>
      </c>
      <c r="M942" s="724" t="s">
        <v>157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94"/>
    </row>
    <row r="943" spans="1:27" ht="15.75" customHeight="1">
      <c r="A943" s="204" t="str">
        <f>IF(B943&lt;&gt;"",IF(AND(B943&gt;=_TM1,B943&lt;=_TM2,OR(TH!L943="1111",TH!M943="1111")),TH!D943,""),"")</f>
        <v/>
      </c>
      <c r="B943" s="36">
        <f t="shared" si="67"/>
        <v>6</v>
      </c>
      <c r="C943" s="191">
        <f t="shared" si="66"/>
        <v>40723</v>
      </c>
      <c r="D943" s="191" t="s">
        <v>1126</v>
      </c>
      <c r="E943" s="37">
        <v>40723</v>
      </c>
      <c r="F943" s="40" t="s">
        <v>755</v>
      </c>
      <c r="G943" s="40"/>
      <c r="H943" s="628" t="s">
        <v>1092</v>
      </c>
      <c r="I943" s="306">
        <v>1</v>
      </c>
      <c r="J943" s="822">
        <v>9591</v>
      </c>
      <c r="K943" s="614">
        <f t="shared" si="68"/>
        <v>9591</v>
      </c>
      <c r="L943" s="39" t="s">
        <v>159</v>
      </c>
      <c r="M943" s="724" t="s">
        <v>157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94"/>
    </row>
    <row r="944" spans="1:27" ht="15.75" customHeight="1">
      <c r="A944" s="204" t="str">
        <f>IF(B944&lt;&gt;"",IF(AND(B944&gt;=_TM1,B944&lt;=_TM2,OR(TH!L944="1111",TH!M944="1111")),TH!D944,""),"")</f>
        <v/>
      </c>
      <c r="B944" s="36">
        <f t="shared" si="67"/>
        <v>6</v>
      </c>
      <c r="C944" s="191">
        <f t="shared" ref="C944:C975" si="69">E944</f>
        <v>40723</v>
      </c>
      <c r="D944" s="191" t="s">
        <v>1126</v>
      </c>
      <c r="E944" s="37">
        <v>40723</v>
      </c>
      <c r="F944" s="189" t="s">
        <v>757</v>
      </c>
      <c r="G944" s="40"/>
      <c r="H944" s="628" t="s">
        <v>1092</v>
      </c>
      <c r="I944" s="306">
        <v>1</v>
      </c>
      <c r="J944" s="822">
        <v>5809</v>
      </c>
      <c r="K944" s="614">
        <f t="shared" si="68"/>
        <v>5809</v>
      </c>
      <c r="L944" s="39" t="s">
        <v>159</v>
      </c>
      <c r="M944" s="724" t="s">
        <v>157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94"/>
    </row>
    <row r="945" spans="1:27" ht="15.75" customHeight="1">
      <c r="A945" s="204" t="str">
        <f>IF(B945&lt;&gt;"",IF(AND(B945&gt;=_TM1,B945&lt;=_TM2,OR(TH!L945="1111",TH!M945="1111")),TH!D945,""),"")</f>
        <v/>
      </c>
      <c r="B945" s="36">
        <f t="shared" si="67"/>
        <v>6</v>
      </c>
      <c r="C945" s="191">
        <f t="shared" si="69"/>
        <v>40723</v>
      </c>
      <c r="D945" s="191" t="s">
        <v>1126</v>
      </c>
      <c r="E945" s="37">
        <v>40723</v>
      </c>
      <c r="F945" s="189" t="s">
        <v>753</v>
      </c>
      <c r="G945" s="40"/>
      <c r="H945" s="628" t="s">
        <v>1092</v>
      </c>
      <c r="I945" s="306">
        <v>3</v>
      </c>
      <c r="J945" s="822">
        <v>15438.666666666666</v>
      </c>
      <c r="K945" s="614">
        <f t="shared" si="68"/>
        <v>46316</v>
      </c>
      <c r="L945" s="39" t="s">
        <v>159</v>
      </c>
      <c r="M945" s="724" t="s">
        <v>157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94"/>
    </row>
    <row r="946" spans="1:27" ht="15.75" customHeight="1">
      <c r="A946" s="204" t="str">
        <f>IF(B946&lt;&gt;"",IF(AND(B946&gt;=_TM1,B946&lt;=_TM2,OR(TH!L946="1111",TH!M946="1111")),TH!D946,""),"")</f>
        <v/>
      </c>
      <c r="B946" s="36">
        <f t="shared" si="67"/>
        <v>6</v>
      </c>
      <c r="C946" s="191">
        <f t="shared" si="69"/>
        <v>40723</v>
      </c>
      <c r="D946" s="191" t="s">
        <v>1126</v>
      </c>
      <c r="E946" s="37">
        <v>40723</v>
      </c>
      <c r="F946" s="40" t="s">
        <v>747</v>
      </c>
      <c r="G946" s="40"/>
      <c r="H946" s="628" t="s">
        <v>1092</v>
      </c>
      <c r="I946" s="306">
        <v>2</v>
      </c>
      <c r="J946" s="822">
        <v>9590.5</v>
      </c>
      <c r="K946" s="614">
        <f t="shared" si="68"/>
        <v>19181</v>
      </c>
      <c r="L946" s="39" t="s">
        <v>159</v>
      </c>
      <c r="M946" s="724" t="s">
        <v>157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94"/>
    </row>
    <row r="947" spans="1:27" ht="15.75" customHeight="1">
      <c r="A947" s="204" t="str">
        <f>IF(B947&lt;&gt;"",IF(AND(B947&gt;=_TM1,B947&lt;=_TM2,OR(TH!L947="1111",TH!M947="1111")),TH!D947,""),"")</f>
        <v/>
      </c>
      <c r="B947" s="36">
        <f t="shared" si="67"/>
        <v>6</v>
      </c>
      <c r="C947" s="191">
        <f t="shared" si="69"/>
        <v>40723</v>
      </c>
      <c r="D947" s="191" t="s">
        <v>1126</v>
      </c>
      <c r="E947" s="37">
        <v>40723</v>
      </c>
      <c r="F947" s="192" t="s">
        <v>922</v>
      </c>
      <c r="G947" s="40"/>
      <c r="H947" s="628" t="s">
        <v>1092</v>
      </c>
      <c r="I947" s="306">
        <v>8</v>
      </c>
      <c r="J947" s="822">
        <v>7385.5</v>
      </c>
      <c r="K947" s="614">
        <f t="shared" si="68"/>
        <v>59084</v>
      </c>
      <c r="L947" s="39" t="s">
        <v>159</v>
      </c>
      <c r="M947" s="724" t="s">
        <v>157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94"/>
    </row>
    <row r="948" spans="1:27" ht="15.75" customHeight="1">
      <c r="A948" s="204" t="str">
        <f>IF(B948&lt;&gt;"",IF(AND(B948&gt;=_TM1,B948&lt;=_TM2,OR(TH!L948="1111",TH!M948="1111")),TH!D948,""),"")</f>
        <v/>
      </c>
      <c r="B948" s="36">
        <f t="shared" si="67"/>
        <v>6</v>
      </c>
      <c r="C948" s="191">
        <f t="shared" si="69"/>
        <v>40723</v>
      </c>
      <c r="D948" s="191" t="s">
        <v>1127</v>
      </c>
      <c r="E948" s="37">
        <v>40723</v>
      </c>
      <c r="F948" s="298" t="s">
        <v>745</v>
      </c>
      <c r="G948" s="40"/>
      <c r="H948" s="628" t="s">
        <v>1092</v>
      </c>
      <c r="I948" s="306">
        <v>1</v>
      </c>
      <c r="J948" s="822">
        <v>7484</v>
      </c>
      <c r="K948" s="614">
        <f t="shared" si="68"/>
        <v>7484</v>
      </c>
      <c r="L948" s="39" t="s">
        <v>159</v>
      </c>
      <c r="M948" s="724" t="s">
        <v>157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94"/>
    </row>
    <row r="949" spans="1:27" ht="15.75" customHeight="1">
      <c r="A949" s="204" t="str">
        <f>IF(B949&lt;&gt;"",IF(AND(B949&gt;=_TM1,B949&lt;=_TM2,OR(TH!L949="1111",TH!M949="1111")),TH!D949,""),"")</f>
        <v/>
      </c>
      <c r="B949" s="36">
        <f t="shared" si="67"/>
        <v>6</v>
      </c>
      <c r="C949" s="191">
        <f t="shared" si="69"/>
        <v>40723</v>
      </c>
      <c r="D949" s="191" t="s">
        <v>1127</v>
      </c>
      <c r="E949" s="37">
        <v>40723</v>
      </c>
      <c r="F949" s="298" t="s">
        <v>748</v>
      </c>
      <c r="G949" s="40"/>
      <c r="H949" s="628" t="s">
        <v>1092</v>
      </c>
      <c r="I949" s="306">
        <v>1</v>
      </c>
      <c r="J949" s="822">
        <v>9591</v>
      </c>
      <c r="K949" s="614">
        <f t="shared" si="68"/>
        <v>9591</v>
      </c>
      <c r="L949" s="39" t="s">
        <v>159</v>
      </c>
      <c r="M949" s="724" t="s">
        <v>157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94"/>
    </row>
    <row r="950" spans="1:27" ht="15.75" customHeight="1">
      <c r="A950" s="204" t="str">
        <f>IF(B950&lt;&gt;"",IF(AND(B950&gt;=_TM1,B950&lt;=_TM2,OR(TH!L950="1111",TH!M950="1111")),TH!D950,""),"")</f>
        <v/>
      </c>
      <c r="B950" s="36">
        <f t="shared" si="67"/>
        <v>6</v>
      </c>
      <c r="C950" s="191">
        <f t="shared" si="69"/>
        <v>40723</v>
      </c>
      <c r="D950" s="191" t="s">
        <v>1127</v>
      </c>
      <c r="E950" s="37">
        <v>40723</v>
      </c>
      <c r="F950" s="298" t="s">
        <v>749</v>
      </c>
      <c r="G950" s="40"/>
      <c r="H950" s="628" t="s">
        <v>1092</v>
      </c>
      <c r="I950" s="306">
        <v>4</v>
      </c>
      <c r="J950" s="822">
        <v>10554.5</v>
      </c>
      <c r="K950" s="614">
        <f t="shared" si="68"/>
        <v>42218</v>
      </c>
      <c r="L950" s="39" t="s">
        <v>159</v>
      </c>
      <c r="M950" s="724" t="s">
        <v>157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94"/>
    </row>
    <row r="951" spans="1:27" ht="15.75" customHeight="1">
      <c r="A951" s="204" t="str">
        <f>IF(B951&lt;&gt;"",IF(AND(B951&gt;=_TM1,B951&lt;=_TM2,OR(TH!L951="1111",TH!M951="1111")),TH!D951,""),"")</f>
        <v/>
      </c>
      <c r="B951" s="36">
        <f t="shared" si="67"/>
        <v>6</v>
      </c>
      <c r="C951" s="191">
        <f t="shared" si="69"/>
        <v>40723</v>
      </c>
      <c r="D951" s="191" t="s">
        <v>1127</v>
      </c>
      <c r="E951" s="37">
        <v>40723</v>
      </c>
      <c r="F951" s="298" t="s">
        <v>754</v>
      </c>
      <c r="G951" s="40"/>
      <c r="H951" s="628" t="s">
        <v>1092</v>
      </c>
      <c r="I951" s="306">
        <v>1</v>
      </c>
      <c r="J951" s="822">
        <v>9591</v>
      </c>
      <c r="K951" s="614">
        <f t="shared" si="68"/>
        <v>9591</v>
      </c>
      <c r="L951" s="39" t="s">
        <v>159</v>
      </c>
      <c r="M951" s="724" t="s">
        <v>157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94"/>
    </row>
    <row r="952" spans="1:27" ht="15.75" customHeight="1">
      <c r="A952" s="204" t="str">
        <f>IF(B952&lt;&gt;"",IF(AND(B952&gt;=_TM1,B952&lt;=_TM2,OR(TH!L952="1111",TH!M952="1111")),TH!D952,""),"")</f>
        <v/>
      </c>
      <c r="B952" s="36">
        <f t="shared" si="67"/>
        <v>6</v>
      </c>
      <c r="C952" s="191">
        <f t="shared" si="69"/>
        <v>40723</v>
      </c>
      <c r="D952" s="191" t="s">
        <v>1127</v>
      </c>
      <c r="E952" s="37">
        <v>40723</v>
      </c>
      <c r="F952" s="298" t="s">
        <v>930</v>
      </c>
      <c r="G952" s="40"/>
      <c r="H952" s="628" t="s">
        <v>1092</v>
      </c>
      <c r="I952" s="306">
        <v>2</v>
      </c>
      <c r="J952" s="822">
        <v>5808.5</v>
      </c>
      <c r="K952" s="614">
        <f t="shared" si="68"/>
        <v>11617</v>
      </c>
      <c r="L952" s="39" t="s">
        <v>159</v>
      </c>
      <c r="M952" s="724" t="s">
        <v>157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94"/>
    </row>
    <row r="953" spans="1:27" ht="15.75" customHeight="1">
      <c r="A953" s="204" t="str">
        <f>IF(B953&lt;&gt;"",IF(AND(B953&gt;=_TM1,B953&lt;=_TM2,OR(TH!L953="1111",TH!M953="1111")),TH!D953,""),"")</f>
        <v/>
      </c>
      <c r="B953" s="36">
        <f t="shared" si="67"/>
        <v>6</v>
      </c>
      <c r="C953" s="191">
        <f t="shared" si="69"/>
        <v>40723</v>
      </c>
      <c r="D953" s="191" t="s">
        <v>1127</v>
      </c>
      <c r="E953" s="37">
        <v>40723</v>
      </c>
      <c r="F953" s="298" t="s">
        <v>931</v>
      </c>
      <c r="G953" s="40"/>
      <c r="H953" s="628" t="s">
        <v>1092</v>
      </c>
      <c r="I953" s="306">
        <v>2</v>
      </c>
      <c r="J953" s="822">
        <v>10554.5</v>
      </c>
      <c r="K953" s="614">
        <f t="shared" si="68"/>
        <v>21109</v>
      </c>
      <c r="L953" s="39" t="s">
        <v>159</v>
      </c>
      <c r="M953" s="724" t="s">
        <v>157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94"/>
    </row>
    <row r="954" spans="1:27" ht="15.75" customHeight="1">
      <c r="A954" s="204" t="str">
        <f>IF(B954&lt;&gt;"",IF(AND(B954&gt;=_TM1,B954&lt;=_TM2,OR(TH!L954="1111",TH!M954="1111")),TH!D954,""),"")</f>
        <v/>
      </c>
      <c r="B954" s="36">
        <f t="shared" si="67"/>
        <v>6</v>
      </c>
      <c r="C954" s="191">
        <f t="shared" si="69"/>
        <v>40723</v>
      </c>
      <c r="D954" s="191" t="s">
        <v>1127</v>
      </c>
      <c r="E954" s="37">
        <v>40723</v>
      </c>
      <c r="F954" s="189" t="s">
        <v>744</v>
      </c>
      <c r="G954" s="40"/>
      <c r="H954" s="628" t="s">
        <v>1092</v>
      </c>
      <c r="I954" s="306">
        <v>37</v>
      </c>
      <c r="J954" s="772">
        <v>13362</v>
      </c>
      <c r="K954" s="614">
        <f t="shared" si="68"/>
        <v>494394</v>
      </c>
      <c r="L954" s="39" t="s">
        <v>159</v>
      </c>
      <c r="M954" s="724" t="s">
        <v>157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94"/>
    </row>
    <row r="955" spans="1:27" ht="15.75" customHeight="1">
      <c r="A955" s="204" t="str">
        <f>IF(B955&lt;&gt;"",IF(AND(B955&gt;=_TM1,B955&lt;=_TM2,OR(TH!L955="1111",TH!M955="1111")),TH!D955,""),"")</f>
        <v/>
      </c>
      <c r="B955" s="36">
        <f t="shared" si="67"/>
        <v>6</v>
      </c>
      <c r="C955" s="191">
        <f t="shared" si="69"/>
        <v>40723</v>
      </c>
      <c r="D955" s="191" t="s">
        <v>1127</v>
      </c>
      <c r="E955" s="37">
        <v>40723</v>
      </c>
      <c r="F955" s="40" t="s">
        <v>932</v>
      </c>
      <c r="G955" s="40"/>
      <c r="H955" s="628" t="s">
        <v>1092</v>
      </c>
      <c r="I955" s="306">
        <v>897</v>
      </c>
      <c r="J955" s="822">
        <v>9361.1794871794864</v>
      </c>
      <c r="K955" s="614">
        <f t="shared" si="68"/>
        <v>8396978</v>
      </c>
      <c r="L955" s="39" t="s">
        <v>159</v>
      </c>
      <c r="M955" s="724" t="s">
        <v>157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94"/>
    </row>
    <row r="956" spans="1:27" ht="15.75" customHeight="1">
      <c r="A956" s="204" t="str">
        <f>IF(B956&lt;&gt;"",IF(AND(B956&gt;=_TM1,B956&lt;=_TM2,OR(TH!L956="1111",TH!M956="1111")),TH!D956,""),"")</f>
        <v/>
      </c>
      <c r="B956" s="36">
        <f t="shared" si="67"/>
        <v>6</v>
      </c>
      <c r="C956" s="191">
        <f t="shared" si="69"/>
        <v>40723</v>
      </c>
      <c r="D956" s="191" t="s">
        <v>1127</v>
      </c>
      <c r="E956" s="37">
        <v>40723</v>
      </c>
      <c r="F956" s="189" t="s">
        <v>929</v>
      </c>
      <c r="G956" s="40"/>
      <c r="H956" s="628" t="s">
        <v>1092</v>
      </c>
      <c r="I956" s="306">
        <v>917</v>
      </c>
      <c r="J956" s="822">
        <v>2523.9182115594331</v>
      </c>
      <c r="K956" s="614">
        <f t="shared" si="68"/>
        <v>2314433</v>
      </c>
      <c r="L956" s="39" t="s">
        <v>159</v>
      </c>
      <c r="M956" s="724" t="s">
        <v>157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94"/>
    </row>
    <row r="957" spans="1:27" ht="15.75" customHeight="1">
      <c r="A957" s="204" t="str">
        <f>IF(B957&lt;&gt;"",IF(AND(B957&gt;=_TM1,B957&lt;=_TM2,OR(TH!L957="1111",TH!M957="1111")),TH!D957,""),"")</f>
        <v/>
      </c>
      <c r="B957" s="36">
        <f t="shared" si="67"/>
        <v>6</v>
      </c>
      <c r="C957" s="191">
        <f t="shared" si="69"/>
        <v>40723</v>
      </c>
      <c r="D957" s="191" t="s">
        <v>1128</v>
      </c>
      <c r="E957" s="37">
        <v>40723</v>
      </c>
      <c r="F957" s="189" t="s">
        <v>933</v>
      </c>
      <c r="G957" s="40"/>
      <c r="H957" s="628" t="s">
        <v>1092</v>
      </c>
      <c r="I957" s="306">
        <v>169</v>
      </c>
      <c r="J957" s="822">
        <v>7385.5147928994083</v>
      </c>
      <c r="K957" s="614">
        <f t="shared" si="68"/>
        <v>1248152</v>
      </c>
      <c r="L957" s="39" t="s">
        <v>159</v>
      </c>
      <c r="M957" s="724" t="s">
        <v>157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94"/>
    </row>
    <row r="958" spans="1:27" ht="15.75" customHeight="1">
      <c r="A958" s="204" t="str">
        <f>IF(B958&lt;&gt;"",IF(AND(B958&gt;=_TM1,B958&lt;=_TM2,OR(TH!L958="1111",TH!M958="1111")),TH!D958,""),"")</f>
        <v/>
      </c>
      <c r="B958" s="36">
        <f t="shared" si="67"/>
        <v>6</v>
      </c>
      <c r="C958" s="191">
        <f t="shared" si="69"/>
        <v>40723</v>
      </c>
      <c r="D958" s="191" t="s">
        <v>1128</v>
      </c>
      <c r="E958" s="37">
        <v>40723</v>
      </c>
      <c r="F958" s="40" t="s">
        <v>929</v>
      </c>
      <c r="G958" s="40"/>
      <c r="H958" s="628" t="s">
        <v>1092</v>
      </c>
      <c r="I958" s="306">
        <v>170</v>
      </c>
      <c r="J958" s="822">
        <v>2471.7647058823532</v>
      </c>
      <c r="K958" s="614">
        <f t="shared" si="68"/>
        <v>420200</v>
      </c>
      <c r="L958" s="39" t="s">
        <v>159</v>
      </c>
      <c r="M958" s="724" t="s">
        <v>157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94"/>
    </row>
    <row r="959" spans="1:27" ht="15.75" customHeight="1">
      <c r="A959" s="204" t="str">
        <f>IF(B959&lt;&gt;"",IF(AND(B959&gt;=_TM1,B959&lt;=_TM2,OR(TH!L959="1111",TH!M959="1111")),TH!D959,""),"")</f>
        <v/>
      </c>
      <c r="B959" s="36">
        <f t="shared" si="67"/>
        <v>6</v>
      </c>
      <c r="C959" s="191">
        <f t="shared" si="69"/>
        <v>40723</v>
      </c>
      <c r="D959" s="191" t="s">
        <v>1128</v>
      </c>
      <c r="E959" s="37">
        <v>40723</v>
      </c>
      <c r="F959" s="298" t="s">
        <v>742</v>
      </c>
      <c r="G959" s="40"/>
      <c r="H959" s="628" t="s">
        <v>1092</v>
      </c>
      <c r="I959" s="306">
        <v>442</v>
      </c>
      <c r="J959" s="772">
        <v>18786.513574660632</v>
      </c>
      <c r="K959" s="614">
        <f t="shared" si="68"/>
        <v>8303639</v>
      </c>
      <c r="L959" s="39" t="s">
        <v>159</v>
      </c>
      <c r="M959" s="724" t="s">
        <v>157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94"/>
    </row>
    <row r="960" spans="1:27" ht="15.75" customHeight="1">
      <c r="A960" s="204" t="str">
        <f>IF(B960&lt;&gt;"",IF(AND(B960&gt;=_TM1,B960&lt;=_TM2,OR(TH!L960="1111",TH!M960="1111")),TH!D960,""),"")</f>
        <v/>
      </c>
      <c r="B960" s="36">
        <f t="shared" si="67"/>
        <v>6</v>
      </c>
      <c r="C960" s="191">
        <f t="shared" si="69"/>
        <v>40723</v>
      </c>
      <c r="D960" s="191" t="s">
        <v>1128</v>
      </c>
      <c r="E960" s="37">
        <v>40723</v>
      </c>
      <c r="F960" s="189" t="s">
        <v>934</v>
      </c>
      <c r="G960" s="40"/>
      <c r="H960" s="628" t="s">
        <v>1092</v>
      </c>
      <c r="I960" s="306">
        <v>36</v>
      </c>
      <c r="J960" s="822">
        <v>17039.5</v>
      </c>
      <c r="K960" s="614">
        <f t="shared" si="68"/>
        <v>613422</v>
      </c>
      <c r="L960" s="39" t="s">
        <v>159</v>
      </c>
      <c r="M960" s="724" t="s">
        <v>157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94"/>
    </row>
    <row r="961" spans="1:27" ht="15.75" customHeight="1">
      <c r="A961" s="204" t="str">
        <f>IF(B961&lt;&gt;"",IF(AND(B961&gt;=_TM1,B961&lt;=_TM2,OR(TH!L961="1111",TH!M961="1111")),TH!D961,""),"")</f>
        <v/>
      </c>
      <c r="B961" s="36">
        <f t="shared" si="67"/>
        <v>6</v>
      </c>
      <c r="C961" s="191">
        <f t="shared" si="69"/>
        <v>40723</v>
      </c>
      <c r="D961" s="191" t="s">
        <v>1128</v>
      </c>
      <c r="E961" s="37">
        <v>40723</v>
      </c>
      <c r="F961" s="189" t="s">
        <v>929</v>
      </c>
      <c r="G961" s="40"/>
      <c r="H961" s="628" t="s">
        <v>1092</v>
      </c>
      <c r="I961" s="306">
        <v>90</v>
      </c>
      <c r="J961" s="822">
        <v>2471.7666666666669</v>
      </c>
      <c r="K961" s="614">
        <f t="shared" si="68"/>
        <v>222459</v>
      </c>
      <c r="L961" s="39" t="s">
        <v>159</v>
      </c>
      <c r="M961" s="724" t="s">
        <v>157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94"/>
    </row>
    <row r="962" spans="1:27" ht="15.75" customHeight="1">
      <c r="A962" s="204" t="str">
        <f>IF(B962&lt;&gt;"",IF(AND(B962&gt;=_TM1,B962&lt;=_TM2,OR(TH!L962="1111",TH!M962="1111")),TH!D962,""),"")</f>
        <v/>
      </c>
      <c r="B962" s="36">
        <f t="shared" si="67"/>
        <v>6</v>
      </c>
      <c r="C962" s="191">
        <f t="shared" si="69"/>
        <v>40723</v>
      </c>
      <c r="D962" s="191" t="s">
        <v>1128</v>
      </c>
      <c r="E962" s="37">
        <v>40723</v>
      </c>
      <c r="F962" s="40" t="s">
        <v>929</v>
      </c>
      <c r="G962" s="40"/>
      <c r="H962" s="628" t="s">
        <v>1092</v>
      </c>
      <c r="I962" s="306">
        <v>164</v>
      </c>
      <c r="J962" s="822">
        <v>2471.7621951219512</v>
      </c>
      <c r="K962" s="614">
        <f t="shared" ref="K962:K989" si="70">ROUND(I962*J962,0)</f>
        <v>405369</v>
      </c>
      <c r="L962" s="39" t="s">
        <v>159</v>
      </c>
      <c r="M962" s="724" t="s">
        <v>157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94"/>
    </row>
    <row r="963" spans="1:27" ht="15.75" customHeight="1">
      <c r="A963" s="204" t="str">
        <f>IF(B963&lt;&gt;"",IF(AND(B963&gt;=_TM1,B963&lt;=_TM2,OR(TH!L963="1111",TH!M963="1111")),TH!D963,""),"")</f>
        <v/>
      </c>
      <c r="B963" s="36">
        <f t="shared" si="67"/>
        <v>6</v>
      </c>
      <c r="C963" s="191">
        <f t="shared" si="69"/>
        <v>40723</v>
      </c>
      <c r="D963" s="191" t="s">
        <v>1128</v>
      </c>
      <c r="E963" s="37">
        <v>40723</v>
      </c>
      <c r="F963" s="298" t="s">
        <v>743</v>
      </c>
      <c r="G963" s="40"/>
      <c r="H963" s="628" t="s">
        <v>1092</v>
      </c>
      <c r="I963" s="306">
        <v>639</v>
      </c>
      <c r="J963" s="889">
        <v>18443.433489827858</v>
      </c>
      <c r="K963" s="614">
        <f t="shared" si="70"/>
        <v>11785354</v>
      </c>
      <c r="L963" s="39" t="s">
        <v>159</v>
      </c>
      <c r="M963" s="724" t="s">
        <v>157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94"/>
    </row>
    <row r="964" spans="1:27" ht="15.75" customHeight="1">
      <c r="A964" s="204" t="str">
        <f>IF(B964&lt;&gt;"",IF(AND(B964&gt;=_TM1,B964&lt;=_TM2,OR(TH!L964="1111",TH!M964="1111")),TH!D964,""),"")</f>
        <v/>
      </c>
      <c r="B964" s="36">
        <f t="shared" si="67"/>
        <v>6</v>
      </c>
      <c r="C964" s="191">
        <f t="shared" si="69"/>
        <v>40723</v>
      </c>
      <c r="D964" s="191" t="s">
        <v>1128</v>
      </c>
      <c r="E964" s="37">
        <v>40723</v>
      </c>
      <c r="F964" s="40" t="s">
        <v>929</v>
      </c>
      <c r="G964" s="40"/>
      <c r="H964" s="628" t="s">
        <v>1092</v>
      </c>
      <c r="I964" s="306">
        <v>210</v>
      </c>
      <c r="J964" s="821">
        <v>5808.5142857142855</v>
      </c>
      <c r="K964" s="614">
        <f t="shared" si="70"/>
        <v>1219788</v>
      </c>
      <c r="L964" s="39" t="s">
        <v>159</v>
      </c>
      <c r="M964" s="724" t="s">
        <v>157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94"/>
    </row>
    <row r="965" spans="1:27" ht="15.75" customHeight="1">
      <c r="A965" s="204" t="str">
        <f>IF(B965&lt;&gt;"",IF(AND(B965&gt;=_TM1,B965&lt;=_TM2,OR(TH!L965="1111",TH!M965="1111")),TH!D965,""),"")</f>
        <v/>
      </c>
      <c r="B965" s="36">
        <f t="shared" si="67"/>
        <v>6</v>
      </c>
      <c r="C965" s="191">
        <f t="shared" si="69"/>
        <v>40723</v>
      </c>
      <c r="D965" s="191" t="s">
        <v>1128</v>
      </c>
      <c r="E965" s="37">
        <v>40723</v>
      </c>
      <c r="F965" s="40" t="s">
        <v>929</v>
      </c>
      <c r="G965" s="40"/>
      <c r="H965" s="628" t="s">
        <v>1092</v>
      </c>
      <c r="I965" s="306">
        <v>422</v>
      </c>
      <c r="J965" s="822">
        <v>3584.0118483412321</v>
      </c>
      <c r="K965" s="614">
        <f t="shared" si="70"/>
        <v>1512453</v>
      </c>
      <c r="L965" s="39" t="s">
        <v>159</v>
      </c>
      <c r="M965" s="724" t="s">
        <v>157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94"/>
    </row>
    <row r="966" spans="1:27" ht="15.75" customHeight="1">
      <c r="A966" s="204" t="str">
        <f>IF(B966&lt;&gt;"",IF(AND(B966&gt;=_TM1,B966&lt;=_TM2,OR(TH!L966="1111",TH!M966="1111")),TH!D966,""),"")</f>
        <v/>
      </c>
      <c r="B966" s="36">
        <f t="shared" si="67"/>
        <v>6</v>
      </c>
      <c r="C966" s="191">
        <f t="shared" si="69"/>
        <v>40723</v>
      </c>
      <c r="D966" s="191" t="s">
        <v>1129</v>
      </c>
      <c r="E966" s="37">
        <v>40723</v>
      </c>
      <c r="F966" s="456" t="s">
        <v>741</v>
      </c>
      <c r="G966" s="40"/>
      <c r="H966" s="628" t="s">
        <v>1092</v>
      </c>
      <c r="I966" s="306">
        <v>209</v>
      </c>
      <c r="J966" s="822">
        <v>17381.808612440193</v>
      </c>
      <c r="K966" s="614">
        <f t="shared" si="70"/>
        <v>3632798</v>
      </c>
      <c r="L966" s="39" t="s">
        <v>159</v>
      </c>
      <c r="M966" s="724" t="s">
        <v>157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94"/>
    </row>
    <row r="967" spans="1:27" ht="15.75" customHeight="1">
      <c r="A967" s="204" t="str">
        <f>IF(B967&lt;&gt;"",IF(AND(B967&gt;=_TM1,B967&lt;=_TM2,OR(TH!L967="1111",TH!M967="1111")),TH!D967,""),"")</f>
        <v/>
      </c>
      <c r="B967" s="36">
        <f t="shared" si="67"/>
        <v>6</v>
      </c>
      <c r="C967" s="191">
        <f t="shared" si="69"/>
        <v>40723</v>
      </c>
      <c r="D967" s="191" t="s">
        <v>1129</v>
      </c>
      <c r="E967" s="37">
        <v>40723</v>
      </c>
      <c r="F967" s="298" t="s">
        <v>935</v>
      </c>
      <c r="G967" s="40"/>
      <c r="H967" s="628" t="s">
        <v>1092</v>
      </c>
      <c r="I967" s="306">
        <v>55</v>
      </c>
      <c r="J967" s="822">
        <v>17595.436363636363</v>
      </c>
      <c r="K967" s="614">
        <f t="shared" si="70"/>
        <v>967749</v>
      </c>
      <c r="L967" s="39" t="s">
        <v>159</v>
      </c>
      <c r="M967" s="724" t="s">
        <v>157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94"/>
    </row>
    <row r="968" spans="1:27" ht="15.75" customHeight="1">
      <c r="A968" s="204" t="str">
        <f>IF(B968&lt;&gt;"",IF(AND(B968&gt;=_TM1,B968&lt;=_TM2,OR(TH!L968="1111",TH!M968="1111")),TH!D968,""),"")</f>
        <v/>
      </c>
      <c r="B968" s="36">
        <f t="shared" si="67"/>
        <v>6</v>
      </c>
      <c r="C968" s="191">
        <f t="shared" si="69"/>
        <v>40723</v>
      </c>
      <c r="D968" s="191" t="s">
        <v>1129</v>
      </c>
      <c r="E968" s="37">
        <v>40723</v>
      </c>
      <c r="F968" s="40" t="s">
        <v>936</v>
      </c>
      <c r="G968" s="40"/>
      <c r="H968" s="628" t="s">
        <v>1092</v>
      </c>
      <c r="I968" s="306">
        <v>40</v>
      </c>
      <c r="J968" s="822">
        <v>13362.025</v>
      </c>
      <c r="K968" s="614">
        <f t="shared" si="70"/>
        <v>534481</v>
      </c>
      <c r="L968" s="39" t="s">
        <v>159</v>
      </c>
      <c r="M968" s="724" t="s">
        <v>157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94"/>
    </row>
    <row r="969" spans="1:27" ht="15.75" customHeight="1">
      <c r="A969" s="204" t="str">
        <f>IF(B969&lt;&gt;"",IF(AND(B969&gt;=_TM1,B969&lt;=_TM2,OR(TH!L969="1111",TH!M969="1111")),TH!D969,""),"")</f>
        <v/>
      </c>
      <c r="B969" s="36">
        <f t="shared" si="67"/>
        <v>6</v>
      </c>
      <c r="C969" s="191">
        <f t="shared" si="69"/>
        <v>40723</v>
      </c>
      <c r="D969" s="191" t="s">
        <v>1129</v>
      </c>
      <c r="E969" s="37">
        <v>40723</v>
      </c>
      <c r="F969" s="885" t="s">
        <v>904</v>
      </c>
      <c r="G969" s="40"/>
      <c r="H969" s="628" t="s">
        <v>1092</v>
      </c>
      <c r="I969" s="306">
        <v>2</v>
      </c>
      <c r="J969" s="821">
        <v>8566.5</v>
      </c>
      <c r="K969" s="614">
        <f t="shared" si="70"/>
        <v>17133</v>
      </c>
      <c r="L969" s="39" t="s">
        <v>159</v>
      </c>
      <c r="M969" s="724" t="s">
        <v>157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94"/>
    </row>
    <row r="970" spans="1:27" ht="15.75" customHeight="1">
      <c r="A970" s="204" t="str">
        <f>IF(B970&lt;&gt;"",IF(AND(B970&gt;=_TM1,B970&lt;=_TM2,OR(TH!L970="1111",TH!M970="1111")),TH!D970,""),"")</f>
        <v/>
      </c>
      <c r="B970" s="36">
        <f t="shared" si="67"/>
        <v>6</v>
      </c>
      <c r="C970" s="191">
        <f t="shared" si="69"/>
        <v>40723</v>
      </c>
      <c r="D970" s="191" t="s">
        <v>1129</v>
      </c>
      <c r="E970" s="37">
        <v>40723</v>
      </c>
      <c r="F970" s="40" t="s">
        <v>937</v>
      </c>
      <c r="G970" s="40"/>
      <c r="H970" s="628" t="s">
        <v>1092</v>
      </c>
      <c r="I970" s="306">
        <v>207</v>
      </c>
      <c r="J970" s="822">
        <v>23151.830917874395</v>
      </c>
      <c r="K970" s="614">
        <f t="shared" si="70"/>
        <v>4792429</v>
      </c>
      <c r="L970" s="39" t="s">
        <v>159</v>
      </c>
      <c r="M970" s="724" t="s">
        <v>157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94"/>
    </row>
    <row r="971" spans="1:27" ht="15.75" customHeight="1">
      <c r="A971" s="204" t="str">
        <f>IF(B971&lt;&gt;"",IF(AND(B971&gt;=_TM1,B971&lt;=_TM2,OR(TH!L971="1111",TH!M971="1111")),TH!D971,""),"")</f>
        <v/>
      </c>
      <c r="B971" s="36">
        <f t="shared" si="67"/>
        <v>6</v>
      </c>
      <c r="C971" s="191">
        <f t="shared" si="69"/>
        <v>40723</v>
      </c>
      <c r="D971" s="191" t="s">
        <v>1129</v>
      </c>
      <c r="E971" s="37">
        <v>40723</v>
      </c>
      <c r="F971" s="189" t="s">
        <v>929</v>
      </c>
      <c r="G971" s="40"/>
      <c r="H971" s="628" t="s">
        <v>1092</v>
      </c>
      <c r="I971" s="306">
        <v>203</v>
      </c>
      <c r="J971" s="822">
        <v>10599.807881773399</v>
      </c>
      <c r="K971" s="614">
        <f t="shared" si="70"/>
        <v>2151761</v>
      </c>
      <c r="L971" s="39" t="s">
        <v>159</v>
      </c>
      <c r="M971" s="724" t="s">
        <v>157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94"/>
    </row>
    <row r="972" spans="1:27" ht="15.75" customHeight="1">
      <c r="A972" s="204" t="str">
        <f>IF(B972&lt;&gt;"",IF(AND(B972&gt;=_TM1,B972&lt;=_TM2,OR(TH!L972="1111",TH!M972="1111")),TH!D972,""),"")</f>
        <v/>
      </c>
      <c r="B972" s="36">
        <f t="shared" si="67"/>
        <v>6</v>
      </c>
      <c r="C972" s="191">
        <f t="shared" si="69"/>
        <v>40723</v>
      </c>
      <c r="D972" s="191" t="s">
        <v>1129</v>
      </c>
      <c r="E972" s="37">
        <v>40723</v>
      </c>
      <c r="F972" s="40" t="s">
        <v>938</v>
      </c>
      <c r="G972" s="40"/>
      <c r="H972" s="628" t="s">
        <v>1092</v>
      </c>
      <c r="I972" s="306">
        <v>9</v>
      </c>
      <c r="J972" s="822">
        <v>18786.555555555555</v>
      </c>
      <c r="K972" s="614">
        <f t="shared" si="70"/>
        <v>169079</v>
      </c>
      <c r="L972" s="39" t="s">
        <v>159</v>
      </c>
      <c r="M972" s="724" t="s">
        <v>157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94"/>
    </row>
    <row r="973" spans="1:27" ht="15.75" customHeight="1">
      <c r="A973" s="204" t="str">
        <f>IF(B973&lt;&gt;"",IF(AND(B973&gt;=_TM1,B973&lt;=_TM2,OR(TH!L973="1111",TH!M973="1111")),TH!D973,""),"")</f>
        <v/>
      </c>
      <c r="B973" s="36">
        <f t="shared" si="67"/>
        <v>6</v>
      </c>
      <c r="C973" s="191">
        <f t="shared" si="69"/>
        <v>40723</v>
      </c>
      <c r="D973" s="191" t="s">
        <v>1129</v>
      </c>
      <c r="E973" s="37">
        <v>40723</v>
      </c>
      <c r="F973" s="296" t="s">
        <v>752</v>
      </c>
      <c r="G973" s="40"/>
      <c r="H973" s="628" t="s">
        <v>1092</v>
      </c>
      <c r="I973" s="306">
        <v>1</v>
      </c>
      <c r="J973" s="821">
        <v>15439</v>
      </c>
      <c r="K973" s="614">
        <f t="shared" si="70"/>
        <v>15439</v>
      </c>
      <c r="L973" s="39" t="s">
        <v>159</v>
      </c>
      <c r="M973" s="724" t="s">
        <v>157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94"/>
    </row>
    <row r="974" spans="1:27" ht="15.75" customHeight="1">
      <c r="A974" s="204" t="str">
        <f>IF(B974&lt;&gt;"",IF(AND(B974&gt;=_TM1,B974&lt;=_TM2,OR(TH!L974="1111",TH!M974="1111")),TH!D974,""),"")</f>
        <v/>
      </c>
      <c r="B974" s="36">
        <f t="shared" si="67"/>
        <v>6</v>
      </c>
      <c r="C974" s="191">
        <f t="shared" si="69"/>
        <v>40723</v>
      </c>
      <c r="D974" s="191" t="s">
        <v>1129</v>
      </c>
      <c r="E974" s="37">
        <v>40723</v>
      </c>
      <c r="F974" s="40" t="s">
        <v>939</v>
      </c>
      <c r="G974" s="40"/>
      <c r="H974" s="628" t="s">
        <v>1092</v>
      </c>
      <c r="I974" s="306">
        <v>3</v>
      </c>
      <c r="J974" s="822">
        <v>19142.666666666668</v>
      </c>
      <c r="K974" s="614">
        <f t="shared" si="70"/>
        <v>57428</v>
      </c>
      <c r="L974" s="39" t="s">
        <v>159</v>
      </c>
      <c r="M974" s="724" t="s">
        <v>157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94"/>
    </row>
    <row r="975" spans="1:27" ht="15.75" customHeight="1">
      <c r="A975" s="204" t="str">
        <f>IF(B975&lt;&gt;"",IF(AND(B975&gt;=_TM1,B975&lt;=_TM2,OR(TH!L975="1111",TH!M975="1111")),TH!D975,""),"")</f>
        <v/>
      </c>
      <c r="B975" s="36">
        <f t="shared" si="67"/>
        <v>6</v>
      </c>
      <c r="C975" s="191">
        <f t="shared" si="69"/>
        <v>40723</v>
      </c>
      <c r="D975" s="191" t="s">
        <v>1130</v>
      </c>
      <c r="E975" s="37">
        <v>40723</v>
      </c>
      <c r="F975" s="189" t="s">
        <v>751</v>
      </c>
      <c r="G975" s="40"/>
      <c r="H975" s="628" t="s">
        <v>1092</v>
      </c>
      <c r="I975" s="306">
        <v>11</v>
      </c>
      <c r="J975" s="822">
        <v>13362</v>
      </c>
      <c r="K975" s="614">
        <f t="shared" si="70"/>
        <v>146982</v>
      </c>
      <c r="L975" s="39" t="s">
        <v>159</v>
      </c>
      <c r="M975" s="724" t="s">
        <v>157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94"/>
    </row>
    <row r="976" spans="1:27" ht="15.75" customHeight="1">
      <c r="A976" s="204" t="str">
        <f>IF(B976&lt;&gt;"",IF(AND(B976&gt;=_TM1,B976&lt;=_TM2,OR(TH!L976="1111",TH!M976="1111")),TH!D976,""),"")</f>
        <v/>
      </c>
      <c r="B976" s="36">
        <f t="shared" si="67"/>
        <v>6</v>
      </c>
      <c r="C976" s="191">
        <f t="shared" ref="C976:C996" si="71">E976</f>
        <v>40723</v>
      </c>
      <c r="D976" s="191" t="s">
        <v>1130</v>
      </c>
      <c r="E976" s="37">
        <v>40723</v>
      </c>
      <c r="F976" s="189" t="s">
        <v>903</v>
      </c>
      <c r="G976" s="40"/>
      <c r="H976" s="628" t="s">
        <v>1092</v>
      </c>
      <c r="I976" s="306">
        <v>26</v>
      </c>
      <c r="J976" s="822">
        <v>8566.5</v>
      </c>
      <c r="K976" s="614">
        <f t="shared" si="70"/>
        <v>222729</v>
      </c>
      <c r="L976" s="39" t="s">
        <v>159</v>
      </c>
      <c r="M976" s="724" t="s">
        <v>157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94"/>
    </row>
    <row r="977" spans="1:30" ht="15.75" customHeight="1">
      <c r="A977" s="204" t="str">
        <f>IF(B977&lt;&gt;"",IF(AND(B977&gt;=_TM1,B977&lt;=_TM2,OR(TH!L977="1111",TH!M977="1111")),TH!D977,""),"")</f>
        <v/>
      </c>
      <c r="B977" s="36">
        <f t="shared" si="67"/>
        <v>6</v>
      </c>
      <c r="C977" s="191">
        <f t="shared" si="71"/>
        <v>40723</v>
      </c>
      <c r="D977" s="191" t="s">
        <v>1130</v>
      </c>
      <c r="E977" s="37">
        <v>40723</v>
      </c>
      <c r="F977" s="189" t="s">
        <v>940</v>
      </c>
      <c r="G977" s="40"/>
      <c r="H977" s="628" t="s">
        <v>1092</v>
      </c>
      <c r="I977" s="306">
        <v>20</v>
      </c>
      <c r="J977" s="822">
        <v>18019.5</v>
      </c>
      <c r="K977" s="614">
        <f t="shared" si="70"/>
        <v>360390</v>
      </c>
      <c r="L977" s="39" t="s">
        <v>159</v>
      </c>
      <c r="M977" s="724" t="s">
        <v>157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94"/>
    </row>
    <row r="978" spans="1:30" ht="15.75" customHeight="1">
      <c r="A978" s="204" t="str">
        <f>IF(B978&lt;&gt;"",IF(AND(B978&gt;=_TM1,B978&lt;=_TM2,OR(TH!L978="1111",TH!M978="1111")),TH!D978,""),"")</f>
        <v/>
      </c>
      <c r="B978" s="36">
        <f t="shared" si="67"/>
        <v>6</v>
      </c>
      <c r="C978" s="191">
        <f t="shared" si="71"/>
        <v>40723</v>
      </c>
      <c r="D978" s="191" t="s">
        <v>1130</v>
      </c>
      <c r="E978" s="37">
        <v>40723</v>
      </c>
      <c r="F978" s="189" t="s">
        <v>941</v>
      </c>
      <c r="G978" s="40"/>
      <c r="H978" s="628" t="s">
        <v>1092</v>
      </c>
      <c r="I978" s="306">
        <v>61</v>
      </c>
      <c r="J978" s="822">
        <v>19878.065573770491</v>
      </c>
      <c r="K978" s="614">
        <f t="shared" si="70"/>
        <v>1212562</v>
      </c>
      <c r="L978" s="39" t="s">
        <v>159</v>
      </c>
      <c r="M978" s="724" t="s">
        <v>157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94"/>
    </row>
    <row r="979" spans="1:30" ht="15.75" customHeight="1">
      <c r="A979" s="204" t="str">
        <f>IF(B979&lt;&gt;"",IF(AND(B979&gt;=_TM1,B979&lt;=_TM2,OR(TH!L979="1111",TH!M979="1111")),TH!D979,""),"")</f>
        <v/>
      </c>
      <c r="B979" s="36">
        <f t="shared" si="67"/>
        <v>6</v>
      </c>
      <c r="C979" s="191">
        <f t="shared" si="71"/>
        <v>40723</v>
      </c>
      <c r="D979" s="191" t="s">
        <v>1130</v>
      </c>
      <c r="E979" s="37">
        <v>40723</v>
      </c>
      <c r="F979" s="192" t="s">
        <v>756</v>
      </c>
      <c r="G979" s="40"/>
      <c r="H979" s="628" t="s">
        <v>1092</v>
      </c>
      <c r="I979" s="306">
        <v>140</v>
      </c>
      <c r="J979" s="889">
        <v>2471.7642857142855</v>
      </c>
      <c r="K979" s="614">
        <f t="shared" si="70"/>
        <v>346047</v>
      </c>
      <c r="L979" s="39" t="s">
        <v>159</v>
      </c>
      <c r="M979" s="724" t="s">
        <v>157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94"/>
    </row>
    <row r="980" spans="1:30" ht="15.75" customHeight="1">
      <c r="A980" s="204" t="str">
        <f>IF(B980&lt;&gt;"",IF(AND(B980&gt;=_TM1,B980&lt;=_TM2,OR(TH!L980="1111",TH!M980="1111")),TH!D980,""),"")</f>
        <v/>
      </c>
      <c r="B980" s="36">
        <f t="shared" si="67"/>
        <v>6</v>
      </c>
      <c r="C980" s="191">
        <f t="shared" si="71"/>
        <v>40723</v>
      </c>
      <c r="D980" s="191" t="s">
        <v>1130</v>
      </c>
      <c r="E980" s="37">
        <v>40723</v>
      </c>
      <c r="F980" s="189" t="s">
        <v>934</v>
      </c>
      <c r="G980" s="40"/>
      <c r="H980" s="628" t="s">
        <v>1092</v>
      </c>
      <c r="I980" s="306">
        <v>40</v>
      </c>
      <c r="J980" s="821">
        <v>17179.525000000001</v>
      </c>
      <c r="K980" s="614">
        <f t="shared" si="70"/>
        <v>687181</v>
      </c>
      <c r="L980" s="39" t="s">
        <v>159</v>
      </c>
      <c r="M980" s="724" t="s">
        <v>157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94"/>
    </row>
    <row r="981" spans="1:30" ht="15.75" customHeight="1">
      <c r="A981" s="204" t="str">
        <f>IF(B981&lt;&gt;"",IF(AND(B981&gt;=_TM1,B981&lt;=_TM2,OR(TH!L981="1111",TH!M981="1111")),TH!D981,""),"")</f>
        <v/>
      </c>
      <c r="B981" s="36">
        <f t="shared" si="67"/>
        <v>6</v>
      </c>
      <c r="C981" s="191">
        <f t="shared" si="71"/>
        <v>40723</v>
      </c>
      <c r="D981" s="191" t="s">
        <v>1130</v>
      </c>
      <c r="E981" s="37">
        <v>40723</v>
      </c>
      <c r="F981" s="298" t="s">
        <v>744</v>
      </c>
      <c r="G981" s="40"/>
      <c r="H981" s="628" t="s">
        <v>1092</v>
      </c>
      <c r="I981" s="306">
        <v>95</v>
      </c>
      <c r="J981" s="822">
        <v>13488.357894736842</v>
      </c>
      <c r="K981" s="614">
        <f t="shared" si="70"/>
        <v>1281394</v>
      </c>
      <c r="L981" s="39" t="s">
        <v>159</v>
      </c>
      <c r="M981" s="724" t="s">
        <v>157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94"/>
    </row>
    <row r="982" spans="1:30" ht="15.75" customHeight="1">
      <c r="A982" s="204" t="str">
        <f>IF(B982&lt;&gt;"",IF(AND(B982&gt;=_TM1,B982&lt;=_TM2,OR(TH!L982="1111",TH!M982="1111")),TH!D982,""),"")</f>
        <v/>
      </c>
      <c r="B982" s="36">
        <f t="shared" si="67"/>
        <v>6</v>
      </c>
      <c r="C982" s="191">
        <f t="shared" si="71"/>
        <v>40723</v>
      </c>
      <c r="D982" s="191" t="s">
        <v>1130</v>
      </c>
      <c r="E982" s="37">
        <v>40723</v>
      </c>
      <c r="F982" s="189" t="s">
        <v>907</v>
      </c>
      <c r="G982" s="40"/>
      <c r="H982" s="628" t="s">
        <v>1092</v>
      </c>
      <c r="I982" s="306">
        <v>2000</v>
      </c>
      <c r="J982" s="847">
        <v>5951.5129999999999</v>
      </c>
      <c r="K982" s="614">
        <f t="shared" si="70"/>
        <v>11903026</v>
      </c>
      <c r="L982" s="39" t="s">
        <v>159</v>
      </c>
      <c r="M982" s="724" t="s">
        <v>157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94"/>
    </row>
    <row r="983" spans="1:30" ht="15.75" customHeight="1">
      <c r="A983" s="204" t="str">
        <f>IF(B983&lt;&gt;"",IF(AND(B983&gt;=_TM1,B983&lt;=_TM2,OR(TH!L983="1111",TH!M983="1111")),TH!D983,""),"")</f>
        <v/>
      </c>
      <c r="B983" s="36">
        <f t="shared" si="67"/>
        <v>6</v>
      </c>
      <c r="C983" s="191">
        <f t="shared" si="71"/>
        <v>40723</v>
      </c>
      <c r="D983" s="191" t="s">
        <v>1130</v>
      </c>
      <c r="E983" s="37">
        <v>40723</v>
      </c>
      <c r="F983" s="298" t="s">
        <v>942</v>
      </c>
      <c r="G983" s="40"/>
      <c r="H983" s="628" t="s">
        <v>1092</v>
      </c>
      <c r="I983" s="306">
        <v>306</v>
      </c>
      <c r="J983" s="821">
        <v>13362.013071895424</v>
      </c>
      <c r="K983" s="614">
        <f t="shared" si="70"/>
        <v>4088776</v>
      </c>
      <c r="L983" s="39" t="s">
        <v>159</v>
      </c>
      <c r="M983" s="724" t="s">
        <v>157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94"/>
    </row>
    <row r="984" spans="1:30" ht="15.75" customHeight="1">
      <c r="A984" s="204" t="str">
        <f>IF(B984&lt;&gt;"",IF(AND(B984&gt;=_TM1,B984&lt;=_TM2,OR(TH!L984="1111",TH!M984="1111")),TH!D984,""),"")</f>
        <v/>
      </c>
      <c r="B984" s="36">
        <f t="shared" si="67"/>
        <v>6</v>
      </c>
      <c r="C984" s="191">
        <f t="shared" si="71"/>
        <v>40723</v>
      </c>
      <c r="D984" s="191" t="s">
        <v>1131</v>
      </c>
      <c r="E984" s="37">
        <v>40723</v>
      </c>
      <c r="F984" s="298" t="s">
        <v>829</v>
      </c>
      <c r="G984" s="40"/>
      <c r="H984" s="628" t="s">
        <v>1092</v>
      </c>
      <c r="I984" s="306">
        <v>391</v>
      </c>
      <c r="J984" s="822">
        <v>7483.5140664961637</v>
      </c>
      <c r="K984" s="614">
        <f t="shared" si="70"/>
        <v>2926054</v>
      </c>
      <c r="L984" s="39" t="s">
        <v>159</v>
      </c>
      <c r="M984" s="724" t="s">
        <v>157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94"/>
    </row>
    <row r="985" spans="1:30" ht="15.75" customHeight="1">
      <c r="A985" s="204" t="str">
        <f>IF(B985&lt;&gt;"",IF(AND(B985&gt;=_TM1,B985&lt;=_TM2,OR(TH!L985="1111",TH!M985="1111")),TH!D985,""),"")</f>
        <v/>
      </c>
      <c r="B985" s="36">
        <f t="shared" ref="B985:B1048" si="72">IF(C985&lt;&gt;"",MONTH(C985),"")</f>
        <v>6</v>
      </c>
      <c r="C985" s="191">
        <f t="shared" si="71"/>
        <v>40723</v>
      </c>
      <c r="D985" s="191" t="s">
        <v>1131</v>
      </c>
      <c r="E985" s="37">
        <v>40723</v>
      </c>
      <c r="F985" s="298" t="s">
        <v>822</v>
      </c>
      <c r="G985" s="40"/>
      <c r="H985" s="628" t="s">
        <v>1092</v>
      </c>
      <c r="I985" s="306">
        <v>297</v>
      </c>
      <c r="J985" s="822">
        <v>7385.5117845117848</v>
      </c>
      <c r="K985" s="614">
        <f t="shared" si="70"/>
        <v>2193497</v>
      </c>
      <c r="L985" s="39" t="s">
        <v>159</v>
      </c>
      <c r="M985" s="724" t="s">
        <v>157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94"/>
    </row>
    <row r="986" spans="1:30" ht="15.75" customHeight="1">
      <c r="A986" s="204" t="str">
        <f>IF(B986&lt;&gt;"",IF(AND(B986&gt;=_TM1,B986&lt;=_TM2,OR(TH!L986="1111",TH!M986="1111")),TH!D986,""),"")</f>
        <v/>
      </c>
      <c r="B986" s="36">
        <f t="shared" si="72"/>
        <v>6</v>
      </c>
      <c r="C986" s="191">
        <f t="shared" si="71"/>
        <v>40723</v>
      </c>
      <c r="D986" s="191" t="s">
        <v>1131</v>
      </c>
      <c r="E986" s="37">
        <v>40723</v>
      </c>
      <c r="F986" s="40" t="s">
        <v>944</v>
      </c>
      <c r="G986" s="40"/>
      <c r="H986" s="628" t="s">
        <v>1092</v>
      </c>
      <c r="I986" s="306">
        <v>101</v>
      </c>
      <c r="J986" s="822">
        <v>7385.5148514851489</v>
      </c>
      <c r="K986" s="614">
        <f t="shared" si="70"/>
        <v>745937</v>
      </c>
      <c r="L986" s="39" t="s">
        <v>159</v>
      </c>
      <c r="M986" s="724" t="s">
        <v>157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94"/>
    </row>
    <row r="987" spans="1:30" ht="15.75" customHeight="1">
      <c r="A987" s="204" t="str">
        <f>IF(B987&lt;&gt;"",IF(AND(B987&gt;=_TM1,B987&lt;=_TM2,OR(TH!L987="1111",TH!M987="1111")),TH!D987,""),"")</f>
        <v/>
      </c>
      <c r="B987" s="36">
        <f t="shared" si="72"/>
        <v>6</v>
      </c>
      <c r="C987" s="191">
        <f t="shared" si="71"/>
        <v>40723</v>
      </c>
      <c r="D987" s="191" t="s">
        <v>1131</v>
      </c>
      <c r="E987" s="37">
        <v>40723</v>
      </c>
      <c r="F987" s="298" t="s">
        <v>943</v>
      </c>
      <c r="G987" s="40"/>
      <c r="H987" s="628" t="s">
        <v>1092</v>
      </c>
      <c r="I987" s="306">
        <v>103</v>
      </c>
      <c r="J987" s="822">
        <v>7385.5145631067962</v>
      </c>
      <c r="K987" s="614">
        <f t="shared" si="70"/>
        <v>760708</v>
      </c>
      <c r="L987" s="39" t="s">
        <v>159</v>
      </c>
      <c r="M987" s="724" t="s">
        <v>157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94"/>
    </row>
    <row r="988" spans="1:30" ht="15.75" customHeight="1">
      <c r="A988" s="204" t="str">
        <f>IF(B988&lt;&gt;"",IF(AND(B988&gt;=_TM1,B988&lt;=_TM2,OR(TH!L988="1111",TH!M988="1111")),TH!D988,""),"")</f>
        <v/>
      </c>
      <c r="B988" s="36">
        <f t="shared" si="72"/>
        <v>6</v>
      </c>
      <c r="C988" s="191">
        <f t="shared" si="71"/>
        <v>40723</v>
      </c>
      <c r="D988" s="191" t="s">
        <v>1131</v>
      </c>
      <c r="E988" s="37">
        <v>40723</v>
      </c>
      <c r="F988" s="298" t="s">
        <v>819</v>
      </c>
      <c r="G988" s="40"/>
      <c r="H988" s="628" t="s">
        <v>1092</v>
      </c>
      <c r="I988" s="306">
        <v>109</v>
      </c>
      <c r="J988" s="772">
        <v>16526.394495412846</v>
      </c>
      <c r="K988" s="614">
        <f t="shared" si="70"/>
        <v>1801377</v>
      </c>
      <c r="L988" s="39" t="s">
        <v>159</v>
      </c>
      <c r="M988" s="724" t="s">
        <v>157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94"/>
    </row>
    <row r="989" spans="1:30" ht="15.75" customHeight="1">
      <c r="A989" s="204" t="str">
        <f>IF(B989&lt;&gt;"",IF(AND(B989&gt;=_TM1,B989&lt;=_TM2,OR(TH!L989="1111",TH!M989="1111")),TH!D989,""),"")</f>
        <v/>
      </c>
      <c r="B989" s="36">
        <f t="shared" si="72"/>
        <v>6</v>
      </c>
      <c r="C989" s="191">
        <f t="shared" si="71"/>
        <v>40723</v>
      </c>
      <c r="D989" s="191" t="s">
        <v>1131</v>
      </c>
      <c r="E989" s="37">
        <v>40723</v>
      </c>
      <c r="F989" s="189" t="s">
        <v>945</v>
      </c>
      <c r="G989" s="40"/>
      <c r="H989" s="628" t="s">
        <v>1092</v>
      </c>
      <c r="I989" s="306">
        <v>104</v>
      </c>
      <c r="J989" s="821">
        <v>21595.509615384617</v>
      </c>
      <c r="K989" s="614">
        <f t="shared" si="70"/>
        <v>2245933</v>
      </c>
      <c r="L989" s="39" t="s">
        <v>159</v>
      </c>
      <c r="M989" s="724" t="s">
        <v>157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94"/>
    </row>
    <row r="990" spans="1:30" ht="15.75" customHeight="1">
      <c r="A990" s="204" t="str">
        <f>IF(B990&lt;&gt;"",IF(AND(B990&gt;=_TM1,B990&lt;=_TM2,OR(TH!L990="1111",TH!M990="1111")),TH!D990,""),"")</f>
        <v/>
      </c>
      <c r="B990" s="36">
        <f t="shared" si="72"/>
        <v>6</v>
      </c>
      <c r="C990" s="720">
        <f t="shared" si="71"/>
        <v>40724</v>
      </c>
      <c r="D990" s="184" t="s">
        <v>1088</v>
      </c>
      <c r="E990" s="725">
        <v>40724</v>
      </c>
      <c r="F990" s="721" t="str">
        <f>"Thanh toán tiền lương tháng "&amp;MONTH(E990)&amp;"/"&amp;YEAR(E990)</f>
        <v>Thanh toán tiền lương tháng 6/2011</v>
      </c>
      <c r="G990" s="722"/>
      <c r="H990" s="628" t="s">
        <v>363</v>
      </c>
      <c r="I990" s="887"/>
      <c r="J990" s="887"/>
      <c r="K990" s="723">
        <v>13340000</v>
      </c>
      <c r="L990" s="724" t="s">
        <v>262</v>
      </c>
      <c r="M990" s="724" t="s">
        <v>46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>x</v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94"/>
      <c r="AB990" s="606"/>
      <c r="AC990" s="606"/>
      <c r="AD990" s="606"/>
    </row>
    <row r="991" spans="1:30" ht="15.75" customHeight="1">
      <c r="A991" s="204" t="str">
        <f>IF(B991&lt;&gt;"",IF(AND(B991&gt;=_TM1,B991&lt;=_TM2,OR(TH!L991="1111",TH!M991="1111")),TH!D991,""),"")</f>
        <v/>
      </c>
      <c r="B991" s="36">
        <f t="shared" si="72"/>
        <v>6</v>
      </c>
      <c r="C991" s="191">
        <f t="shared" si="71"/>
        <v>40724</v>
      </c>
      <c r="D991" s="184" t="s">
        <v>1089</v>
      </c>
      <c r="E991" s="191">
        <v>40724</v>
      </c>
      <c r="F991" s="192" t="s">
        <v>468</v>
      </c>
      <c r="G991" s="495" t="s">
        <v>539</v>
      </c>
      <c r="H991" s="45" t="s">
        <v>472</v>
      </c>
      <c r="I991" s="778"/>
      <c r="J991" s="772"/>
      <c r="K991" s="38">
        <v>1127386</v>
      </c>
      <c r="L991" s="194" t="s">
        <v>75</v>
      </c>
      <c r="M991" s="615" t="s">
        <v>46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>x</v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>642</v>
      </c>
      <c r="V991" s="52" t="str">
        <f>IF(OR(TH!L991=TH!$V$7,M991=TH!$V$7),"x","")</f>
        <v>x</v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94"/>
      <c r="AB991" s="606"/>
      <c r="AC991" s="606"/>
      <c r="AD991" s="606"/>
    </row>
    <row r="992" spans="1:30" ht="15.75" customHeight="1">
      <c r="A992" s="204" t="str">
        <f>IF(B992&lt;&gt;"",IF(AND(B992&gt;=_TM1,B992&lt;=_TM2,OR(TH!L992="1111",TH!M992="1111")),TH!D992,""),"")</f>
        <v/>
      </c>
      <c r="B992" s="36">
        <f t="shared" si="72"/>
        <v>6</v>
      </c>
      <c r="C992" s="191">
        <f t="shared" si="71"/>
        <v>40724</v>
      </c>
      <c r="D992" s="184" t="s">
        <v>1089</v>
      </c>
      <c r="E992" s="191">
        <v>40724</v>
      </c>
      <c r="F992" s="192" t="s">
        <v>471</v>
      </c>
      <c r="G992" s="495" t="s">
        <v>539</v>
      </c>
      <c r="H992" s="45" t="s">
        <v>472</v>
      </c>
      <c r="I992" s="778"/>
      <c r="J992" s="772"/>
      <c r="K992" s="38">
        <v>112739</v>
      </c>
      <c r="L992" s="194" t="s">
        <v>9</v>
      </c>
      <c r="M992" s="615" t="s">
        <v>46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>x</v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94"/>
      <c r="AB992" s="211">
        <v>6</v>
      </c>
      <c r="AC992" s="211"/>
      <c r="AD992" s="606"/>
    </row>
    <row r="993" spans="1:30" ht="15.75" customHeight="1">
      <c r="A993" s="204" t="str">
        <f>IF(B993&lt;&gt;"",IF(AND(B993&gt;=_TM1,B993&lt;=_TM2,OR(TH!L993="1111",TH!M993="1111")),TH!D993,""),"")</f>
        <v/>
      </c>
      <c r="B993" s="36">
        <f t="shared" si="72"/>
        <v>6</v>
      </c>
      <c r="C993" s="191">
        <f t="shared" si="71"/>
        <v>40724</v>
      </c>
      <c r="D993" s="184" t="s">
        <v>1090</v>
      </c>
      <c r="E993" s="191">
        <v>40724</v>
      </c>
      <c r="F993" s="192" t="s">
        <v>468</v>
      </c>
      <c r="G993" s="495" t="s">
        <v>540</v>
      </c>
      <c r="H993" s="45" t="s">
        <v>470</v>
      </c>
      <c r="I993" s="778"/>
      <c r="J993" s="772"/>
      <c r="K993" s="38">
        <v>234053</v>
      </c>
      <c r="L993" s="194" t="s">
        <v>75</v>
      </c>
      <c r="M993" s="615" t="s">
        <v>46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>x</v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>642</v>
      </c>
      <c r="V993" s="52" t="str">
        <f>IF(OR(TH!L993=TH!$V$7,M993=TH!$V$7),"x","")</f>
        <v>x</v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94"/>
      <c r="AB993" s="606"/>
      <c r="AC993" s="606"/>
      <c r="AD993" s="606"/>
    </row>
    <row r="994" spans="1:30" ht="15.75" customHeight="1">
      <c r="A994" s="204" t="str">
        <f>IF(B994&lt;&gt;"",IF(AND(B994&gt;=_TM1,B994&lt;=_TM2,OR(TH!L994="1111",TH!M994="1111")),TH!D994,""),"")</f>
        <v/>
      </c>
      <c r="B994" s="36">
        <f t="shared" si="72"/>
        <v>6</v>
      </c>
      <c r="C994" s="191">
        <f t="shared" si="71"/>
        <v>40724</v>
      </c>
      <c r="D994" s="184" t="s">
        <v>1090</v>
      </c>
      <c r="E994" s="191">
        <v>40724</v>
      </c>
      <c r="F994" s="192" t="s">
        <v>468</v>
      </c>
      <c r="G994" s="495" t="s">
        <v>540</v>
      </c>
      <c r="H994" s="45" t="s">
        <v>470</v>
      </c>
      <c r="I994" s="778"/>
      <c r="J994" s="772"/>
      <c r="K994" s="38">
        <v>23406</v>
      </c>
      <c r="L994" s="194" t="s">
        <v>9</v>
      </c>
      <c r="M994" s="615" t="s">
        <v>46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>x</v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94"/>
      <c r="AB994" s="606">
        <v>6</v>
      </c>
      <c r="AC994" s="606"/>
      <c r="AD994" s="606"/>
    </row>
    <row r="995" spans="1:30" ht="15.75" customHeight="1">
      <c r="A995" s="204" t="str">
        <f>IF(B995&lt;&gt;"",IF(AND(B995&gt;=_TM1,B995&lt;=_TM2,OR(TH!L995="1111",TH!M995="1111")),TH!D995,""),"")</f>
        <v/>
      </c>
      <c r="B995" s="36">
        <f t="shared" si="72"/>
        <v>6</v>
      </c>
      <c r="C995" s="720">
        <f t="shared" si="71"/>
        <v>40724</v>
      </c>
      <c r="D995" s="720" t="s">
        <v>337</v>
      </c>
      <c r="E995" s="725">
        <v>40724</v>
      </c>
      <c r="F995" s="721" t="s">
        <v>947</v>
      </c>
      <c r="G995" s="722"/>
      <c r="H995" s="628"/>
      <c r="I995" s="887"/>
      <c r="J995" s="887"/>
      <c r="K995" s="723">
        <v>7070000</v>
      </c>
      <c r="L995" s="724" t="s">
        <v>75</v>
      </c>
      <c r="M995" s="724" t="s">
        <v>262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>642</v>
      </c>
      <c r="V995" s="52" t="str">
        <f>IF(OR(TH!L995=TH!$V$7,M995=TH!$V$7),"x","")</f>
        <v>x</v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94"/>
      <c r="AB995" s="606"/>
      <c r="AC995" s="606"/>
      <c r="AD995" s="606"/>
    </row>
    <row r="996" spans="1:30" ht="15.75" customHeight="1">
      <c r="A996" s="204" t="str">
        <f>IF(B996&lt;&gt;"",IF(AND(B996&gt;=_TM1,B996&lt;=_TM2,OR(TH!L996="1111",TH!M996="1111")),TH!D996,""),"")</f>
        <v/>
      </c>
      <c r="B996" s="36">
        <f t="shared" si="72"/>
        <v>6</v>
      </c>
      <c r="C996" s="720">
        <f t="shared" si="71"/>
        <v>40724</v>
      </c>
      <c r="D996" s="720" t="s">
        <v>337</v>
      </c>
      <c r="E996" s="725">
        <v>40724</v>
      </c>
      <c r="F996" s="721" t="s">
        <v>785</v>
      </c>
      <c r="G996" s="722"/>
      <c r="H996" s="628"/>
      <c r="I996" s="887"/>
      <c r="J996" s="887"/>
      <c r="K996" s="723">
        <v>6270000</v>
      </c>
      <c r="L996" s="724" t="s">
        <v>157</v>
      </c>
      <c r="M996" s="724" t="s">
        <v>262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>154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94"/>
      <c r="AB996" s="606"/>
      <c r="AC996" s="606"/>
      <c r="AD996" s="606"/>
    </row>
    <row r="997" spans="1:30" ht="15.75" customHeight="1">
      <c r="A997" s="204" t="str">
        <f>IF(B997&lt;&gt;"",IF(AND(B997&gt;=_TM1,B997&lt;=_TM2,OR(TH!L997="1111",TH!M997="1111")),TH!D997,""),"")</f>
        <v/>
      </c>
      <c r="B997" s="36">
        <f t="shared" si="72"/>
        <v>6</v>
      </c>
      <c r="C997" s="191">
        <v>40724</v>
      </c>
      <c r="D997" s="191" t="s">
        <v>953</v>
      </c>
      <c r="E997" s="184">
        <v>40724</v>
      </c>
      <c r="F997" s="192" t="s">
        <v>907</v>
      </c>
      <c r="G997" s="498" t="s">
        <v>946</v>
      </c>
      <c r="H997" s="210" t="s">
        <v>906</v>
      </c>
      <c r="I997" s="772"/>
      <c r="J997" s="772"/>
      <c r="K997" s="614">
        <v>6186585</v>
      </c>
      <c r="L997" s="194" t="s">
        <v>46</v>
      </c>
      <c r="M997" s="194" t="s">
        <v>259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>x</v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94"/>
    </row>
    <row r="998" spans="1:30" ht="15.75" customHeight="1">
      <c r="A998" s="204" t="str">
        <f>IF(B998&lt;&gt;"",IF(AND(B998&gt;=_TM1,B998&lt;=_TM2,OR(TH!L998="1111",TH!M998="1111")),TH!D998,""),"")</f>
        <v/>
      </c>
      <c r="B998" s="36">
        <f t="shared" si="72"/>
        <v>6</v>
      </c>
      <c r="C998" s="191">
        <v>40724</v>
      </c>
      <c r="D998" s="191" t="s">
        <v>1201</v>
      </c>
      <c r="E998" s="184">
        <v>40724</v>
      </c>
      <c r="F998" s="192" t="s">
        <v>907</v>
      </c>
      <c r="G998" s="498" t="s">
        <v>946</v>
      </c>
      <c r="H998" s="210" t="s">
        <v>906</v>
      </c>
      <c r="I998" s="772">
        <v>778</v>
      </c>
      <c r="J998" s="772">
        <v>7229</v>
      </c>
      <c r="K998" s="614">
        <v>5624162</v>
      </c>
      <c r="L998" s="194" t="s">
        <v>259</v>
      </c>
      <c r="M998" s="194" t="s">
        <v>167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94"/>
      <c r="AB998" s="833"/>
    </row>
    <row r="999" spans="1:30" ht="15.75" customHeight="1">
      <c r="A999" s="204" t="str">
        <f>IF(B999&lt;&gt;"",IF(AND(B999&gt;=_TM1,B999&lt;=_TM2,OR(TH!L999="1111",TH!M999="1111")),TH!D999,""),"")</f>
        <v/>
      </c>
      <c r="B999" s="36">
        <f t="shared" si="72"/>
        <v>6</v>
      </c>
      <c r="C999" s="191">
        <v>40724</v>
      </c>
      <c r="D999" s="191" t="s">
        <v>1201</v>
      </c>
      <c r="E999" s="184">
        <v>40724</v>
      </c>
      <c r="F999" s="858" t="s">
        <v>835</v>
      </c>
      <c r="G999" s="498" t="s">
        <v>946</v>
      </c>
      <c r="H999" s="210" t="s">
        <v>906</v>
      </c>
      <c r="I999" s="772"/>
      <c r="J999" s="256"/>
      <c r="K999" s="614">
        <f>562416+7</f>
        <v>562423</v>
      </c>
      <c r="L999" s="194" t="s">
        <v>259</v>
      </c>
      <c r="M999" s="194" t="s">
        <v>731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94"/>
      <c r="AB999" s="833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>
        <f t="shared" si="72"/>
        <v>6</v>
      </c>
      <c r="C1000" s="191">
        <v>40724</v>
      </c>
      <c r="D1000" s="191" t="s">
        <v>1201</v>
      </c>
      <c r="E1000" s="184">
        <v>40724</v>
      </c>
      <c r="F1000" s="192" t="s">
        <v>907</v>
      </c>
      <c r="G1000" s="498" t="s">
        <v>946</v>
      </c>
      <c r="H1000" s="210" t="s">
        <v>906</v>
      </c>
      <c r="I1000" s="772">
        <v>778</v>
      </c>
      <c r="J1000" s="889">
        <v>7385.5128534704372</v>
      </c>
      <c r="K1000" s="614">
        <f>ROUND(I1000*J1000,0)</f>
        <v>5745929</v>
      </c>
      <c r="L1000" s="854" t="s">
        <v>165</v>
      </c>
      <c r="M1000" s="854" t="s">
        <v>159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>632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94"/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>
        <f t="shared" si="72"/>
        <v>6</v>
      </c>
      <c r="C1001" s="191">
        <f t="shared" ref="C1001:C1006" si="73">E1001</f>
        <v>40724</v>
      </c>
      <c r="D1001" s="191" t="s">
        <v>1132</v>
      </c>
      <c r="E1001" s="37">
        <v>40724</v>
      </c>
      <c r="F1001" s="298" t="s">
        <v>907</v>
      </c>
      <c r="G1001" s="40"/>
      <c r="H1001" s="628" t="s">
        <v>1092</v>
      </c>
      <c r="I1001" s="306">
        <v>778</v>
      </c>
      <c r="J1001" s="821">
        <v>7385.5128534704372</v>
      </c>
      <c r="K1001" s="614">
        <f>ROUND(I1001*J1001,0)</f>
        <v>5745929</v>
      </c>
      <c r="L1001" s="39" t="s">
        <v>159</v>
      </c>
      <c r="M1001" s="724" t="s">
        <v>157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94"/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>
        <f t="shared" si="72"/>
        <v>7</v>
      </c>
      <c r="C1002" s="720">
        <f t="shared" si="73"/>
        <v>40725</v>
      </c>
      <c r="D1002" s="720" t="s">
        <v>337</v>
      </c>
      <c r="E1002" s="835">
        <v>40725</v>
      </c>
      <c r="F1002" s="721" t="s">
        <v>782</v>
      </c>
      <c r="G1002" s="722"/>
      <c r="H1002" s="628"/>
      <c r="I1002" s="494"/>
      <c r="J1002" s="494"/>
      <c r="K1002" s="614">
        <v>18250000</v>
      </c>
      <c r="L1002" s="724" t="s">
        <v>157</v>
      </c>
      <c r="M1002" s="724" t="s">
        <v>260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894"/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>
        <f t="shared" si="72"/>
        <v>7</v>
      </c>
      <c r="C1003" s="720">
        <f t="shared" si="73"/>
        <v>40725</v>
      </c>
      <c r="D1003" s="720" t="s">
        <v>337</v>
      </c>
      <c r="E1003" s="835">
        <v>40725</v>
      </c>
      <c r="F1003" s="721" t="s">
        <v>783</v>
      </c>
      <c r="G1003" s="722"/>
      <c r="H1003" s="628"/>
      <c r="I1003" s="494"/>
      <c r="J1003" s="494"/>
      <c r="K1003" s="614">
        <v>3164845</v>
      </c>
      <c r="L1003" s="724" t="s">
        <v>157</v>
      </c>
      <c r="M1003" s="724" t="s">
        <v>768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894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>
        <f t="shared" si="72"/>
        <v>7</v>
      </c>
      <c r="C1004" s="37">
        <f t="shared" si="73"/>
        <v>40725</v>
      </c>
      <c r="D1004" s="37" t="s">
        <v>955</v>
      </c>
      <c r="E1004" s="37">
        <v>40725</v>
      </c>
      <c r="F1004" s="40" t="s">
        <v>388</v>
      </c>
      <c r="G1004" s="40"/>
      <c r="H1004" s="628" t="s">
        <v>1092</v>
      </c>
      <c r="I1004" s="256">
        <v>50</v>
      </c>
      <c r="J1004" s="256">
        <v>23500</v>
      </c>
      <c r="K1004" s="614">
        <f>ROUND(I1004*J1004,0)</f>
        <v>1175000</v>
      </c>
      <c r="L1004" s="39" t="s">
        <v>157</v>
      </c>
      <c r="M1004" s="39" t="s">
        <v>153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>x</v>
      </c>
      <c r="Z1004" s="52" t="str">
        <f>IF(AND(B1004&lt;=NKC!$N$8,B1004&gt;=NKC!$M$8),"x","")</f>
        <v>x</v>
      </c>
      <c r="AA1004" s="894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>
        <f t="shared" si="72"/>
        <v>7</v>
      </c>
      <c r="C1005" s="37">
        <f t="shared" si="73"/>
        <v>40725</v>
      </c>
      <c r="D1005" s="37" t="s">
        <v>955</v>
      </c>
      <c r="E1005" s="37">
        <v>40725</v>
      </c>
      <c r="F1005" s="40" t="s">
        <v>340</v>
      </c>
      <c r="G1005" s="40"/>
      <c r="H1005" s="628" t="s">
        <v>1092</v>
      </c>
      <c r="I1005" s="256">
        <v>28</v>
      </c>
      <c r="J1005" s="256">
        <v>42000</v>
      </c>
      <c r="K1005" s="614">
        <f>ROUND(I1005*J1005,0)</f>
        <v>1176000</v>
      </c>
      <c r="L1005" s="39" t="s">
        <v>157</v>
      </c>
      <c r="M1005" s="39" t="s">
        <v>153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894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>
        <f t="shared" si="72"/>
        <v>7</v>
      </c>
      <c r="C1006" s="37">
        <f t="shared" si="73"/>
        <v>40725</v>
      </c>
      <c r="D1006" s="37" t="s">
        <v>955</v>
      </c>
      <c r="E1006" s="37">
        <v>40725</v>
      </c>
      <c r="F1006" s="40" t="s">
        <v>475</v>
      </c>
      <c r="G1006" s="40"/>
      <c r="H1006" s="628" t="s">
        <v>1092</v>
      </c>
      <c r="I1006" s="256">
        <v>6413.5</v>
      </c>
      <c r="J1006" s="256">
        <v>220</v>
      </c>
      <c r="K1006" s="614">
        <f>ROUND(I1006*J1006,0)</f>
        <v>1410970</v>
      </c>
      <c r="L1006" s="39" t="s">
        <v>157</v>
      </c>
      <c r="M1006" s="39" t="s">
        <v>153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894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>
        <f t="shared" si="72"/>
        <v>7</v>
      </c>
      <c r="C1007" s="191">
        <v>40729</v>
      </c>
      <c r="D1007" s="184" t="s">
        <v>434</v>
      </c>
      <c r="E1007" s="191">
        <v>40729</v>
      </c>
      <c r="F1007" s="298" t="s">
        <v>1136</v>
      </c>
      <c r="G1007" s="498" t="s">
        <v>1137</v>
      </c>
      <c r="H1007" s="7" t="s">
        <v>371</v>
      </c>
      <c r="I1007" s="256">
        <v>40</v>
      </c>
      <c r="J1007" s="256">
        <v>67000</v>
      </c>
      <c r="K1007" s="614">
        <v>2680000</v>
      </c>
      <c r="L1007" s="194" t="s">
        <v>157</v>
      </c>
      <c r="M1007" s="194" t="s">
        <v>46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>x</v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894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>
        <f t="shared" si="72"/>
        <v>7</v>
      </c>
      <c r="C1008" s="191">
        <v>40729</v>
      </c>
      <c r="D1008" s="184" t="s">
        <v>434</v>
      </c>
      <c r="E1008" s="191">
        <v>40729</v>
      </c>
      <c r="F1008" s="298" t="s">
        <v>1138</v>
      </c>
      <c r="G1008" s="498" t="s">
        <v>1137</v>
      </c>
      <c r="H1008" s="7" t="s">
        <v>371</v>
      </c>
      <c r="I1008" s="256"/>
      <c r="J1008" s="256"/>
      <c r="K1008" s="38">
        <v>268000</v>
      </c>
      <c r="L1008" s="194" t="s">
        <v>9</v>
      </c>
      <c r="M1008" s="194" t="s">
        <v>46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>x</v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894"/>
      <c r="AB1008" s="211">
        <v>7</v>
      </c>
    </row>
    <row r="1009" spans="1:28" ht="15.75" customHeight="1">
      <c r="A1009" s="204" t="str">
        <f>IF(B1009&lt;&gt;"",IF(AND(B1009&gt;=_TM1,B1009&lt;=_TM2,OR(TH!L1009="1111",TH!M1009="1111")),TH!D1009,""),"")</f>
        <v/>
      </c>
      <c r="B1009" s="36">
        <f t="shared" si="72"/>
        <v>7</v>
      </c>
      <c r="C1009" s="37">
        <f t="shared" ref="C1009:C1024" si="74">E1009</f>
        <v>40729</v>
      </c>
      <c r="D1009" s="37" t="s">
        <v>1091</v>
      </c>
      <c r="E1009" s="794">
        <v>40729</v>
      </c>
      <c r="F1009" s="298" t="s">
        <v>479</v>
      </c>
      <c r="G1009" s="40"/>
      <c r="H1009" s="628" t="s">
        <v>1092</v>
      </c>
      <c r="I1009" s="256">
        <v>124</v>
      </c>
      <c r="J1009" s="256">
        <v>6026</v>
      </c>
      <c r="K1009" s="614">
        <f t="shared" ref="K1009:K1024" si="75">ROUND(I1009*J1009,0)</f>
        <v>747224</v>
      </c>
      <c r="L1009" s="39" t="s">
        <v>157</v>
      </c>
      <c r="M1009" s="39" t="s">
        <v>151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894"/>
    </row>
    <row r="1010" spans="1:28" ht="15.75" customHeight="1">
      <c r="A1010" s="204" t="str">
        <f>IF(B1010&lt;&gt;"",IF(AND(B1010&gt;=_TM1,B1010&lt;=_TM2,OR(TH!L1010="1111",TH!M1010="1111")),TH!D1010,""),"")</f>
        <v/>
      </c>
      <c r="B1010" s="36">
        <f t="shared" si="72"/>
        <v>7</v>
      </c>
      <c r="C1010" s="37">
        <f t="shared" si="74"/>
        <v>40729</v>
      </c>
      <c r="D1010" s="37" t="s">
        <v>1091</v>
      </c>
      <c r="E1010" s="794">
        <v>40729</v>
      </c>
      <c r="F1010" s="40" t="s">
        <v>610</v>
      </c>
      <c r="G1010" s="40"/>
      <c r="H1010" s="628" t="s">
        <v>1092</v>
      </c>
      <c r="I1010" s="256">
        <v>487</v>
      </c>
      <c r="J1010" s="256">
        <v>22484</v>
      </c>
      <c r="K1010" s="614">
        <f t="shared" si="75"/>
        <v>10949708</v>
      </c>
      <c r="L1010" s="39" t="s">
        <v>157</v>
      </c>
      <c r="M1010" s="39" t="s">
        <v>151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894"/>
    </row>
    <row r="1011" spans="1:28" ht="15.75" customHeight="1">
      <c r="A1011" s="204" t="str">
        <f>IF(B1011&lt;&gt;"",IF(AND(B1011&gt;=_TM1,B1011&lt;=_TM2,OR(TH!L1011="1111",TH!M1011="1111")),TH!D1011,""),"")</f>
        <v/>
      </c>
      <c r="B1011" s="36">
        <f t="shared" si="72"/>
        <v>7</v>
      </c>
      <c r="C1011" s="37">
        <f t="shared" si="74"/>
        <v>40729</v>
      </c>
      <c r="D1011" s="37" t="s">
        <v>1091</v>
      </c>
      <c r="E1011" s="794">
        <v>40729</v>
      </c>
      <c r="F1011" s="40" t="s">
        <v>628</v>
      </c>
      <c r="G1011" s="40"/>
      <c r="H1011" s="628" t="s">
        <v>1092</v>
      </c>
      <c r="I1011" s="839">
        <v>13</v>
      </c>
      <c r="J1011" s="256">
        <v>32985</v>
      </c>
      <c r="K1011" s="614">
        <f t="shared" si="75"/>
        <v>428805</v>
      </c>
      <c r="L1011" s="39" t="s">
        <v>157</v>
      </c>
      <c r="M1011" s="39" t="s">
        <v>151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894"/>
    </row>
    <row r="1012" spans="1:28" ht="15.75" customHeight="1">
      <c r="A1012" s="204" t="str">
        <f>IF(B1012&lt;&gt;"",IF(AND(B1012&gt;=_TM1,B1012&lt;=_TM2,OR(TH!L1012="1111",TH!M1012="1111")),TH!D1012,""),"")</f>
        <v/>
      </c>
      <c r="B1012" s="36">
        <f t="shared" si="72"/>
        <v>7</v>
      </c>
      <c r="C1012" s="37">
        <f t="shared" si="74"/>
        <v>40729</v>
      </c>
      <c r="D1012" s="37" t="s">
        <v>1091</v>
      </c>
      <c r="E1012" s="794">
        <v>40729</v>
      </c>
      <c r="F1012" s="189" t="s">
        <v>387</v>
      </c>
      <c r="G1012" s="40"/>
      <c r="H1012" s="628" t="s">
        <v>1092</v>
      </c>
      <c r="I1012" s="839">
        <v>60</v>
      </c>
      <c r="J1012" s="256">
        <v>4449</v>
      </c>
      <c r="K1012" s="614">
        <f t="shared" si="75"/>
        <v>266940</v>
      </c>
      <c r="L1012" s="39" t="s">
        <v>157</v>
      </c>
      <c r="M1012" s="39" t="s">
        <v>151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>x</v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  <c r="AA1012" s="894"/>
    </row>
    <row r="1013" spans="1:28" ht="15.75" customHeight="1">
      <c r="A1013" s="204" t="str">
        <f>IF(B1013&lt;&gt;"",IF(AND(B1013&gt;=_TM1,B1013&lt;=_TM2,OR(TH!L1013="1111",TH!M1013="1111")),TH!D1013,""),"")</f>
        <v/>
      </c>
      <c r="B1013" s="36">
        <f t="shared" si="72"/>
        <v>7</v>
      </c>
      <c r="C1013" s="37">
        <f t="shared" si="74"/>
        <v>40729</v>
      </c>
      <c r="D1013" s="37" t="s">
        <v>1091</v>
      </c>
      <c r="E1013" s="794">
        <v>40729</v>
      </c>
      <c r="F1013" s="189" t="s">
        <v>387</v>
      </c>
      <c r="G1013" s="40"/>
      <c r="H1013" s="628" t="s">
        <v>1092</v>
      </c>
      <c r="I1013" s="839">
        <v>60</v>
      </c>
      <c r="J1013" s="256">
        <v>4449</v>
      </c>
      <c r="K1013" s="614">
        <f t="shared" si="75"/>
        <v>266940</v>
      </c>
      <c r="L1013" s="39" t="s">
        <v>157</v>
      </c>
      <c r="M1013" s="39" t="s">
        <v>151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>x</v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  <c r="AA1013" s="894"/>
    </row>
    <row r="1014" spans="1:28" ht="15.75" customHeight="1">
      <c r="A1014" s="204" t="str">
        <f>IF(B1014&lt;&gt;"",IF(AND(B1014&gt;=_TM1,B1014&lt;=_TM2,OR(TH!L1014="1111",TH!M1014="1111")),TH!D1014,""),"")</f>
        <v/>
      </c>
      <c r="B1014" s="36">
        <f t="shared" si="72"/>
        <v>7</v>
      </c>
      <c r="C1014" s="37">
        <f t="shared" si="74"/>
        <v>40729</v>
      </c>
      <c r="D1014" s="37" t="s">
        <v>1091</v>
      </c>
      <c r="E1014" s="794">
        <v>40729</v>
      </c>
      <c r="F1014" s="298" t="s">
        <v>478</v>
      </c>
      <c r="G1014" s="40"/>
      <c r="H1014" s="628" t="s">
        <v>1092</v>
      </c>
      <c r="I1014" s="256">
        <v>17</v>
      </c>
      <c r="J1014" s="256">
        <v>4592</v>
      </c>
      <c r="K1014" s="614">
        <f t="shared" si="75"/>
        <v>78064</v>
      </c>
      <c r="L1014" s="39" t="s">
        <v>157</v>
      </c>
      <c r="M1014" s="39" t="s">
        <v>151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894"/>
    </row>
    <row r="1015" spans="1:28" ht="15.75" customHeight="1">
      <c r="A1015" s="204" t="str">
        <f>IF(B1015&lt;&gt;"",IF(AND(B1015&gt;=_TM1,B1015&lt;=_TM2,OR(TH!L1015="1111",TH!M1015="1111")),TH!D1015,""),"")</f>
        <v/>
      </c>
      <c r="B1015" s="36">
        <f t="shared" si="72"/>
        <v>7</v>
      </c>
      <c r="C1015" s="37">
        <f t="shared" si="74"/>
        <v>40729</v>
      </c>
      <c r="D1015" s="37" t="s">
        <v>1091</v>
      </c>
      <c r="E1015" s="794">
        <v>40729</v>
      </c>
      <c r="F1015" s="189" t="s">
        <v>387</v>
      </c>
      <c r="G1015" s="40"/>
      <c r="H1015" s="628" t="s">
        <v>1092</v>
      </c>
      <c r="I1015" s="839">
        <v>100</v>
      </c>
      <c r="J1015" s="256">
        <v>4448.97</v>
      </c>
      <c r="K1015" s="614">
        <f t="shared" si="75"/>
        <v>444897</v>
      </c>
      <c r="L1015" s="39" t="s">
        <v>157</v>
      </c>
      <c r="M1015" s="39" t="s">
        <v>151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>x</v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  <c r="AA1015" s="894"/>
      <c r="AB1015" s="865"/>
    </row>
    <row r="1016" spans="1:28" ht="15.75" customHeight="1">
      <c r="A1016" s="204" t="str">
        <f>IF(B1016&lt;&gt;"",IF(AND(B1016&gt;=_TM1,B1016&lt;=_TM2,OR(TH!L1016="1111",TH!M1016="1111")),TH!D1016,""),"")</f>
        <v/>
      </c>
      <c r="B1016" s="36">
        <f t="shared" si="72"/>
        <v>7</v>
      </c>
      <c r="C1016" s="37">
        <f t="shared" si="74"/>
        <v>40729</v>
      </c>
      <c r="D1016" s="37" t="s">
        <v>1091</v>
      </c>
      <c r="E1016" s="794">
        <v>40729</v>
      </c>
      <c r="F1016" s="189" t="s">
        <v>387</v>
      </c>
      <c r="G1016" s="40"/>
      <c r="H1016" s="628" t="s">
        <v>1092</v>
      </c>
      <c r="I1016" s="839">
        <v>6</v>
      </c>
      <c r="J1016" s="256">
        <v>4449</v>
      </c>
      <c r="K1016" s="614">
        <f t="shared" si="75"/>
        <v>26694</v>
      </c>
      <c r="L1016" s="39" t="s">
        <v>157</v>
      </c>
      <c r="M1016" s="39" t="s">
        <v>151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>x</v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894"/>
    </row>
    <row r="1017" spans="1:28" ht="15.75" customHeight="1">
      <c r="A1017" s="204" t="str">
        <f>IF(B1017&lt;&gt;"",IF(AND(B1017&gt;=_TM1,B1017&lt;=_TM2,OR(TH!L1017="1111",TH!M1017="1111")),TH!D1017,""),"")</f>
        <v/>
      </c>
      <c r="B1017" s="36">
        <f t="shared" si="72"/>
        <v>7</v>
      </c>
      <c r="C1017" s="37">
        <f t="shared" si="74"/>
        <v>40733</v>
      </c>
      <c r="D1017" s="37" t="s">
        <v>1093</v>
      </c>
      <c r="E1017" s="794">
        <v>40733</v>
      </c>
      <c r="F1017" s="40" t="s">
        <v>626</v>
      </c>
      <c r="G1017" s="40"/>
      <c r="H1017" s="628" t="s">
        <v>1092</v>
      </c>
      <c r="I1017" s="256">
        <v>3</v>
      </c>
      <c r="J1017" s="256">
        <v>23975</v>
      </c>
      <c r="K1017" s="614">
        <f t="shared" si="75"/>
        <v>71925</v>
      </c>
      <c r="L1017" s="39" t="s">
        <v>157</v>
      </c>
      <c r="M1017" s="39" t="s">
        <v>151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894"/>
    </row>
    <row r="1018" spans="1:28" ht="15.75" customHeight="1">
      <c r="A1018" s="204" t="str">
        <f>IF(B1018&lt;&gt;"",IF(AND(B1018&gt;=_TM1,B1018&lt;=_TM2,OR(TH!L1018="1111",TH!M1018="1111")),TH!D1018,""),"")</f>
        <v/>
      </c>
      <c r="B1018" s="36">
        <f t="shared" si="72"/>
        <v>7</v>
      </c>
      <c r="C1018" s="37">
        <f t="shared" si="74"/>
        <v>40733</v>
      </c>
      <c r="D1018" s="37" t="s">
        <v>1093</v>
      </c>
      <c r="E1018" s="794">
        <v>40733</v>
      </c>
      <c r="F1018" s="189" t="s">
        <v>399</v>
      </c>
      <c r="G1018" s="40"/>
      <c r="H1018" s="628" t="s">
        <v>1092</v>
      </c>
      <c r="I1018" s="256">
        <v>50</v>
      </c>
      <c r="J1018" s="256">
        <v>15998</v>
      </c>
      <c r="K1018" s="614">
        <f t="shared" si="75"/>
        <v>799900</v>
      </c>
      <c r="L1018" s="39" t="s">
        <v>157</v>
      </c>
      <c r="M1018" s="39" t="s">
        <v>151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894"/>
    </row>
    <row r="1019" spans="1:28" ht="15.75" customHeight="1">
      <c r="A1019" s="204" t="str">
        <f>IF(B1019&lt;&gt;"",IF(AND(B1019&gt;=_TM1,B1019&lt;=_TM2,OR(TH!L1019="1111",TH!M1019="1111")),TH!D1019,""),"")</f>
        <v/>
      </c>
      <c r="B1019" s="36">
        <f t="shared" si="72"/>
        <v>7</v>
      </c>
      <c r="C1019" s="37">
        <f t="shared" si="74"/>
        <v>40733</v>
      </c>
      <c r="D1019" s="37" t="s">
        <v>1093</v>
      </c>
      <c r="E1019" s="794">
        <v>40733</v>
      </c>
      <c r="F1019" s="40" t="s">
        <v>590</v>
      </c>
      <c r="G1019" s="40"/>
      <c r="H1019" s="628" t="s">
        <v>1092</v>
      </c>
      <c r="I1019" s="256">
        <v>60.5</v>
      </c>
      <c r="J1019" s="256">
        <v>35812</v>
      </c>
      <c r="K1019" s="614">
        <f t="shared" si="75"/>
        <v>2166626</v>
      </c>
      <c r="L1019" s="39" t="s">
        <v>157</v>
      </c>
      <c r="M1019" s="39" t="s">
        <v>151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A1019" s="894"/>
    </row>
    <row r="1020" spans="1:28" ht="15.75" customHeight="1">
      <c r="A1020" s="204" t="str">
        <f>IF(B1020&lt;&gt;"",IF(AND(B1020&gt;=_TM1,B1020&lt;=_TM2,OR(TH!L1020="1111",TH!M1020="1111")),TH!D1020,""),"")</f>
        <v/>
      </c>
      <c r="B1020" s="36">
        <f t="shared" si="72"/>
        <v>7</v>
      </c>
      <c r="C1020" s="37">
        <f t="shared" si="74"/>
        <v>40733</v>
      </c>
      <c r="D1020" s="37" t="s">
        <v>1093</v>
      </c>
      <c r="E1020" s="794">
        <v>40733</v>
      </c>
      <c r="F1020" s="189" t="s">
        <v>488</v>
      </c>
      <c r="G1020" s="40"/>
      <c r="H1020" s="628" t="s">
        <v>1092</v>
      </c>
      <c r="I1020" s="256">
        <v>83</v>
      </c>
      <c r="J1020" s="256">
        <v>16172.963855421687</v>
      </c>
      <c r="K1020" s="614">
        <f t="shared" si="75"/>
        <v>1342356</v>
      </c>
      <c r="L1020" s="39" t="s">
        <v>157</v>
      </c>
      <c r="M1020" s="39" t="s">
        <v>151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894"/>
    </row>
    <row r="1021" spans="1:28" ht="15.75" customHeight="1">
      <c r="A1021" s="204" t="str">
        <f>IF(B1021&lt;&gt;"",IF(AND(B1021&gt;=_TM1,B1021&lt;=_TM2,OR(TH!L1021="1111",TH!M1021="1111")),TH!D1021,""),"")</f>
        <v/>
      </c>
      <c r="B1021" s="36">
        <f t="shared" si="72"/>
        <v>7</v>
      </c>
      <c r="C1021" s="37">
        <f t="shared" si="74"/>
        <v>40733</v>
      </c>
      <c r="D1021" s="37" t="s">
        <v>1093</v>
      </c>
      <c r="E1021" s="794">
        <v>40733</v>
      </c>
      <c r="F1021" s="189" t="s">
        <v>488</v>
      </c>
      <c r="G1021" s="40"/>
      <c r="H1021" s="628" t="s">
        <v>1092</v>
      </c>
      <c r="I1021" s="256">
        <v>0.5</v>
      </c>
      <c r="J1021" s="256">
        <v>16173</v>
      </c>
      <c r="K1021" s="614">
        <f t="shared" si="75"/>
        <v>8087</v>
      </c>
      <c r="L1021" s="39" t="s">
        <v>157</v>
      </c>
      <c r="M1021" s="39" t="s">
        <v>151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894"/>
    </row>
    <row r="1022" spans="1:28" ht="15.75" customHeight="1">
      <c r="A1022" s="204" t="str">
        <f>IF(B1022&lt;&gt;"",IF(AND(B1022&gt;=_TM1,B1022&lt;=_TM2,OR(TH!L1022="1111",TH!M1022="1111")),TH!D1022,""),"")</f>
        <v/>
      </c>
      <c r="B1022" s="36">
        <f t="shared" si="72"/>
        <v>7</v>
      </c>
      <c r="C1022" s="37">
        <f t="shared" si="74"/>
        <v>40733</v>
      </c>
      <c r="D1022" s="37" t="s">
        <v>1093</v>
      </c>
      <c r="E1022" s="794">
        <v>40733</v>
      </c>
      <c r="F1022" s="40" t="s">
        <v>590</v>
      </c>
      <c r="G1022" s="40"/>
      <c r="H1022" s="628" t="s">
        <v>1092</v>
      </c>
      <c r="I1022" s="256">
        <v>40</v>
      </c>
      <c r="J1022" s="256">
        <v>35812</v>
      </c>
      <c r="K1022" s="614">
        <f t="shared" si="75"/>
        <v>1432480</v>
      </c>
      <c r="L1022" s="39" t="s">
        <v>157</v>
      </c>
      <c r="M1022" s="39" t="s">
        <v>151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894"/>
    </row>
    <row r="1023" spans="1:28" ht="15.75" customHeight="1">
      <c r="A1023" s="204" t="str">
        <f>IF(B1023&lt;&gt;"",IF(AND(B1023&gt;=_TM1,B1023&lt;=_TM2,OR(TH!L1023="1111",TH!M1023="1111")),TH!D1023,""),"")</f>
        <v/>
      </c>
      <c r="B1023" s="36">
        <f t="shared" si="72"/>
        <v>7</v>
      </c>
      <c r="C1023" s="37">
        <f t="shared" si="74"/>
        <v>40733</v>
      </c>
      <c r="D1023" s="37" t="s">
        <v>1093</v>
      </c>
      <c r="E1023" s="794">
        <v>40733</v>
      </c>
      <c r="F1023" s="189" t="s">
        <v>565</v>
      </c>
      <c r="G1023" s="40"/>
      <c r="H1023" s="628" t="s">
        <v>1092</v>
      </c>
      <c r="I1023" s="256">
        <v>78</v>
      </c>
      <c r="J1023" s="256">
        <v>29579</v>
      </c>
      <c r="K1023" s="614">
        <f t="shared" si="75"/>
        <v>2307162</v>
      </c>
      <c r="L1023" s="39" t="s">
        <v>157</v>
      </c>
      <c r="M1023" s="39" t="s">
        <v>151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894"/>
    </row>
    <row r="1024" spans="1:28" ht="15.75" customHeight="1">
      <c r="A1024" s="204" t="str">
        <f>IF(B1024&lt;&gt;"",IF(AND(B1024&gt;=_TM1,B1024&lt;=_TM2,OR(TH!L1024="1111",TH!M1024="1111")),TH!D1024,""),"")</f>
        <v/>
      </c>
      <c r="B1024" s="36">
        <f t="shared" si="72"/>
        <v>7</v>
      </c>
      <c r="C1024" s="37">
        <f t="shared" si="74"/>
        <v>40733</v>
      </c>
      <c r="D1024" s="37" t="s">
        <v>1093</v>
      </c>
      <c r="E1024" s="794">
        <v>40733</v>
      </c>
      <c r="F1024" s="189" t="s">
        <v>519</v>
      </c>
      <c r="G1024" s="40"/>
      <c r="H1024" s="628" t="s">
        <v>1092</v>
      </c>
      <c r="I1024" s="256">
        <v>305</v>
      </c>
      <c r="J1024" s="256">
        <v>10603</v>
      </c>
      <c r="K1024" s="614">
        <f t="shared" si="75"/>
        <v>3233915</v>
      </c>
      <c r="L1024" s="39" t="s">
        <v>157</v>
      </c>
      <c r="M1024" s="39" t="s">
        <v>151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894"/>
    </row>
    <row r="1025" spans="1:27" ht="15.75" customHeight="1">
      <c r="A1025" s="204" t="str">
        <f>IF(B1025&lt;&gt;"",IF(AND(B1025&gt;=_TM1,B1025&lt;=_TM2,OR(TH!L1025="1111",TH!M1025="1111")),TH!D1025,""),"")</f>
        <v/>
      </c>
      <c r="B1025" s="36">
        <f t="shared" si="72"/>
        <v>7</v>
      </c>
      <c r="C1025" s="184">
        <v>40735</v>
      </c>
      <c r="D1025" s="184" t="s">
        <v>333</v>
      </c>
      <c r="E1025" s="184">
        <v>40735</v>
      </c>
      <c r="F1025" s="189" t="s">
        <v>335</v>
      </c>
      <c r="G1025" s="616" t="s">
        <v>330</v>
      </c>
      <c r="H1025" s="193" t="s">
        <v>733</v>
      </c>
      <c r="I1025" s="256"/>
      <c r="J1025" s="256"/>
      <c r="K1025" s="614">
        <v>109673711</v>
      </c>
      <c r="L1025" s="615" t="s">
        <v>23</v>
      </c>
      <c r="M1025" s="615" t="s">
        <v>259</v>
      </c>
      <c r="N1025" s="52" t="str">
        <f>IF(AND('331-CT'!$E$7=TH!H1025,OR(L1025="331",M1025="331")),"331",IF(AND(OR(L1025="131",M1025="131"),H1025='131-CT'!$E$7),"131",""))</f>
        <v>131</v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  <c r="AA1025" s="894"/>
    </row>
    <row r="1026" spans="1:27" ht="15.75" customHeight="1">
      <c r="A1026" s="204" t="str">
        <f>IF(B1026&lt;&gt;"",IF(AND(B1026&gt;=_TM1,B1026&lt;=_TM2,OR(TH!L1026="1111",TH!M1026="1111")),TH!D1026,""),"")</f>
        <v/>
      </c>
      <c r="B1026" s="36">
        <f t="shared" si="72"/>
        <v>7</v>
      </c>
      <c r="C1026" s="184">
        <v>40736</v>
      </c>
      <c r="D1026" s="184" t="s">
        <v>435</v>
      </c>
      <c r="E1026" s="184">
        <v>40736</v>
      </c>
      <c r="F1026" s="189" t="s">
        <v>362</v>
      </c>
      <c r="G1026" s="616" t="s">
        <v>330</v>
      </c>
      <c r="H1026" s="193" t="s">
        <v>363</v>
      </c>
      <c r="I1026" s="256"/>
      <c r="J1026" s="256"/>
      <c r="K1026" s="614">
        <v>114504000</v>
      </c>
      <c r="L1026" s="615" t="s">
        <v>23</v>
      </c>
      <c r="M1026" s="615" t="s">
        <v>46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>x</v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894"/>
    </row>
    <row r="1027" spans="1:27" ht="15.75" customHeight="1">
      <c r="A1027" s="204" t="str">
        <f>IF(B1027&lt;&gt;"",IF(AND(B1027&gt;=_TM1,B1027&lt;=_TM2,OR(TH!L1027="1111",TH!M1027="1111")),TH!D1027,""),"")</f>
        <v/>
      </c>
      <c r="B1027" s="36">
        <f t="shared" si="72"/>
        <v>7</v>
      </c>
      <c r="C1027" s="184">
        <v>40736</v>
      </c>
      <c r="D1027" s="184" t="s">
        <v>334</v>
      </c>
      <c r="E1027" s="184">
        <v>40736</v>
      </c>
      <c r="F1027" s="189" t="s">
        <v>367</v>
      </c>
      <c r="G1027" s="616" t="s">
        <v>330</v>
      </c>
      <c r="H1027" s="7" t="s">
        <v>559</v>
      </c>
      <c r="I1027" s="256"/>
      <c r="J1027" s="256"/>
      <c r="K1027" s="614">
        <v>114504000</v>
      </c>
      <c r="L1027" s="615" t="s">
        <v>8</v>
      </c>
      <c r="M1027" s="615" t="s">
        <v>23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894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>
        <f t="shared" si="72"/>
        <v>7</v>
      </c>
      <c r="C1028" s="184">
        <v>40736</v>
      </c>
      <c r="D1028" s="184" t="s">
        <v>334</v>
      </c>
      <c r="E1028" s="184">
        <v>40736</v>
      </c>
      <c r="F1028" s="189" t="s">
        <v>367</v>
      </c>
      <c r="G1028" s="616" t="s">
        <v>330</v>
      </c>
      <c r="H1028" s="7" t="s">
        <v>499</v>
      </c>
      <c r="I1028" s="256"/>
      <c r="J1028" s="256"/>
      <c r="K1028" s="614">
        <v>58400000</v>
      </c>
      <c r="L1028" s="615" t="s">
        <v>8</v>
      </c>
      <c r="M1028" s="615" t="s">
        <v>23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894"/>
    </row>
    <row r="1029" spans="1:27" ht="15.75" customHeight="1">
      <c r="A1029" s="204" t="str">
        <f>IF(B1029&lt;&gt;"",IF(AND(B1029&gt;=_TM1,B1029&lt;=_TM2,OR(TH!L1029="1111",TH!M1029="1111")),TH!D1029,""),"")</f>
        <v/>
      </c>
      <c r="B1029" s="36">
        <f t="shared" si="72"/>
        <v>7</v>
      </c>
      <c r="C1029" s="184">
        <v>40736</v>
      </c>
      <c r="D1029" s="184" t="s">
        <v>334</v>
      </c>
      <c r="E1029" s="184">
        <v>40736</v>
      </c>
      <c r="F1029" s="189" t="s">
        <v>370</v>
      </c>
      <c r="G1029" s="616" t="s">
        <v>330</v>
      </c>
      <c r="H1029" s="7"/>
      <c r="I1029" s="256"/>
      <c r="J1029" s="256"/>
      <c r="K1029" s="614">
        <v>18478</v>
      </c>
      <c r="L1029" s="615" t="s">
        <v>75</v>
      </c>
      <c r="M1029" s="615" t="s">
        <v>23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>x</v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894"/>
    </row>
    <row r="1030" spans="1:27" ht="15.75" customHeight="1">
      <c r="A1030" s="204" t="str">
        <f>IF(B1030&lt;&gt;"",IF(AND(B1030&gt;=_TM1,B1030&lt;=_TM2,OR(TH!L1030="1111",TH!M1030="1111")),TH!D1030,""),"")</f>
        <v/>
      </c>
      <c r="B1030" s="36">
        <f t="shared" si="72"/>
        <v>7</v>
      </c>
      <c r="C1030" s="184">
        <v>40736</v>
      </c>
      <c r="D1030" s="184" t="s">
        <v>334</v>
      </c>
      <c r="E1030" s="184">
        <v>40736</v>
      </c>
      <c r="F1030" s="189" t="s">
        <v>336</v>
      </c>
      <c r="G1030" s="616" t="s">
        <v>330</v>
      </c>
      <c r="H1030" s="7"/>
      <c r="I1030" s="256"/>
      <c r="J1030" s="256"/>
      <c r="K1030" s="614">
        <v>10000</v>
      </c>
      <c r="L1030" s="615" t="s">
        <v>75</v>
      </c>
      <c r="M1030" s="615" t="s">
        <v>23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>x</v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894"/>
    </row>
    <row r="1031" spans="1:27" ht="15.75" customHeight="1">
      <c r="A1031" s="204" t="str">
        <f>IF(B1031&lt;&gt;"",IF(AND(B1031&gt;=_TM1,B1031&lt;=_TM2,OR(TH!L1031="1111",TH!M1031="1111")),TH!D1031,""),"")</f>
        <v/>
      </c>
      <c r="B1031" s="36">
        <f t="shared" si="72"/>
        <v>7</v>
      </c>
      <c r="C1031" s="184">
        <v>40737</v>
      </c>
      <c r="D1031" s="184" t="s">
        <v>333</v>
      </c>
      <c r="E1031" s="184">
        <v>40737</v>
      </c>
      <c r="F1031" s="189" t="s">
        <v>335</v>
      </c>
      <c r="G1031" s="616" t="s">
        <v>330</v>
      </c>
      <c r="H1031" s="193" t="s">
        <v>733</v>
      </c>
      <c r="I1031" s="256"/>
      <c r="J1031" s="256"/>
      <c r="K1031" s="614">
        <v>14691258</v>
      </c>
      <c r="L1031" s="615" t="s">
        <v>23</v>
      </c>
      <c r="M1031" s="615" t="s">
        <v>259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894"/>
    </row>
    <row r="1032" spans="1:27" ht="15.75" customHeight="1">
      <c r="A1032" s="204" t="str">
        <f>IF(B1032&lt;&gt;"",IF(AND(B1032&gt;=_TM1,B1032&lt;=_TM2,OR(TH!L1032="1111",TH!M1032="1111")),TH!D1032,""),"")</f>
        <v/>
      </c>
      <c r="B1032" s="36">
        <f t="shared" si="72"/>
        <v>7</v>
      </c>
      <c r="C1032" s="37">
        <f t="shared" ref="C1032:C1039" si="76">E1032</f>
        <v>40737</v>
      </c>
      <c r="D1032" s="37" t="s">
        <v>1094</v>
      </c>
      <c r="E1032" s="794">
        <v>40737</v>
      </c>
      <c r="F1032" s="189" t="s">
        <v>578</v>
      </c>
      <c r="G1032" s="40"/>
      <c r="H1032" s="628" t="s">
        <v>1092</v>
      </c>
      <c r="I1032" s="256">
        <v>82</v>
      </c>
      <c r="J1032" s="256">
        <v>10344</v>
      </c>
      <c r="K1032" s="614">
        <f t="shared" ref="K1032:K1039" si="77">ROUND(I1032*J1032,0)</f>
        <v>848208</v>
      </c>
      <c r="L1032" s="39" t="s">
        <v>157</v>
      </c>
      <c r="M1032" s="39" t="s">
        <v>151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894"/>
    </row>
    <row r="1033" spans="1:27" ht="15.75" customHeight="1">
      <c r="A1033" s="204" t="str">
        <f>IF(B1033&lt;&gt;"",IF(AND(B1033&gt;=_TM1,B1033&lt;=_TM2,OR(TH!L1033="1111",TH!M1033="1111")),TH!D1033,""),"")</f>
        <v/>
      </c>
      <c r="B1033" s="36">
        <f t="shared" si="72"/>
        <v>7</v>
      </c>
      <c r="C1033" s="37">
        <f t="shared" si="76"/>
        <v>40737</v>
      </c>
      <c r="D1033" s="37" t="s">
        <v>1094</v>
      </c>
      <c r="E1033" s="794">
        <v>40737</v>
      </c>
      <c r="F1033" s="189" t="s">
        <v>578</v>
      </c>
      <c r="G1033" s="40"/>
      <c r="H1033" s="628" t="s">
        <v>1092</v>
      </c>
      <c r="I1033" s="256">
        <v>0.5</v>
      </c>
      <c r="J1033" s="256">
        <v>10344</v>
      </c>
      <c r="K1033" s="614">
        <f t="shared" si="77"/>
        <v>5172</v>
      </c>
      <c r="L1033" s="39" t="s">
        <v>157</v>
      </c>
      <c r="M1033" s="39" t="s">
        <v>151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  <c r="AA1033" s="894"/>
    </row>
    <row r="1034" spans="1:27" ht="15.75" customHeight="1">
      <c r="A1034" s="204" t="str">
        <f>IF(B1034&lt;&gt;"",IF(AND(B1034&gt;=_TM1,B1034&lt;=_TM2,OR(TH!L1034="1111",TH!M1034="1111")),TH!D1034,""),"")</f>
        <v/>
      </c>
      <c r="B1034" s="36">
        <f t="shared" si="72"/>
        <v>7</v>
      </c>
      <c r="C1034" s="37">
        <f t="shared" si="76"/>
        <v>40737</v>
      </c>
      <c r="D1034" s="37" t="s">
        <v>1094</v>
      </c>
      <c r="E1034" s="794">
        <v>40737</v>
      </c>
      <c r="F1034" s="189" t="s">
        <v>387</v>
      </c>
      <c r="G1034" s="40"/>
      <c r="H1034" s="628" t="s">
        <v>1092</v>
      </c>
      <c r="I1034" s="839">
        <v>0.5</v>
      </c>
      <c r="J1034" s="256">
        <v>4449</v>
      </c>
      <c r="K1034" s="614">
        <f t="shared" si="77"/>
        <v>2225</v>
      </c>
      <c r="L1034" s="39" t="s">
        <v>157</v>
      </c>
      <c r="M1034" s="39" t="s">
        <v>151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>x</v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  <c r="AA1034" s="894"/>
    </row>
    <row r="1035" spans="1:27" ht="15.75" customHeight="1">
      <c r="A1035" s="204" t="str">
        <f>IF(B1035&lt;&gt;"",IF(AND(B1035&gt;=_TM1,B1035&lt;=_TM2,OR(TH!L1035="1111",TH!M1035="1111")),TH!D1035,""),"")</f>
        <v/>
      </c>
      <c r="B1035" s="36">
        <f t="shared" si="72"/>
        <v>7</v>
      </c>
      <c r="C1035" s="37">
        <f t="shared" si="76"/>
        <v>40737</v>
      </c>
      <c r="D1035" s="37" t="s">
        <v>1094</v>
      </c>
      <c r="E1035" s="794">
        <v>40737</v>
      </c>
      <c r="F1035" s="189" t="s">
        <v>387</v>
      </c>
      <c r="G1035" s="40"/>
      <c r="H1035" s="628" t="s">
        <v>1092</v>
      </c>
      <c r="I1035" s="839">
        <v>1</v>
      </c>
      <c r="J1035" s="256">
        <v>4449</v>
      </c>
      <c r="K1035" s="614">
        <f t="shared" si="77"/>
        <v>4449</v>
      </c>
      <c r="L1035" s="39" t="s">
        <v>157</v>
      </c>
      <c r="M1035" s="39" t="s">
        <v>151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>x</v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894"/>
    </row>
    <row r="1036" spans="1:27" ht="15.75" customHeight="1">
      <c r="A1036" s="204" t="str">
        <f>IF(B1036&lt;&gt;"",IF(AND(B1036&gt;=_TM1,B1036&lt;=_TM2,OR(TH!L1036="1111",TH!M1036="1111")),TH!D1036,""),"")</f>
        <v/>
      </c>
      <c r="B1036" s="36">
        <f t="shared" si="72"/>
        <v>7</v>
      </c>
      <c r="C1036" s="37">
        <f t="shared" si="76"/>
        <v>40737</v>
      </c>
      <c r="D1036" s="37" t="s">
        <v>1094</v>
      </c>
      <c r="E1036" s="794">
        <v>40737</v>
      </c>
      <c r="F1036" s="189" t="s">
        <v>552</v>
      </c>
      <c r="G1036" s="40"/>
      <c r="H1036" s="628" t="s">
        <v>1092</v>
      </c>
      <c r="I1036" s="256">
        <v>3</v>
      </c>
      <c r="J1036" s="256">
        <v>11247</v>
      </c>
      <c r="K1036" s="614">
        <f t="shared" si="77"/>
        <v>33741</v>
      </c>
      <c r="L1036" s="39" t="s">
        <v>157</v>
      </c>
      <c r="M1036" s="39" t="s">
        <v>151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A1036" s="894"/>
    </row>
    <row r="1037" spans="1:27" ht="15.75" customHeight="1">
      <c r="A1037" s="204" t="str">
        <f>IF(B1037&lt;&gt;"",IF(AND(B1037&gt;=_TM1,B1037&lt;=_TM2,OR(TH!L1037="1111",TH!M1037="1111")),TH!D1037,""),"")</f>
        <v/>
      </c>
      <c r="B1037" s="36">
        <f t="shared" si="72"/>
        <v>7</v>
      </c>
      <c r="C1037" s="37">
        <f t="shared" si="76"/>
        <v>40737</v>
      </c>
      <c r="D1037" s="37" t="s">
        <v>1094</v>
      </c>
      <c r="E1037" s="794">
        <v>40737</v>
      </c>
      <c r="F1037" s="189" t="s">
        <v>387</v>
      </c>
      <c r="G1037" s="40"/>
      <c r="H1037" s="628" t="s">
        <v>1092</v>
      </c>
      <c r="I1037" s="839">
        <v>1</v>
      </c>
      <c r="J1037" s="256">
        <v>4449</v>
      </c>
      <c r="K1037" s="614">
        <f t="shared" si="77"/>
        <v>4449</v>
      </c>
      <c r="L1037" s="39" t="s">
        <v>157</v>
      </c>
      <c r="M1037" s="39" t="s">
        <v>151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>x</v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A1037" s="894"/>
    </row>
    <row r="1038" spans="1:27" ht="15.75" customHeight="1">
      <c r="A1038" s="204" t="str">
        <f>IF(B1038&lt;&gt;"",IF(AND(B1038&gt;=_TM1,B1038&lt;=_TM2,OR(TH!L1038="1111",TH!M1038="1111")),TH!D1038,""),"")</f>
        <v/>
      </c>
      <c r="B1038" s="36">
        <f t="shared" si="72"/>
        <v>7</v>
      </c>
      <c r="C1038" s="37">
        <f t="shared" si="76"/>
        <v>40737</v>
      </c>
      <c r="D1038" s="37" t="s">
        <v>1094</v>
      </c>
      <c r="E1038" s="794">
        <v>40737</v>
      </c>
      <c r="F1038" s="298" t="s">
        <v>479</v>
      </c>
      <c r="G1038" s="40"/>
      <c r="H1038" s="628" t="s">
        <v>1092</v>
      </c>
      <c r="I1038" s="256">
        <v>3</v>
      </c>
      <c r="J1038" s="256">
        <v>6026</v>
      </c>
      <c r="K1038" s="614">
        <f t="shared" si="77"/>
        <v>18078</v>
      </c>
      <c r="L1038" s="39" t="s">
        <v>157</v>
      </c>
      <c r="M1038" s="39" t="s">
        <v>151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894"/>
    </row>
    <row r="1039" spans="1:27" ht="15.75" customHeight="1">
      <c r="A1039" s="204" t="str">
        <f>IF(B1039&lt;&gt;"",IF(AND(B1039&gt;=_TM1,B1039&lt;=_TM2,OR(TH!L1039="1111",TH!M1039="1111")),TH!D1039,""),"")</f>
        <v/>
      </c>
      <c r="B1039" s="36">
        <f t="shared" si="72"/>
        <v>7</v>
      </c>
      <c r="C1039" s="37">
        <f t="shared" si="76"/>
        <v>40737</v>
      </c>
      <c r="D1039" s="37" t="s">
        <v>1094</v>
      </c>
      <c r="E1039" s="794">
        <v>40737</v>
      </c>
      <c r="F1039" s="40" t="s">
        <v>602</v>
      </c>
      <c r="G1039" s="40"/>
      <c r="H1039" s="628" t="s">
        <v>1092</v>
      </c>
      <c r="I1039" s="256">
        <v>6</v>
      </c>
      <c r="J1039" s="256">
        <v>13090</v>
      </c>
      <c r="K1039" s="614">
        <f t="shared" si="77"/>
        <v>78540</v>
      </c>
      <c r="L1039" s="39" t="s">
        <v>157</v>
      </c>
      <c r="M1039" s="39" t="s">
        <v>151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894"/>
    </row>
    <row r="1040" spans="1:27" ht="15.75" customHeight="1">
      <c r="A1040" s="204" t="str">
        <f>IF(B1040&lt;&gt;"",IF(AND(B1040&gt;=_TM1,B1040&lt;=_TM2,OR(TH!L1040="1111",TH!M1040="1111")),TH!D1040,""),"")</f>
        <v/>
      </c>
      <c r="B1040" s="36">
        <f t="shared" si="72"/>
        <v>7</v>
      </c>
      <c r="C1040" s="191">
        <v>40738</v>
      </c>
      <c r="D1040" s="184" t="s">
        <v>436</v>
      </c>
      <c r="E1040" s="191">
        <v>40738</v>
      </c>
      <c r="F1040" s="192" t="s">
        <v>1139</v>
      </c>
      <c r="G1040" s="498" t="s">
        <v>586</v>
      </c>
      <c r="H1040" s="836" t="s">
        <v>1140</v>
      </c>
      <c r="I1040" s="259"/>
      <c r="J1040" s="259"/>
      <c r="K1040" s="614">
        <v>1090909</v>
      </c>
      <c r="L1040" s="194" t="s">
        <v>157</v>
      </c>
      <c r="M1040" s="194" t="s">
        <v>46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>x</v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  <c r="AA1040" s="894"/>
    </row>
    <row r="1041" spans="1:28" ht="15.75" customHeight="1">
      <c r="A1041" s="204" t="str">
        <f>IF(B1041&lt;&gt;"",IF(AND(B1041&gt;=_TM1,B1041&lt;=_TM2,OR(TH!L1041="1111",TH!M1041="1111")),TH!D1041,""),"")</f>
        <v/>
      </c>
      <c r="B1041" s="36">
        <f t="shared" si="72"/>
        <v>7</v>
      </c>
      <c r="C1041" s="191">
        <v>40738</v>
      </c>
      <c r="D1041" s="184" t="s">
        <v>436</v>
      </c>
      <c r="E1041" s="191">
        <v>40738</v>
      </c>
      <c r="F1041" s="192" t="s">
        <v>1141</v>
      </c>
      <c r="G1041" s="498" t="s">
        <v>586</v>
      </c>
      <c r="H1041" s="836" t="s">
        <v>1140</v>
      </c>
      <c r="I1041" s="259"/>
      <c r="J1041" s="259"/>
      <c r="K1041" s="38">
        <v>109091</v>
      </c>
      <c r="L1041" s="194" t="s">
        <v>9</v>
      </c>
      <c r="M1041" s="194" t="s">
        <v>46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>x</v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894"/>
      <c r="AB1041" s="198">
        <v>7</v>
      </c>
    </row>
    <row r="1042" spans="1:28" ht="15.75" customHeight="1">
      <c r="A1042" s="204" t="str">
        <f>IF(B1042&lt;&gt;"",IF(AND(B1042&gt;=_TM1,B1042&lt;=_TM2,OR(TH!L1042="1111",TH!M1042="1111")),TH!D1042,""),"")</f>
        <v/>
      </c>
      <c r="B1042" s="36">
        <f t="shared" si="72"/>
        <v>7</v>
      </c>
      <c r="C1042" s="184">
        <v>40739</v>
      </c>
      <c r="D1042" s="184" t="s">
        <v>333</v>
      </c>
      <c r="E1042" s="184">
        <v>40739</v>
      </c>
      <c r="F1042" s="189" t="s">
        <v>335</v>
      </c>
      <c r="G1042" s="616" t="s">
        <v>330</v>
      </c>
      <c r="H1042" s="193" t="s">
        <v>734</v>
      </c>
      <c r="I1042" s="256"/>
      <c r="J1042" s="256"/>
      <c r="K1042" s="614">
        <v>18227209</v>
      </c>
      <c r="L1042" s="615" t="s">
        <v>23</v>
      </c>
      <c r="M1042" s="615" t="s">
        <v>259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894"/>
    </row>
    <row r="1043" spans="1:28" ht="15.75" customHeight="1">
      <c r="A1043" s="204" t="str">
        <f>IF(B1043&lt;&gt;"",IF(AND(B1043&gt;=_TM1,B1043&lt;=_TM2,OR(TH!L1043="1111",TH!M1043="1111")),TH!D1043,""),"")</f>
        <v/>
      </c>
      <c r="B1043" s="36">
        <f t="shared" si="72"/>
        <v>7</v>
      </c>
      <c r="C1043" s="184">
        <v>40739</v>
      </c>
      <c r="D1043" s="184" t="s">
        <v>334</v>
      </c>
      <c r="E1043" s="184">
        <v>40739</v>
      </c>
      <c r="F1043" s="189" t="s">
        <v>367</v>
      </c>
      <c r="G1043" s="616" t="s">
        <v>330</v>
      </c>
      <c r="H1043" s="7" t="s">
        <v>548</v>
      </c>
      <c r="I1043" s="256"/>
      <c r="J1043" s="256"/>
      <c r="K1043" s="614">
        <v>23400000</v>
      </c>
      <c r="L1043" s="615" t="s">
        <v>8</v>
      </c>
      <c r="M1043" s="615" t="s">
        <v>23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894"/>
    </row>
    <row r="1044" spans="1:28" ht="15.75" customHeight="1">
      <c r="A1044" s="204" t="str">
        <f>IF(B1044&lt;&gt;"",IF(AND(B1044&gt;=_TM1,B1044&lt;=_TM2,OR(TH!L1044="1111",TH!M1044="1111")),TH!D1044,""),"")</f>
        <v/>
      </c>
      <c r="B1044" s="36">
        <f t="shared" si="72"/>
        <v>7</v>
      </c>
      <c r="C1044" s="191">
        <v>40739</v>
      </c>
      <c r="D1044" s="191" t="s">
        <v>957</v>
      </c>
      <c r="E1044" s="191">
        <v>40739</v>
      </c>
      <c r="F1044" s="192" t="s">
        <v>985</v>
      </c>
      <c r="G1044" s="498" t="s">
        <v>1173</v>
      </c>
      <c r="H1044" s="193" t="s">
        <v>733</v>
      </c>
      <c r="I1044" s="256">
        <v>124</v>
      </c>
      <c r="J1044" s="256">
        <v>10748</v>
      </c>
      <c r="K1044" s="614">
        <v>1332752</v>
      </c>
      <c r="L1044" s="194" t="s">
        <v>259</v>
      </c>
      <c r="M1044" s="194" t="s">
        <v>167</v>
      </c>
      <c r="N1044" s="52" t="str">
        <f>IF(AND('331-CT'!$E$7=TH!H1044,OR(L1044="331",M1044="331")),"331",IF(AND(OR(L1044="131",M1044="131"),H1044='131-CT'!$E$7),"131",""))</f>
        <v>131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894"/>
    </row>
    <row r="1045" spans="1:28" ht="15.75" customHeight="1">
      <c r="A1045" s="204" t="str">
        <f>IF(B1045&lt;&gt;"",IF(AND(B1045&gt;=_TM1,B1045&lt;=_TM2,OR(TH!L1045="1111",TH!M1045="1111")),TH!D1045,""),"")</f>
        <v/>
      </c>
      <c r="B1045" s="36">
        <f t="shared" si="72"/>
        <v>7</v>
      </c>
      <c r="C1045" s="191">
        <v>40739</v>
      </c>
      <c r="D1045" s="191" t="s">
        <v>957</v>
      </c>
      <c r="E1045" s="191">
        <v>40739</v>
      </c>
      <c r="F1045" s="192" t="s">
        <v>986</v>
      </c>
      <c r="G1045" s="498" t="s">
        <v>1173</v>
      </c>
      <c r="H1045" s="193" t="s">
        <v>733</v>
      </c>
      <c r="I1045" s="256">
        <v>1292</v>
      </c>
      <c r="J1045" s="256">
        <v>14010</v>
      </c>
      <c r="K1045" s="614">
        <v>18100920</v>
      </c>
      <c r="L1045" s="194" t="s">
        <v>259</v>
      </c>
      <c r="M1045" s="194" t="s">
        <v>167</v>
      </c>
      <c r="N1045" s="52" t="str">
        <f>IF(AND('331-CT'!$E$7=TH!H1045,OR(L1045="331",M1045="331")),"331",IF(AND(OR(L1045="131",M1045="131"),H1045='131-CT'!$E$7),"131",""))</f>
        <v>131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A1045" s="894"/>
    </row>
    <row r="1046" spans="1:28" ht="15.75" customHeight="1">
      <c r="A1046" s="204" t="str">
        <f>IF(B1046&lt;&gt;"",IF(AND(B1046&gt;=_TM1,B1046&lt;=_TM2,OR(TH!L1046="1111",TH!M1046="1111")),TH!D1046,""),"")</f>
        <v/>
      </c>
      <c r="B1046" s="36">
        <f t="shared" si="72"/>
        <v>7</v>
      </c>
      <c r="C1046" s="191">
        <v>40739</v>
      </c>
      <c r="D1046" s="191" t="s">
        <v>957</v>
      </c>
      <c r="E1046" s="191">
        <v>40739</v>
      </c>
      <c r="F1046" s="192" t="s">
        <v>987</v>
      </c>
      <c r="G1046" s="498" t="s">
        <v>1173</v>
      </c>
      <c r="H1046" s="193" t="s">
        <v>733</v>
      </c>
      <c r="I1046" s="256">
        <v>27</v>
      </c>
      <c r="J1046" s="256">
        <v>18287</v>
      </c>
      <c r="K1046" s="614">
        <v>493749</v>
      </c>
      <c r="L1046" s="194" t="s">
        <v>259</v>
      </c>
      <c r="M1046" s="194" t="s">
        <v>167</v>
      </c>
      <c r="N1046" s="52" t="str">
        <f>IF(AND('331-CT'!$E$7=TH!H1046,OR(L1046="331",M1046="331")),"331",IF(AND(OR(L1046="131",M1046="131"),H1046='131-CT'!$E$7),"131",""))</f>
        <v>131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894"/>
    </row>
    <row r="1047" spans="1:28" ht="15.75" customHeight="1">
      <c r="A1047" s="204" t="str">
        <f>IF(B1047&lt;&gt;"",IF(AND(B1047&gt;=_TM1,B1047&lt;=_TM2,OR(TH!L1047="1111",TH!M1047="1111")),TH!D1047,""),"")</f>
        <v/>
      </c>
      <c r="B1047" s="36">
        <f t="shared" si="72"/>
        <v>7</v>
      </c>
      <c r="C1047" s="191">
        <v>40739</v>
      </c>
      <c r="D1047" s="191" t="s">
        <v>957</v>
      </c>
      <c r="E1047" s="191">
        <v>40739</v>
      </c>
      <c r="F1047" s="192" t="s">
        <v>988</v>
      </c>
      <c r="G1047" s="498" t="s">
        <v>1173</v>
      </c>
      <c r="H1047" s="193" t="s">
        <v>733</v>
      </c>
      <c r="I1047" s="256">
        <v>120</v>
      </c>
      <c r="J1047" s="256">
        <v>4504</v>
      </c>
      <c r="K1047" s="614">
        <v>540480</v>
      </c>
      <c r="L1047" s="194" t="s">
        <v>259</v>
      </c>
      <c r="M1047" s="194" t="s">
        <v>167</v>
      </c>
      <c r="N1047" s="52" t="str">
        <f>IF(AND('331-CT'!$E$7=TH!H1047,OR(L1047="331",M1047="331")),"331",IF(AND(OR(L1047="131",M1047="131"),H1047='131-CT'!$E$7),"131",""))</f>
        <v>131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894"/>
    </row>
    <row r="1048" spans="1:28" ht="15.75" customHeight="1">
      <c r="A1048" s="204" t="str">
        <f>IF(B1048&lt;&gt;"",IF(AND(B1048&gt;=_TM1,B1048&lt;=_TM2,OR(TH!L1048="1111",TH!M1048="1111")),TH!D1048,""),"")</f>
        <v/>
      </c>
      <c r="B1048" s="36">
        <f t="shared" si="72"/>
        <v>7</v>
      </c>
      <c r="C1048" s="191">
        <v>40739</v>
      </c>
      <c r="D1048" s="191" t="s">
        <v>957</v>
      </c>
      <c r="E1048" s="191">
        <v>40739</v>
      </c>
      <c r="F1048" s="192" t="s">
        <v>989</v>
      </c>
      <c r="G1048" s="498" t="s">
        <v>1173</v>
      </c>
      <c r="H1048" s="193" t="s">
        <v>733</v>
      </c>
      <c r="I1048" s="260">
        <v>600</v>
      </c>
      <c r="J1048" s="260">
        <v>2538</v>
      </c>
      <c r="K1048" s="614">
        <v>1522800</v>
      </c>
      <c r="L1048" s="194" t="s">
        <v>259</v>
      </c>
      <c r="M1048" s="194" t="s">
        <v>167</v>
      </c>
      <c r="N1048" s="52" t="str">
        <f>IF(AND('331-CT'!$E$7=TH!H1048,OR(L1048="331",M1048="331")),"331",IF(AND(OR(L1048="131",M1048="131"),H1048='131-CT'!$E$7),"131",""))</f>
        <v>131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894"/>
    </row>
    <row r="1049" spans="1:28" ht="15.75" customHeight="1">
      <c r="A1049" s="204" t="str">
        <f>IF(B1049&lt;&gt;"",IF(AND(B1049&gt;=_TM1,B1049&lt;=_TM2,OR(TH!L1049="1111",TH!M1049="1111")),TH!D1049,""),"")</f>
        <v/>
      </c>
      <c r="B1049" s="36">
        <f t="shared" ref="B1049:B1112" si="78">IF(C1049&lt;&gt;"",MONTH(C1049),"")</f>
        <v>7</v>
      </c>
      <c r="C1049" s="191">
        <v>40739</v>
      </c>
      <c r="D1049" s="191" t="s">
        <v>957</v>
      </c>
      <c r="E1049" s="191">
        <v>40739</v>
      </c>
      <c r="F1049" s="192" t="s">
        <v>990</v>
      </c>
      <c r="G1049" s="498" t="s">
        <v>1173</v>
      </c>
      <c r="H1049" s="193" t="s">
        <v>733</v>
      </c>
      <c r="I1049" s="260">
        <v>170</v>
      </c>
      <c r="J1049" s="260">
        <v>2333</v>
      </c>
      <c r="K1049" s="614">
        <v>396610</v>
      </c>
      <c r="L1049" s="194" t="s">
        <v>259</v>
      </c>
      <c r="M1049" s="194" t="s">
        <v>167</v>
      </c>
      <c r="N1049" s="52" t="str">
        <f>IF(AND('331-CT'!$E$7=TH!H1049,OR(L1049="331",M1049="331")),"331",IF(AND(OR(L1049="131",M1049="131"),H1049='131-CT'!$E$7),"131",""))</f>
        <v>131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894"/>
    </row>
    <row r="1050" spans="1:28" ht="15.75" customHeight="1">
      <c r="A1050" s="204" t="str">
        <f>IF(B1050&lt;&gt;"",IF(AND(B1050&gt;=_TM1,B1050&lt;=_TM2,OR(TH!L1050="1111",TH!M1050="1111")),TH!D1050,""),"")</f>
        <v/>
      </c>
      <c r="B1050" s="36">
        <f t="shared" si="78"/>
        <v>7</v>
      </c>
      <c r="C1050" s="191">
        <v>40739</v>
      </c>
      <c r="D1050" s="191" t="s">
        <v>957</v>
      </c>
      <c r="E1050" s="191">
        <v>40739</v>
      </c>
      <c r="F1050" s="192" t="s">
        <v>991</v>
      </c>
      <c r="G1050" s="498" t="s">
        <v>1173</v>
      </c>
      <c r="H1050" s="193" t="s">
        <v>733</v>
      </c>
      <c r="I1050" s="256">
        <v>100</v>
      </c>
      <c r="J1050" s="256">
        <v>6577</v>
      </c>
      <c r="K1050" s="614">
        <v>657700</v>
      </c>
      <c r="L1050" s="194" t="s">
        <v>259</v>
      </c>
      <c r="M1050" s="194" t="s">
        <v>167</v>
      </c>
      <c r="N1050" s="52" t="str">
        <f>IF(AND('331-CT'!$E$7=TH!H1050,OR(L1050="331",M1050="331")),"331",IF(AND(OR(L1050="131",M1050="131"),H1050='131-CT'!$E$7),"131",""))</f>
        <v>131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894"/>
    </row>
    <row r="1051" spans="1:28" ht="15.75" customHeight="1">
      <c r="A1051" s="204" t="str">
        <f>IF(B1051&lt;&gt;"",IF(AND(B1051&gt;=_TM1,B1051&lt;=_TM2,OR(TH!L1051="1111",TH!M1051="1111")),TH!D1051,""),"")</f>
        <v/>
      </c>
      <c r="B1051" s="36">
        <f t="shared" si="78"/>
        <v>7</v>
      </c>
      <c r="C1051" s="191">
        <v>40739</v>
      </c>
      <c r="D1051" s="191" t="s">
        <v>957</v>
      </c>
      <c r="E1051" s="191">
        <v>40739</v>
      </c>
      <c r="F1051" s="192" t="s">
        <v>991</v>
      </c>
      <c r="G1051" s="498" t="s">
        <v>1173</v>
      </c>
      <c r="H1051" s="193" t="s">
        <v>733</v>
      </c>
      <c r="I1051" s="258">
        <v>60</v>
      </c>
      <c r="J1051" s="258">
        <v>2711</v>
      </c>
      <c r="K1051" s="614">
        <v>162660</v>
      </c>
      <c r="L1051" s="194" t="s">
        <v>259</v>
      </c>
      <c r="M1051" s="194" t="s">
        <v>167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894"/>
    </row>
    <row r="1052" spans="1:28" ht="15.75" customHeight="1">
      <c r="A1052" s="204" t="str">
        <f>IF(B1052&lt;&gt;"",IF(AND(B1052&gt;=_TM1,B1052&lt;=_TM2,OR(TH!L1052="1111",TH!M1052="1111")),TH!D1052,""),"")</f>
        <v/>
      </c>
      <c r="B1052" s="36">
        <f t="shared" si="78"/>
        <v>7</v>
      </c>
      <c r="C1052" s="191">
        <v>40739</v>
      </c>
      <c r="D1052" s="191" t="s">
        <v>957</v>
      </c>
      <c r="E1052" s="191">
        <v>40739</v>
      </c>
      <c r="F1052" s="192" t="s">
        <v>1174</v>
      </c>
      <c r="G1052" s="498" t="s">
        <v>1173</v>
      </c>
      <c r="H1052" s="193" t="s">
        <v>733</v>
      </c>
      <c r="I1052" s="256"/>
      <c r="J1052" s="256"/>
      <c r="K1052" s="614">
        <v>2320767</v>
      </c>
      <c r="L1052" s="194" t="s">
        <v>259</v>
      </c>
      <c r="M1052" s="194" t="s">
        <v>731</v>
      </c>
      <c r="N1052" s="52" t="str">
        <f>IF(AND('331-CT'!$E$7=TH!H1052,OR(L1052="331",M1052="331")),"331",IF(AND(OR(L1052="131",M1052="131"),H1052='131-CT'!$E$7),"131",""))</f>
        <v>131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894"/>
    </row>
    <row r="1053" spans="1:28" ht="15.75" customHeight="1">
      <c r="A1053" s="204" t="str">
        <f>IF(B1053&lt;&gt;"",IF(AND(B1053&gt;=_TM1,B1053&lt;=_TM2,OR(TH!L1053="1111",TH!M1053="1111")),TH!D1053,""),"")</f>
        <v/>
      </c>
      <c r="B1053" s="36">
        <f t="shared" si="78"/>
        <v>7</v>
      </c>
      <c r="C1053" s="37">
        <f t="shared" ref="C1053:C1078" si="79">E1053</f>
        <v>40739</v>
      </c>
      <c r="D1053" s="37" t="s">
        <v>1095</v>
      </c>
      <c r="E1053" s="794">
        <v>40739</v>
      </c>
      <c r="F1053" s="40" t="s">
        <v>601</v>
      </c>
      <c r="G1053" s="40"/>
      <c r="H1053" s="628" t="s">
        <v>1092</v>
      </c>
      <c r="I1053" s="256">
        <v>2.5</v>
      </c>
      <c r="J1053" s="256">
        <v>16302.8</v>
      </c>
      <c r="K1053" s="614">
        <f t="shared" ref="K1053:K1078" si="80">ROUND(I1053*J1053,0)</f>
        <v>40757</v>
      </c>
      <c r="L1053" s="39" t="s">
        <v>157</v>
      </c>
      <c r="M1053" s="39" t="s">
        <v>151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A1053" s="894"/>
    </row>
    <row r="1054" spans="1:28" ht="15.75" customHeight="1">
      <c r="A1054" s="204" t="str">
        <f>IF(B1054&lt;&gt;"",IF(AND(B1054&gt;=_TM1,B1054&lt;=_TM2,OR(TH!L1054="1111",TH!M1054="1111")),TH!D1054,""),"")</f>
        <v/>
      </c>
      <c r="B1054" s="36">
        <f t="shared" si="78"/>
        <v>7</v>
      </c>
      <c r="C1054" s="37">
        <f t="shared" si="79"/>
        <v>40739</v>
      </c>
      <c r="D1054" s="37" t="s">
        <v>1095</v>
      </c>
      <c r="E1054" s="794">
        <v>40739</v>
      </c>
      <c r="F1054" s="40" t="s">
        <v>601</v>
      </c>
      <c r="G1054" s="40"/>
      <c r="H1054" s="628" t="s">
        <v>1092</v>
      </c>
      <c r="I1054" s="256">
        <v>0.5</v>
      </c>
      <c r="J1054" s="256">
        <v>16303</v>
      </c>
      <c r="K1054" s="614">
        <f t="shared" si="80"/>
        <v>8152</v>
      </c>
      <c r="L1054" s="39" t="s">
        <v>157</v>
      </c>
      <c r="M1054" s="39" t="s">
        <v>151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894"/>
    </row>
    <row r="1055" spans="1:28" ht="15.75" customHeight="1">
      <c r="A1055" s="204" t="str">
        <f>IF(B1055&lt;&gt;"",IF(AND(B1055&gt;=_TM1,B1055&lt;=_TM2,OR(TH!L1055="1111",TH!M1055="1111")),TH!D1055,""),"")</f>
        <v/>
      </c>
      <c r="B1055" s="36">
        <f t="shared" si="78"/>
        <v>7</v>
      </c>
      <c r="C1055" s="37">
        <f t="shared" si="79"/>
        <v>40739</v>
      </c>
      <c r="D1055" s="37" t="s">
        <v>1095</v>
      </c>
      <c r="E1055" s="794">
        <v>40739</v>
      </c>
      <c r="F1055" s="189" t="s">
        <v>488</v>
      </c>
      <c r="G1055" s="40"/>
      <c r="H1055" s="628" t="s">
        <v>1092</v>
      </c>
      <c r="I1055" s="256">
        <v>0.5</v>
      </c>
      <c r="J1055" s="256">
        <v>16173</v>
      </c>
      <c r="K1055" s="614">
        <f t="shared" si="80"/>
        <v>8087</v>
      </c>
      <c r="L1055" s="39" t="s">
        <v>157</v>
      </c>
      <c r="M1055" s="39" t="s">
        <v>151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894"/>
    </row>
    <row r="1056" spans="1:28" ht="15.75" customHeight="1">
      <c r="A1056" s="204" t="str">
        <f>IF(B1056&lt;&gt;"",IF(AND(B1056&gt;=_TM1,B1056&lt;=_TM2,OR(TH!L1056="1111",TH!M1056="1111")),TH!D1056,""),"")</f>
        <v/>
      </c>
      <c r="B1056" s="36">
        <f t="shared" si="78"/>
        <v>7</v>
      </c>
      <c r="C1056" s="37">
        <f t="shared" si="79"/>
        <v>40739</v>
      </c>
      <c r="D1056" s="37" t="s">
        <v>1095</v>
      </c>
      <c r="E1056" s="794">
        <v>40739</v>
      </c>
      <c r="F1056" s="40" t="s">
        <v>622</v>
      </c>
      <c r="G1056" s="40"/>
      <c r="H1056" s="628" t="s">
        <v>1092</v>
      </c>
      <c r="I1056" s="256">
        <v>9</v>
      </c>
      <c r="J1056" s="256">
        <v>23906</v>
      </c>
      <c r="K1056" s="614">
        <f t="shared" si="80"/>
        <v>215154</v>
      </c>
      <c r="L1056" s="39" t="s">
        <v>157</v>
      </c>
      <c r="M1056" s="39" t="s">
        <v>151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894"/>
    </row>
    <row r="1057" spans="1:27" ht="15.75" customHeight="1">
      <c r="A1057" s="204" t="str">
        <f>IF(B1057&lt;&gt;"",IF(AND(B1057&gt;=_TM1,B1057&lt;=_TM2,OR(TH!L1057="1111",TH!M1057="1111")),TH!D1057,""),"")</f>
        <v/>
      </c>
      <c r="B1057" s="36">
        <f t="shared" si="78"/>
        <v>7</v>
      </c>
      <c r="C1057" s="37">
        <f t="shared" si="79"/>
        <v>40739</v>
      </c>
      <c r="D1057" s="37" t="s">
        <v>1095</v>
      </c>
      <c r="E1057" s="794">
        <v>40739</v>
      </c>
      <c r="F1057" s="189" t="s">
        <v>493</v>
      </c>
      <c r="G1057" s="40"/>
      <c r="H1057" s="628" t="s">
        <v>1092</v>
      </c>
      <c r="I1057" s="256">
        <v>83</v>
      </c>
      <c r="J1057" s="256">
        <v>22806</v>
      </c>
      <c r="K1057" s="614">
        <f t="shared" si="80"/>
        <v>1892898</v>
      </c>
      <c r="L1057" s="39" t="s">
        <v>157</v>
      </c>
      <c r="M1057" s="39" t="s">
        <v>151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  <c r="AA1057" s="894"/>
    </row>
    <row r="1058" spans="1:27" ht="15.75" customHeight="1">
      <c r="A1058" s="204" t="str">
        <f>IF(B1058&lt;&gt;"",IF(AND(B1058&gt;=_TM1,B1058&lt;=_TM2,OR(TH!L1058="1111",TH!M1058="1111")),TH!D1058,""),"")</f>
        <v/>
      </c>
      <c r="B1058" s="36">
        <f t="shared" si="78"/>
        <v>7</v>
      </c>
      <c r="C1058" s="37">
        <f t="shared" si="79"/>
        <v>40739</v>
      </c>
      <c r="D1058" s="37" t="s">
        <v>1095</v>
      </c>
      <c r="E1058" s="794">
        <v>40739</v>
      </c>
      <c r="F1058" s="40" t="s">
        <v>604</v>
      </c>
      <c r="G1058" s="40"/>
      <c r="H1058" s="628" t="s">
        <v>1092</v>
      </c>
      <c r="I1058" s="256">
        <v>1</v>
      </c>
      <c r="J1058" s="256">
        <v>14280</v>
      </c>
      <c r="K1058" s="614">
        <f t="shared" si="80"/>
        <v>14280</v>
      </c>
      <c r="L1058" s="39" t="s">
        <v>157</v>
      </c>
      <c r="M1058" s="39" t="s">
        <v>151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894"/>
    </row>
    <row r="1059" spans="1:27" ht="15.75" customHeight="1">
      <c r="A1059" s="204" t="str">
        <f>IF(B1059&lt;&gt;"",IF(AND(B1059&gt;=_TM1,B1059&lt;=_TM2,OR(TH!L1059="1111",TH!M1059="1111")),TH!D1059,""),"")</f>
        <v/>
      </c>
      <c r="B1059" s="36">
        <f t="shared" si="78"/>
        <v>7</v>
      </c>
      <c r="C1059" s="37">
        <f t="shared" si="79"/>
        <v>40739</v>
      </c>
      <c r="D1059" s="37" t="s">
        <v>1095</v>
      </c>
      <c r="E1059" s="794">
        <v>40739</v>
      </c>
      <c r="F1059" s="40" t="s">
        <v>601</v>
      </c>
      <c r="G1059" s="40"/>
      <c r="H1059" s="628" t="s">
        <v>1092</v>
      </c>
      <c r="I1059" s="256">
        <v>0.5</v>
      </c>
      <c r="J1059" s="256">
        <v>16303</v>
      </c>
      <c r="K1059" s="614">
        <f t="shared" si="80"/>
        <v>8152</v>
      </c>
      <c r="L1059" s="39" t="s">
        <v>157</v>
      </c>
      <c r="M1059" s="39" t="s">
        <v>151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894"/>
    </row>
    <row r="1060" spans="1:27" ht="15.75" customHeight="1">
      <c r="A1060" s="204" t="str">
        <f>IF(B1060&lt;&gt;"",IF(AND(B1060&gt;=_TM1,B1060&lt;=_TM2,OR(TH!L1060="1111",TH!M1060="1111")),TH!D1060,""),"")</f>
        <v/>
      </c>
      <c r="B1060" s="36">
        <f t="shared" si="78"/>
        <v>7</v>
      </c>
      <c r="C1060" s="37">
        <f t="shared" si="79"/>
        <v>40739</v>
      </c>
      <c r="D1060" s="37" t="s">
        <v>1095</v>
      </c>
      <c r="E1060" s="794">
        <v>40739</v>
      </c>
      <c r="F1060" s="189" t="s">
        <v>519</v>
      </c>
      <c r="G1060" s="40"/>
      <c r="H1060" s="628" t="s">
        <v>1092</v>
      </c>
      <c r="I1060" s="256">
        <v>4</v>
      </c>
      <c r="J1060" s="256">
        <v>10603</v>
      </c>
      <c r="K1060" s="614">
        <f t="shared" si="80"/>
        <v>42412</v>
      </c>
      <c r="L1060" s="39" t="s">
        <v>157</v>
      </c>
      <c r="M1060" s="39" t="s">
        <v>151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  <c r="AA1060" s="894"/>
    </row>
    <row r="1061" spans="1:27" ht="15.75" customHeight="1">
      <c r="A1061" s="204" t="str">
        <f>IF(B1061&lt;&gt;"",IF(AND(B1061&gt;=_TM1,B1061&lt;=_TM2,OR(TH!L1061="1111",TH!M1061="1111")),TH!D1061,""),"")</f>
        <v/>
      </c>
      <c r="B1061" s="36">
        <f t="shared" si="78"/>
        <v>7</v>
      </c>
      <c r="C1061" s="37">
        <f t="shared" si="79"/>
        <v>40739</v>
      </c>
      <c r="D1061" s="37" t="s">
        <v>1095</v>
      </c>
      <c r="E1061" s="794">
        <v>40739</v>
      </c>
      <c r="F1061" s="189" t="s">
        <v>492</v>
      </c>
      <c r="G1061" s="40"/>
      <c r="H1061" s="628" t="s">
        <v>1092</v>
      </c>
      <c r="I1061" s="256">
        <v>1.5</v>
      </c>
      <c r="J1061" s="256">
        <v>23716</v>
      </c>
      <c r="K1061" s="614">
        <f t="shared" si="80"/>
        <v>35574</v>
      </c>
      <c r="L1061" s="39" t="s">
        <v>157</v>
      </c>
      <c r="M1061" s="39" t="s">
        <v>151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  <c r="AA1061" s="894"/>
    </row>
    <row r="1062" spans="1:27" ht="15.75" customHeight="1">
      <c r="A1062" s="204" t="str">
        <f>IF(B1062&lt;&gt;"",IF(AND(B1062&gt;=_TM1,B1062&lt;=_TM2,OR(TH!L1062="1111",TH!M1062="1111")),TH!D1062,""),"")</f>
        <v/>
      </c>
      <c r="B1062" s="36">
        <f t="shared" si="78"/>
        <v>7</v>
      </c>
      <c r="C1062" s="37">
        <f t="shared" si="79"/>
        <v>40739</v>
      </c>
      <c r="D1062" s="37" t="s">
        <v>1095</v>
      </c>
      <c r="E1062" s="794">
        <v>40739</v>
      </c>
      <c r="F1062" s="189" t="s">
        <v>492</v>
      </c>
      <c r="G1062" s="40"/>
      <c r="H1062" s="628" t="s">
        <v>1092</v>
      </c>
      <c r="I1062" s="256">
        <v>1.5</v>
      </c>
      <c r="J1062" s="256">
        <v>23716</v>
      </c>
      <c r="K1062" s="614">
        <f t="shared" si="80"/>
        <v>35574</v>
      </c>
      <c r="L1062" s="39" t="s">
        <v>157</v>
      </c>
      <c r="M1062" s="39" t="s">
        <v>151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894"/>
    </row>
    <row r="1063" spans="1:27" ht="15.75" customHeight="1">
      <c r="A1063" s="204" t="str">
        <f>IF(B1063&lt;&gt;"",IF(AND(B1063&gt;=_TM1,B1063&lt;=_TM2,OR(TH!L1063="1111",TH!M1063="1111")),TH!D1063,""),"")</f>
        <v/>
      </c>
      <c r="B1063" s="36">
        <f t="shared" si="78"/>
        <v>7</v>
      </c>
      <c r="C1063" s="37">
        <f t="shared" si="79"/>
        <v>40739</v>
      </c>
      <c r="D1063" s="37" t="s">
        <v>1112</v>
      </c>
      <c r="E1063" s="37">
        <v>40739</v>
      </c>
      <c r="F1063" s="40" t="s">
        <v>985</v>
      </c>
      <c r="G1063" s="40"/>
      <c r="H1063" s="628" t="s">
        <v>1092</v>
      </c>
      <c r="I1063" s="256">
        <v>124</v>
      </c>
      <c r="J1063" s="256">
        <v>8248.4067996696067</v>
      </c>
      <c r="K1063" s="614">
        <f t="shared" si="80"/>
        <v>1022802</v>
      </c>
      <c r="L1063" s="39" t="s">
        <v>159</v>
      </c>
      <c r="M1063" s="39" t="s">
        <v>157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894"/>
    </row>
    <row r="1064" spans="1:27" ht="15.75" customHeight="1">
      <c r="A1064" s="204" t="str">
        <f>IF(B1064&lt;&gt;"",IF(AND(B1064&gt;=_TM1,B1064&lt;=_TM2,OR(TH!L1064="1111",TH!M1064="1111")),TH!D1064,""),"")</f>
        <v/>
      </c>
      <c r="B1064" s="36">
        <f t="shared" si="78"/>
        <v>7</v>
      </c>
      <c r="C1064" s="37">
        <f t="shared" si="79"/>
        <v>40739</v>
      </c>
      <c r="D1064" s="37" t="s">
        <v>1112</v>
      </c>
      <c r="E1064" s="37">
        <v>40739</v>
      </c>
      <c r="F1064" s="40" t="s">
        <v>986</v>
      </c>
      <c r="G1064" s="40"/>
      <c r="H1064" s="628" t="s">
        <v>1092</v>
      </c>
      <c r="I1064" s="256">
        <v>1292</v>
      </c>
      <c r="J1064" s="256">
        <v>10697.405701097752</v>
      </c>
      <c r="K1064" s="614">
        <f t="shared" si="80"/>
        <v>13821048</v>
      </c>
      <c r="L1064" s="39" t="s">
        <v>159</v>
      </c>
      <c r="M1064" s="39" t="s">
        <v>157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894"/>
    </row>
    <row r="1065" spans="1:27" ht="15.75" customHeight="1">
      <c r="A1065" s="204" t="str">
        <f>IF(B1065&lt;&gt;"",IF(AND(B1065&gt;=_TM1,B1065&lt;=_TM2,OR(TH!L1065="1111",TH!M1065="1111")),TH!D1065,""),"")</f>
        <v/>
      </c>
      <c r="B1065" s="36">
        <f t="shared" si="78"/>
        <v>7</v>
      </c>
      <c r="C1065" s="37">
        <f t="shared" si="79"/>
        <v>40739</v>
      </c>
      <c r="D1065" s="37" t="s">
        <v>1112</v>
      </c>
      <c r="E1065" s="37">
        <v>40739</v>
      </c>
      <c r="F1065" s="40" t="s">
        <v>987</v>
      </c>
      <c r="G1065" s="40"/>
      <c r="H1065" s="628" t="s">
        <v>1092</v>
      </c>
      <c r="I1065" s="256">
        <v>27</v>
      </c>
      <c r="J1065" s="256">
        <v>18104.102438857182</v>
      </c>
      <c r="K1065" s="614">
        <f t="shared" si="80"/>
        <v>488811</v>
      </c>
      <c r="L1065" s="39" t="s">
        <v>159</v>
      </c>
      <c r="M1065" s="39" t="s">
        <v>157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  <c r="AA1065" s="894"/>
    </row>
    <row r="1066" spans="1:27" ht="15.75" customHeight="1">
      <c r="A1066" s="204" t="str">
        <f>IF(B1066&lt;&gt;"",IF(AND(B1066&gt;=_TM1,B1066&lt;=_TM2,OR(TH!L1066="1111",TH!M1066="1111")),TH!D1066,""),"")</f>
        <v/>
      </c>
      <c r="B1066" s="36">
        <f t="shared" si="78"/>
        <v>7</v>
      </c>
      <c r="C1066" s="37">
        <f t="shared" si="79"/>
        <v>40739</v>
      </c>
      <c r="D1066" s="37" t="s">
        <v>1112</v>
      </c>
      <c r="E1066" s="37">
        <v>40739</v>
      </c>
      <c r="F1066" s="40" t="s">
        <v>988</v>
      </c>
      <c r="G1066" s="40"/>
      <c r="H1066" s="628" t="s">
        <v>1092</v>
      </c>
      <c r="I1066" s="256">
        <v>120</v>
      </c>
      <c r="J1066" s="256">
        <v>4446.9070684868111</v>
      </c>
      <c r="K1066" s="614">
        <f t="shared" si="80"/>
        <v>533629</v>
      </c>
      <c r="L1066" s="39" t="s">
        <v>159</v>
      </c>
      <c r="M1066" s="39" t="s">
        <v>157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  <c r="AA1066" s="894"/>
    </row>
    <row r="1067" spans="1:27" ht="15.75" customHeight="1">
      <c r="A1067" s="204" t="str">
        <f>IF(B1067&lt;&gt;"",IF(AND(B1067&gt;=_TM1,B1067&lt;=_TM2,OR(TH!L1067="1111",TH!M1067="1111")),TH!D1067,""),"")</f>
        <v/>
      </c>
      <c r="B1067" s="36">
        <f t="shared" si="78"/>
        <v>7</v>
      </c>
      <c r="C1067" s="37">
        <f t="shared" si="79"/>
        <v>40739</v>
      </c>
      <c r="D1067" s="37" t="s">
        <v>1112</v>
      </c>
      <c r="E1067" s="37">
        <v>40739</v>
      </c>
      <c r="F1067" s="40" t="s">
        <v>989</v>
      </c>
      <c r="G1067" s="40"/>
      <c r="H1067" s="628" t="s">
        <v>1092</v>
      </c>
      <c r="I1067" s="256">
        <v>600</v>
      </c>
      <c r="J1067" s="256">
        <v>2667.3004018201455</v>
      </c>
      <c r="K1067" s="614">
        <f t="shared" si="80"/>
        <v>1600380</v>
      </c>
      <c r="L1067" s="39" t="s">
        <v>159</v>
      </c>
      <c r="M1067" s="39" t="s">
        <v>157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  <c r="AA1067" s="894"/>
    </row>
    <row r="1068" spans="1:27" ht="15.75" customHeight="1">
      <c r="A1068" s="204" t="str">
        <f>IF(B1068&lt;&gt;"",IF(AND(B1068&gt;=_TM1,B1068&lt;=_TM2,OR(TH!L1068="1111",TH!M1068="1111")),TH!D1068,""),"")</f>
        <v/>
      </c>
      <c r="B1068" s="36">
        <f t="shared" si="78"/>
        <v>7</v>
      </c>
      <c r="C1068" s="37">
        <f t="shared" si="79"/>
        <v>40739</v>
      </c>
      <c r="D1068" s="37" t="s">
        <v>1112</v>
      </c>
      <c r="E1068" s="37">
        <v>40739</v>
      </c>
      <c r="F1068" s="192" t="s">
        <v>1209</v>
      </c>
      <c r="G1068" s="40"/>
      <c r="H1068" s="628" t="s">
        <v>1092</v>
      </c>
      <c r="I1068" s="256">
        <v>170</v>
      </c>
      <c r="J1068" s="256">
        <v>2681.6046175064198</v>
      </c>
      <c r="K1068" s="614">
        <f t="shared" si="80"/>
        <v>455873</v>
      </c>
      <c r="L1068" s="39" t="s">
        <v>159</v>
      </c>
      <c r="M1068" s="39" t="s">
        <v>157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  <c r="AA1068" s="894"/>
    </row>
    <row r="1069" spans="1:27" ht="15.75" customHeight="1">
      <c r="A1069" s="204" t="str">
        <f>IF(B1069&lt;&gt;"",IF(AND(B1069&gt;=_TM1,B1069&lt;=_TM2,OR(TH!L1069="1111",TH!M1069="1111")),TH!D1069,""),"")</f>
        <v/>
      </c>
      <c r="B1069" s="36">
        <f t="shared" si="78"/>
        <v>7</v>
      </c>
      <c r="C1069" s="37">
        <f t="shared" si="79"/>
        <v>40739</v>
      </c>
      <c r="D1069" s="37" t="s">
        <v>1112</v>
      </c>
      <c r="E1069" s="37">
        <v>40739</v>
      </c>
      <c r="F1069" s="192" t="s">
        <v>756</v>
      </c>
      <c r="G1069" s="40"/>
      <c r="H1069" s="628" t="s">
        <v>1092</v>
      </c>
      <c r="I1069" s="256">
        <v>100</v>
      </c>
      <c r="J1069" s="256">
        <v>6671.3787351534784</v>
      </c>
      <c r="K1069" s="614">
        <f t="shared" si="80"/>
        <v>667138</v>
      </c>
      <c r="L1069" s="39" t="s">
        <v>159</v>
      </c>
      <c r="M1069" s="39" t="s">
        <v>157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  <c r="AA1069" s="894"/>
    </row>
    <row r="1070" spans="1:27" ht="15.75" customHeight="1">
      <c r="A1070" s="204" t="str">
        <f>IF(B1070&lt;&gt;"",IF(AND(B1070&gt;=_TM1,B1070&lt;=_TM2,OR(TH!L1070="1111",TH!M1070="1111")),TH!D1070,""),"")</f>
        <v/>
      </c>
      <c r="B1070" s="36">
        <f t="shared" si="78"/>
        <v>7</v>
      </c>
      <c r="C1070" s="37">
        <f t="shared" si="79"/>
        <v>40739</v>
      </c>
      <c r="D1070" s="37" t="s">
        <v>1112</v>
      </c>
      <c r="E1070" s="37">
        <v>40739</v>
      </c>
      <c r="F1070" s="192" t="s">
        <v>756</v>
      </c>
      <c r="G1070" s="40"/>
      <c r="H1070" s="628" t="s">
        <v>1092</v>
      </c>
      <c r="I1070" s="256">
        <v>60</v>
      </c>
      <c r="J1070" s="256">
        <v>2667.3154018201449</v>
      </c>
      <c r="K1070" s="614">
        <f t="shared" si="80"/>
        <v>160039</v>
      </c>
      <c r="L1070" s="39" t="s">
        <v>159</v>
      </c>
      <c r="M1070" s="39" t="s">
        <v>157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  <c r="AA1070" s="894"/>
    </row>
    <row r="1071" spans="1:27" ht="15.75" customHeight="1">
      <c r="A1071" s="204" t="str">
        <f>IF(B1071&lt;&gt;"",IF(AND(B1071&gt;=_TM1,B1071&lt;=_TM2,OR(TH!L1071="1111",TH!M1071="1111")),TH!D1071,""),"")</f>
        <v/>
      </c>
      <c r="B1071" s="36">
        <f t="shared" si="78"/>
        <v>7</v>
      </c>
      <c r="C1071" s="37">
        <f t="shared" si="79"/>
        <v>40739</v>
      </c>
      <c r="D1071" s="37" t="s">
        <v>957</v>
      </c>
      <c r="E1071" s="37">
        <v>40739</v>
      </c>
      <c r="F1071" s="40" t="s">
        <v>985</v>
      </c>
      <c r="G1071" s="40" t="s">
        <v>1173</v>
      </c>
      <c r="H1071" s="628" t="s">
        <v>733</v>
      </c>
      <c r="I1071" s="256">
        <v>124</v>
      </c>
      <c r="J1071" s="256">
        <v>8248.4067996696067</v>
      </c>
      <c r="K1071" s="614">
        <f t="shared" si="80"/>
        <v>1022802</v>
      </c>
      <c r="L1071" s="39" t="s">
        <v>165</v>
      </c>
      <c r="M1071" s="39" t="s">
        <v>159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  <c r="AA1071" s="894"/>
    </row>
    <row r="1072" spans="1:27" ht="15.75" customHeight="1">
      <c r="A1072" s="204" t="str">
        <f>IF(B1072&lt;&gt;"",IF(AND(B1072&gt;=_TM1,B1072&lt;=_TM2,OR(TH!L1072="1111",TH!M1072="1111")),TH!D1072,""),"")</f>
        <v/>
      </c>
      <c r="B1072" s="36">
        <f t="shared" si="78"/>
        <v>7</v>
      </c>
      <c r="C1072" s="37">
        <f t="shared" si="79"/>
        <v>40739</v>
      </c>
      <c r="D1072" s="37" t="s">
        <v>957</v>
      </c>
      <c r="E1072" s="37">
        <v>40739</v>
      </c>
      <c r="F1072" s="40" t="s">
        <v>986</v>
      </c>
      <c r="G1072" s="40" t="s">
        <v>1173</v>
      </c>
      <c r="H1072" s="628" t="s">
        <v>733</v>
      </c>
      <c r="I1072" s="256">
        <v>1292</v>
      </c>
      <c r="J1072" s="256">
        <v>10697.405701097752</v>
      </c>
      <c r="K1072" s="614">
        <f t="shared" si="80"/>
        <v>13821048</v>
      </c>
      <c r="L1072" s="39" t="s">
        <v>165</v>
      </c>
      <c r="M1072" s="39" t="s">
        <v>159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  <c r="AA1072" s="894"/>
    </row>
    <row r="1073" spans="1:27" ht="15.75" customHeight="1">
      <c r="A1073" s="204" t="str">
        <f>IF(B1073&lt;&gt;"",IF(AND(B1073&gt;=_TM1,B1073&lt;=_TM2,OR(TH!L1073="1111",TH!M1073="1111")),TH!D1073,""),"")</f>
        <v/>
      </c>
      <c r="B1073" s="36">
        <f t="shared" si="78"/>
        <v>7</v>
      </c>
      <c r="C1073" s="37">
        <f t="shared" si="79"/>
        <v>40739</v>
      </c>
      <c r="D1073" s="37" t="s">
        <v>957</v>
      </c>
      <c r="E1073" s="37">
        <v>40739</v>
      </c>
      <c r="F1073" s="40" t="s">
        <v>987</v>
      </c>
      <c r="G1073" s="40" t="s">
        <v>1173</v>
      </c>
      <c r="H1073" s="628" t="s">
        <v>733</v>
      </c>
      <c r="I1073" s="256">
        <v>27</v>
      </c>
      <c r="J1073" s="256">
        <v>18104.102438857182</v>
      </c>
      <c r="K1073" s="614">
        <f t="shared" si="80"/>
        <v>488811</v>
      </c>
      <c r="L1073" s="39" t="s">
        <v>165</v>
      </c>
      <c r="M1073" s="39" t="s">
        <v>159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  <c r="AA1073" s="894"/>
    </row>
    <row r="1074" spans="1:27" ht="15.75" customHeight="1">
      <c r="A1074" s="204" t="str">
        <f>IF(B1074&lt;&gt;"",IF(AND(B1074&gt;=_TM1,B1074&lt;=_TM2,OR(TH!L1074="1111",TH!M1074="1111")),TH!D1074,""),"")</f>
        <v/>
      </c>
      <c r="B1074" s="36">
        <f t="shared" si="78"/>
        <v>7</v>
      </c>
      <c r="C1074" s="37">
        <f t="shared" si="79"/>
        <v>40739</v>
      </c>
      <c r="D1074" s="37" t="s">
        <v>957</v>
      </c>
      <c r="E1074" s="37">
        <v>40739</v>
      </c>
      <c r="F1074" s="40" t="s">
        <v>988</v>
      </c>
      <c r="G1074" s="40" t="s">
        <v>1173</v>
      </c>
      <c r="H1074" s="628" t="s">
        <v>733</v>
      </c>
      <c r="I1074" s="256">
        <v>120</v>
      </c>
      <c r="J1074" s="256">
        <v>4446.9070684868111</v>
      </c>
      <c r="K1074" s="614">
        <f t="shared" si="80"/>
        <v>533629</v>
      </c>
      <c r="L1074" s="39" t="s">
        <v>165</v>
      </c>
      <c r="M1074" s="39" t="s">
        <v>159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894"/>
    </row>
    <row r="1075" spans="1:27" ht="15.75" customHeight="1">
      <c r="A1075" s="204" t="str">
        <f>IF(B1075&lt;&gt;"",IF(AND(B1075&gt;=_TM1,B1075&lt;=_TM2,OR(TH!L1075="1111",TH!M1075="1111")),TH!D1075,""),"")</f>
        <v/>
      </c>
      <c r="B1075" s="36">
        <f t="shared" si="78"/>
        <v>7</v>
      </c>
      <c r="C1075" s="37">
        <f t="shared" si="79"/>
        <v>40739</v>
      </c>
      <c r="D1075" s="37" t="s">
        <v>957</v>
      </c>
      <c r="E1075" s="37">
        <v>40739</v>
      </c>
      <c r="F1075" s="40" t="s">
        <v>989</v>
      </c>
      <c r="G1075" s="40" t="s">
        <v>1173</v>
      </c>
      <c r="H1075" s="628" t="s">
        <v>733</v>
      </c>
      <c r="I1075" s="256">
        <v>600</v>
      </c>
      <c r="J1075" s="256">
        <v>2667.3004018201455</v>
      </c>
      <c r="K1075" s="614">
        <f t="shared" si="80"/>
        <v>1600380</v>
      </c>
      <c r="L1075" s="39" t="s">
        <v>165</v>
      </c>
      <c r="M1075" s="39" t="s">
        <v>159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  <c r="AA1075" s="894"/>
    </row>
    <row r="1076" spans="1:27" ht="15.75" customHeight="1">
      <c r="A1076" s="204" t="str">
        <f>IF(B1076&lt;&gt;"",IF(AND(B1076&gt;=_TM1,B1076&lt;=_TM2,OR(TH!L1076="1111",TH!M1076="1111")),TH!D1076,""),"")</f>
        <v/>
      </c>
      <c r="B1076" s="36">
        <f t="shared" si="78"/>
        <v>7</v>
      </c>
      <c r="C1076" s="37">
        <f t="shared" si="79"/>
        <v>40739</v>
      </c>
      <c r="D1076" s="37" t="s">
        <v>957</v>
      </c>
      <c r="E1076" s="37">
        <v>40739</v>
      </c>
      <c r="F1076" s="192" t="s">
        <v>1209</v>
      </c>
      <c r="G1076" s="40" t="s">
        <v>1173</v>
      </c>
      <c r="H1076" s="628" t="s">
        <v>733</v>
      </c>
      <c r="I1076" s="256">
        <v>170</v>
      </c>
      <c r="J1076" s="256">
        <v>2681.6046175064198</v>
      </c>
      <c r="K1076" s="614">
        <f t="shared" si="80"/>
        <v>455873</v>
      </c>
      <c r="L1076" s="39" t="s">
        <v>165</v>
      </c>
      <c r="M1076" s="39" t="s">
        <v>159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894"/>
    </row>
    <row r="1077" spans="1:27" ht="15.75" customHeight="1">
      <c r="A1077" s="204" t="str">
        <f>IF(B1077&lt;&gt;"",IF(AND(B1077&gt;=_TM1,B1077&lt;=_TM2,OR(TH!L1077="1111",TH!M1077="1111")),TH!D1077,""),"")</f>
        <v/>
      </c>
      <c r="B1077" s="36">
        <f t="shared" si="78"/>
        <v>7</v>
      </c>
      <c r="C1077" s="37">
        <f t="shared" si="79"/>
        <v>40739</v>
      </c>
      <c r="D1077" s="37" t="s">
        <v>957</v>
      </c>
      <c r="E1077" s="37">
        <v>40739</v>
      </c>
      <c r="F1077" s="192" t="s">
        <v>756</v>
      </c>
      <c r="G1077" s="40" t="s">
        <v>1173</v>
      </c>
      <c r="H1077" s="628" t="s">
        <v>733</v>
      </c>
      <c r="I1077" s="256">
        <v>100</v>
      </c>
      <c r="J1077" s="256">
        <v>6671.3787351534784</v>
      </c>
      <c r="K1077" s="614">
        <f t="shared" si="80"/>
        <v>667138</v>
      </c>
      <c r="L1077" s="39" t="s">
        <v>165</v>
      </c>
      <c r="M1077" s="39" t="s">
        <v>159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894"/>
    </row>
    <row r="1078" spans="1:27" ht="15.75" customHeight="1">
      <c r="A1078" s="204" t="str">
        <f>IF(B1078&lt;&gt;"",IF(AND(B1078&gt;=_TM1,B1078&lt;=_TM2,OR(TH!L1078="1111",TH!M1078="1111")),TH!D1078,""),"")</f>
        <v/>
      </c>
      <c r="B1078" s="36">
        <f t="shared" si="78"/>
        <v>7</v>
      </c>
      <c r="C1078" s="37">
        <f t="shared" si="79"/>
        <v>40739</v>
      </c>
      <c r="D1078" s="37" t="s">
        <v>957</v>
      </c>
      <c r="E1078" s="37">
        <v>40739</v>
      </c>
      <c r="F1078" s="192" t="s">
        <v>756</v>
      </c>
      <c r="G1078" s="40" t="s">
        <v>1173</v>
      </c>
      <c r="H1078" s="628" t="s">
        <v>733</v>
      </c>
      <c r="I1078" s="256">
        <v>60</v>
      </c>
      <c r="J1078" s="256">
        <v>2667.3154018201449</v>
      </c>
      <c r="K1078" s="614">
        <f t="shared" si="80"/>
        <v>160039</v>
      </c>
      <c r="L1078" s="39" t="s">
        <v>165</v>
      </c>
      <c r="M1078" s="39" t="s">
        <v>159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894"/>
    </row>
    <row r="1079" spans="1:27" ht="15.75" customHeight="1">
      <c r="A1079" s="204" t="str">
        <f>IF(B1079&lt;&gt;"",IF(AND(B1079&gt;=_TM1,B1079&lt;=_TM2,OR(TH!L1079="1111",TH!M1079="1111")),TH!D1079,""),"")</f>
        <v/>
      </c>
      <c r="B1079" s="36">
        <f t="shared" si="78"/>
        <v>7</v>
      </c>
      <c r="C1079" s="184">
        <v>40740</v>
      </c>
      <c r="D1079" s="184" t="s">
        <v>432</v>
      </c>
      <c r="E1079" s="184">
        <v>40740</v>
      </c>
      <c r="F1079" s="189" t="s">
        <v>366</v>
      </c>
      <c r="G1079" s="616" t="s">
        <v>330</v>
      </c>
      <c r="H1079" s="193" t="s">
        <v>363</v>
      </c>
      <c r="I1079" s="256"/>
      <c r="J1079" s="256"/>
      <c r="K1079" s="614">
        <v>62000000</v>
      </c>
      <c r="L1079" s="615" t="s">
        <v>46</v>
      </c>
      <c r="M1079" s="615" t="s">
        <v>23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>x</v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894"/>
    </row>
    <row r="1080" spans="1:27" ht="15.75" customHeight="1">
      <c r="A1080" s="204" t="str">
        <f>IF(B1080&lt;&gt;"",IF(AND(B1080&gt;=_TM1,B1080&lt;=_TM2,OR(TH!L1080="1111",TH!M1080="1111")),TH!D1080,""),"")</f>
        <v/>
      </c>
      <c r="B1080" s="36">
        <f t="shared" si="78"/>
        <v>7</v>
      </c>
      <c r="C1080" s="191">
        <v>40741</v>
      </c>
      <c r="D1080" s="191" t="s">
        <v>958</v>
      </c>
      <c r="E1080" s="191">
        <v>40741</v>
      </c>
      <c r="F1080" s="192" t="s">
        <v>741</v>
      </c>
      <c r="G1080" s="498" t="s">
        <v>1175</v>
      </c>
      <c r="H1080" s="193" t="s">
        <v>733</v>
      </c>
      <c r="I1080" s="256">
        <v>6</v>
      </c>
      <c r="J1080" s="256">
        <v>17330</v>
      </c>
      <c r="K1080" s="614">
        <v>103980</v>
      </c>
      <c r="L1080" s="194" t="s">
        <v>259</v>
      </c>
      <c r="M1080" s="194" t="s">
        <v>167</v>
      </c>
      <c r="N1080" s="52" t="str">
        <f>IF(AND('331-CT'!$E$7=TH!H1080,OR(L1080="331",M1080="331")),"331",IF(AND(OR(L1080="131",M1080="131"),H1080='131-CT'!$E$7),"131",""))</f>
        <v>131</v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  <c r="AA1080" s="894"/>
    </row>
    <row r="1081" spans="1:27" ht="15.75" customHeight="1">
      <c r="A1081" s="204" t="str">
        <f>IF(B1081&lt;&gt;"",IF(AND(B1081&gt;=_TM1,B1081&lt;=_TM2,OR(TH!L1081="1111",TH!M1081="1111")),TH!D1081,""),"")</f>
        <v/>
      </c>
      <c r="B1081" s="36">
        <f t="shared" si="78"/>
        <v>7</v>
      </c>
      <c r="C1081" s="191">
        <v>40741</v>
      </c>
      <c r="D1081" s="191" t="s">
        <v>958</v>
      </c>
      <c r="E1081" s="191">
        <v>40741</v>
      </c>
      <c r="F1081" s="192" t="s">
        <v>742</v>
      </c>
      <c r="G1081" s="498" t="s">
        <v>1175</v>
      </c>
      <c r="H1081" s="193" t="s">
        <v>733</v>
      </c>
      <c r="I1081" s="256">
        <v>50</v>
      </c>
      <c r="J1081" s="256">
        <v>19814</v>
      </c>
      <c r="K1081" s="614">
        <v>990700</v>
      </c>
      <c r="L1081" s="194" t="s">
        <v>259</v>
      </c>
      <c r="M1081" s="194" t="s">
        <v>167</v>
      </c>
      <c r="N1081" s="52" t="str">
        <f>IF(AND('331-CT'!$E$7=TH!H1081,OR(L1081="331",M1081="331")),"331",IF(AND(OR(L1081="131",M1081="131"),H1081='131-CT'!$E$7),"131",""))</f>
        <v>131</v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A1081" s="894"/>
    </row>
    <row r="1082" spans="1:27" ht="15.75" customHeight="1">
      <c r="A1082" s="204" t="str">
        <f>IF(B1082&lt;&gt;"",IF(AND(B1082&gt;=_TM1,B1082&lt;=_TM2,OR(TH!L1082="1111",TH!M1082="1111")),TH!D1082,""),"")</f>
        <v/>
      </c>
      <c r="B1082" s="36">
        <f t="shared" si="78"/>
        <v>7</v>
      </c>
      <c r="C1082" s="191">
        <v>40741</v>
      </c>
      <c r="D1082" s="191" t="s">
        <v>958</v>
      </c>
      <c r="E1082" s="191">
        <v>40741</v>
      </c>
      <c r="F1082" s="192" t="s">
        <v>992</v>
      </c>
      <c r="G1082" s="498" t="s">
        <v>1175</v>
      </c>
      <c r="H1082" s="193" t="s">
        <v>733</v>
      </c>
      <c r="I1082" s="256">
        <v>121</v>
      </c>
      <c r="J1082" s="256">
        <v>21646</v>
      </c>
      <c r="K1082" s="614">
        <v>2619166</v>
      </c>
      <c r="L1082" s="194" t="s">
        <v>259</v>
      </c>
      <c r="M1082" s="194" t="s">
        <v>167</v>
      </c>
      <c r="N1082" s="52" t="str">
        <f>IF(AND('331-CT'!$E$7=TH!H1082,OR(L1082="331",M1082="331")),"331",IF(AND(OR(L1082="131",M1082="131"),H1082='131-CT'!$E$7),"131",""))</f>
        <v>131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894"/>
    </row>
    <row r="1083" spans="1:27" ht="15.75" customHeight="1">
      <c r="A1083" s="204" t="str">
        <f>IF(B1083&lt;&gt;"",IF(AND(B1083&gt;=_TM1,B1083&lt;=_TM2,OR(TH!L1083="1111",TH!M1083="1111")),TH!D1083,""),"")</f>
        <v/>
      </c>
      <c r="B1083" s="36">
        <f t="shared" si="78"/>
        <v>7</v>
      </c>
      <c r="C1083" s="191">
        <v>40741</v>
      </c>
      <c r="D1083" s="191" t="s">
        <v>958</v>
      </c>
      <c r="E1083" s="191">
        <v>40741</v>
      </c>
      <c r="F1083" s="192" t="s">
        <v>743</v>
      </c>
      <c r="G1083" s="498" t="s">
        <v>1175</v>
      </c>
      <c r="H1083" s="193" t="s">
        <v>733</v>
      </c>
      <c r="I1083" s="256">
        <v>83</v>
      </c>
      <c r="J1083" s="256">
        <v>19248</v>
      </c>
      <c r="K1083" s="614">
        <v>1597584</v>
      </c>
      <c r="L1083" s="194" t="s">
        <v>259</v>
      </c>
      <c r="M1083" s="194" t="s">
        <v>167</v>
      </c>
      <c r="N1083" s="52" t="str">
        <f>IF(AND('331-CT'!$E$7=TH!H1083,OR(L1083="331",M1083="331")),"331",IF(AND(OR(L1083="131",M1083="131"),H1083='131-CT'!$E$7),"131",""))</f>
        <v>131</v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  <c r="AA1083" s="894"/>
    </row>
    <row r="1084" spans="1:27" ht="15.75" customHeight="1">
      <c r="A1084" s="204" t="str">
        <f>IF(B1084&lt;&gt;"",IF(AND(B1084&gt;=_TM1,B1084&lt;=_TM2,OR(TH!L1084="1111",TH!M1084="1111")),TH!D1084,""),"")</f>
        <v/>
      </c>
      <c r="B1084" s="36">
        <f t="shared" si="78"/>
        <v>7</v>
      </c>
      <c r="C1084" s="191">
        <v>40741</v>
      </c>
      <c r="D1084" s="191" t="s">
        <v>958</v>
      </c>
      <c r="E1084" s="191">
        <v>40741</v>
      </c>
      <c r="F1084" s="192" t="s">
        <v>744</v>
      </c>
      <c r="G1084" s="498" t="s">
        <v>1175</v>
      </c>
      <c r="H1084" s="193" t="s">
        <v>733</v>
      </c>
      <c r="I1084" s="256">
        <v>1</v>
      </c>
      <c r="J1084" s="256">
        <v>14591</v>
      </c>
      <c r="K1084" s="614">
        <v>14591</v>
      </c>
      <c r="L1084" s="194" t="s">
        <v>259</v>
      </c>
      <c r="M1084" s="194" t="s">
        <v>167</v>
      </c>
      <c r="N1084" s="52" t="str">
        <f>IF(AND('331-CT'!$E$7=TH!H1084,OR(L1084="331",M1084="331")),"331",IF(AND(OR(L1084="131",M1084="131"),H1084='131-CT'!$E$7),"131",""))</f>
        <v>131</v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894"/>
    </row>
    <row r="1085" spans="1:27" ht="15.75" customHeight="1">
      <c r="A1085" s="204" t="str">
        <f>IF(B1085&lt;&gt;"",IF(AND(B1085&gt;=_TM1,B1085&lt;=_TM2,OR(TH!L1085="1111",TH!M1085="1111")),TH!D1085,""),"")</f>
        <v/>
      </c>
      <c r="B1085" s="36">
        <f t="shared" si="78"/>
        <v>7</v>
      </c>
      <c r="C1085" s="191">
        <v>40741</v>
      </c>
      <c r="D1085" s="191" t="s">
        <v>958</v>
      </c>
      <c r="E1085" s="191">
        <v>40741</v>
      </c>
      <c r="F1085" s="192" t="s">
        <v>993</v>
      </c>
      <c r="G1085" s="498" t="s">
        <v>1175</v>
      </c>
      <c r="H1085" s="193" t="s">
        <v>733</v>
      </c>
      <c r="I1085" s="258">
        <v>80</v>
      </c>
      <c r="J1085" s="258">
        <v>20979</v>
      </c>
      <c r="K1085" s="614">
        <v>1678320</v>
      </c>
      <c r="L1085" s="194" t="s">
        <v>259</v>
      </c>
      <c r="M1085" s="194" t="s">
        <v>167</v>
      </c>
      <c r="N1085" s="52" t="str">
        <f>IF(AND('331-CT'!$E$7=TH!H1085,OR(L1085="331",M1085="331")),"331",IF(AND(OR(L1085="131",M1085="131"),H1085='131-CT'!$E$7),"131",""))</f>
        <v>131</v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894"/>
    </row>
    <row r="1086" spans="1:27" ht="15.75" customHeight="1">
      <c r="A1086" s="204" t="str">
        <f>IF(B1086&lt;&gt;"",IF(AND(B1086&gt;=_TM1,B1086&lt;=_TM2,OR(TH!L1086="1111",TH!M1086="1111")),TH!D1086,""),"")</f>
        <v/>
      </c>
      <c r="B1086" s="36">
        <f t="shared" si="78"/>
        <v>7</v>
      </c>
      <c r="C1086" s="191">
        <v>40741</v>
      </c>
      <c r="D1086" s="191" t="s">
        <v>958</v>
      </c>
      <c r="E1086" s="191">
        <v>40741</v>
      </c>
      <c r="F1086" s="192" t="s">
        <v>994</v>
      </c>
      <c r="G1086" s="498" t="s">
        <v>1175</v>
      </c>
      <c r="H1086" s="193" t="s">
        <v>733</v>
      </c>
      <c r="I1086" s="256">
        <v>156</v>
      </c>
      <c r="J1086" s="256">
        <v>18287</v>
      </c>
      <c r="K1086" s="614">
        <v>2852772</v>
      </c>
      <c r="L1086" s="194" t="s">
        <v>259</v>
      </c>
      <c r="M1086" s="194" t="s">
        <v>167</v>
      </c>
      <c r="N1086" s="52" t="str">
        <f>IF(AND('331-CT'!$E$7=TH!H1086,OR(L1086="331",M1086="331")),"331",IF(AND(OR(L1086="131",M1086="131"),H1086='131-CT'!$E$7),"131",""))</f>
        <v>131</v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894"/>
    </row>
    <row r="1087" spans="1:27" ht="15.75" customHeight="1">
      <c r="A1087" s="204" t="str">
        <f>IF(B1087&lt;&gt;"",IF(AND(B1087&gt;=_TM1,B1087&lt;=_TM2,OR(TH!L1087="1111",TH!M1087="1111")),TH!D1087,""),"")</f>
        <v/>
      </c>
      <c r="B1087" s="36">
        <f t="shared" si="78"/>
        <v>7</v>
      </c>
      <c r="C1087" s="191">
        <v>40741</v>
      </c>
      <c r="D1087" s="191" t="s">
        <v>958</v>
      </c>
      <c r="E1087" s="191">
        <v>40741</v>
      </c>
      <c r="F1087" s="192" t="s">
        <v>995</v>
      </c>
      <c r="G1087" s="498" t="s">
        <v>1175</v>
      </c>
      <c r="H1087" s="193" t="s">
        <v>733</v>
      </c>
      <c r="I1087" s="256">
        <v>610</v>
      </c>
      <c r="J1087" s="256">
        <v>9338</v>
      </c>
      <c r="K1087" s="614">
        <v>5696180</v>
      </c>
      <c r="L1087" s="194" t="s">
        <v>259</v>
      </c>
      <c r="M1087" s="194" t="s">
        <v>167</v>
      </c>
      <c r="N1087" s="52" t="str">
        <f>IF(AND('331-CT'!$E$7=TH!H1087,OR(L1087="331",M1087="331")),"331",IF(AND(OR(L1087="131",M1087="131"),H1087='131-CT'!$E$7),"131",""))</f>
        <v>131</v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894"/>
    </row>
    <row r="1088" spans="1:27" ht="15.75" customHeight="1">
      <c r="A1088" s="204" t="str">
        <f>IF(B1088&lt;&gt;"",IF(AND(B1088&gt;=_TM1,B1088&lt;=_TM2,OR(TH!L1088="1111",TH!M1088="1111")),TH!D1088,""),"")</f>
        <v/>
      </c>
      <c r="B1088" s="36">
        <f t="shared" si="78"/>
        <v>7</v>
      </c>
      <c r="C1088" s="191">
        <v>40741</v>
      </c>
      <c r="D1088" s="191" t="s">
        <v>958</v>
      </c>
      <c r="E1088" s="191">
        <v>40741</v>
      </c>
      <c r="F1088" s="192" t="s">
        <v>1176</v>
      </c>
      <c r="G1088" s="498" t="s">
        <v>1175</v>
      </c>
      <c r="H1088" s="193" t="s">
        <v>733</v>
      </c>
      <c r="I1088" s="256"/>
      <c r="J1088" s="256"/>
      <c r="K1088" s="614">
        <v>1555329</v>
      </c>
      <c r="L1088" s="194" t="s">
        <v>259</v>
      </c>
      <c r="M1088" s="194" t="s">
        <v>731</v>
      </c>
      <c r="N1088" s="52" t="str">
        <f>IF(AND('331-CT'!$E$7=TH!H1088,OR(L1088="331",M1088="331")),"331",IF(AND(OR(L1088="131",M1088="131"),H1088='131-CT'!$E$7),"131",""))</f>
        <v>131</v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894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>
        <f t="shared" si="78"/>
        <v>7</v>
      </c>
      <c r="C1089" s="37">
        <f t="shared" ref="C1089:C1110" si="81">E1089</f>
        <v>40741</v>
      </c>
      <c r="D1089" s="37" t="s">
        <v>1096</v>
      </c>
      <c r="E1089" s="794">
        <v>40741</v>
      </c>
      <c r="F1089" s="189" t="s">
        <v>493</v>
      </c>
      <c r="G1089" s="40"/>
      <c r="H1089" s="628" t="s">
        <v>1092</v>
      </c>
      <c r="I1089" s="256">
        <v>54</v>
      </c>
      <c r="J1089" s="256">
        <v>22806</v>
      </c>
      <c r="K1089" s="614">
        <f t="shared" ref="K1089:K1110" si="82">ROUND(I1089*J1089,0)</f>
        <v>1231524</v>
      </c>
      <c r="L1089" s="39" t="s">
        <v>157</v>
      </c>
      <c r="M1089" s="39" t="s">
        <v>151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894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>
        <f t="shared" si="78"/>
        <v>7</v>
      </c>
      <c r="C1090" s="37">
        <f t="shared" si="81"/>
        <v>40741</v>
      </c>
      <c r="D1090" s="37" t="s">
        <v>1096</v>
      </c>
      <c r="E1090" s="794">
        <v>40741</v>
      </c>
      <c r="F1090" s="189" t="s">
        <v>551</v>
      </c>
      <c r="G1090" s="40"/>
      <c r="H1090" s="628" t="s">
        <v>1092</v>
      </c>
      <c r="I1090" s="256">
        <v>41</v>
      </c>
      <c r="J1090" s="256">
        <v>16973</v>
      </c>
      <c r="K1090" s="614">
        <f t="shared" si="82"/>
        <v>695893</v>
      </c>
      <c r="L1090" s="39" t="s">
        <v>157</v>
      </c>
      <c r="M1090" s="39" t="s">
        <v>151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894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>
        <f t="shared" si="78"/>
        <v>7</v>
      </c>
      <c r="C1091" s="37">
        <f t="shared" si="81"/>
        <v>40741</v>
      </c>
      <c r="D1091" s="37" t="s">
        <v>1096</v>
      </c>
      <c r="E1091" s="794">
        <v>40741</v>
      </c>
      <c r="F1091" s="189" t="s">
        <v>578</v>
      </c>
      <c r="G1091" s="40"/>
      <c r="H1091" s="628" t="s">
        <v>1092</v>
      </c>
      <c r="I1091" s="256">
        <v>25.5</v>
      </c>
      <c r="J1091" s="256">
        <v>10344</v>
      </c>
      <c r="K1091" s="614">
        <f t="shared" si="82"/>
        <v>263772</v>
      </c>
      <c r="L1091" s="39" t="s">
        <v>157</v>
      </c>
      <c r="M1091" s="39" t="s">
        <v>151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894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>
        <f t="shared" si="78"/>
        <v>7</v>
      </c>
      <c r="C1092" s="37">
        <f t="shared" si="81"/>
        <v>40741</v>
      </c>
      <c r="D1092" s="37" t="s">
        <v>1096</v>
      </c>
      <c r="E1092" s="794">
        <v>40741</v>
      </c>
      <c r="F1092" s="298" t="s">
        <v>479</v>
      </c>
      <c r="G1092" s="40"/>
      <c r="H1092" s="628" t="s">
        <v>1092</v>
      </c>
      <c r="I1092" s="256">
        <v>90</v>
      </c>
      <c r="J1092" s="256">
        <v>6026</v>
      </c>
      <c r="K1092" s="614">
        <f t="shared" si="82"/>
        <v>542340</v>
      </c>
      <c r="L1092" s="39" t="s">
        <v>157</v>
      </c>
      <c r="M1092" s="39" t="s">
        <v>151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894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>
        <f t="shared" si="78"/>
        <v>7</v>
      </c>
      <c r="C1093" s="37">
        <f t="shared" si="81"/>
        <v>40741</v>
      </c>
      <c r="D1093" s="37" t="s">
        <v>1096</v>
      </c>
      <c r="E1093" s="794">
        <v>40741</v>
      </c>
      <c r="F1093" s="189" t="s">
        <v>631</v>
      </c>
      <c r="G1093" s="40"/>
      <c r="H1093" s="628" t="s">
        <v>1092</v>
      </c>
      <c r="I1093" s="256">
        <v>335</v>
      </c>
      <c r="J1093" s="256">
        <v>21455</v>
      </c>
      <c r="K1093" s="614">
        <f t="shared" si="82"/>
        <v>7187425</v>
      </c>
      <c r="L1093" s="39" t="s">
        <v>157</v>
      </c>
      <c r="M1093" s="39" t="s">
        <v>151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894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>
        <f t="shared" si="78"/>
        <v>7</v>
      </c>
      <c r="C1094" s="37">
        <f t="shared" si="81"/>
        <v>40741</v>
      </c>
      <c r="D1094" s="37" t="s">
        <v>1096</v>
      </c>
      <c r="E1094" s="794">
        <v>40741</v>
      </c>
      <c r="F1094" s="298" t="s">
        <v>479</v>
      </c>
      <c r="G1094" s="40"/>
      <c r="H1094" s="628" t="s">
        <v>1092</v>
      </c>
      <c r="I1094" s="256">
        <v>176</v>
      </c>
      <c r="J1094" s="256">
        <v>6026</v>
      </c>
      <c r="K1094" s="614">
        <f t="shared" si="82"/>
        <v>1060576</v>
      </c>
      <c r="L1094" s="39" t="s">
        <v>157</v>
      </c>
      <c r="M1094" s="39" t="s">
        <v>151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894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>
        <f t="shared" si="78"/>
        <v>7</v>
      </c>
      <c r="C1095" s="37">
        <f t="shared" si="81"/>
        <v>40741</v>
      </c>
      <c r="D1095" s="37" t="s">
        <v>1113</v>
      </c>
      <c r="E1095" s="37">
        <v>40741</v>
      </c>
      <c r="F1095" s="40" t="s">
        <v>741</v>
      </c>
      <c r="G1095" s="40"/>
      <c r="H1095" s="628" t="s">
        <v>1092</v>
      </c>
      <c r="I1095" s="256">
        <v>6</v>
      </c>
      <c r="J1095" s="256">
        <v>14210.065401820144</v>
      </c>
      <c r="K1095" s="614">
        <f t="shared" si="82"/>
        <v>85260</v>
      </c>
      <c r="L1095" s="39" t="s">
        <v>159</v>
      </c>
      <c r="M1095" s="39" t="s">
        <v>157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894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>
        <f t="shared" si="78"/>
        <v>7</v>
      </c>
      <c r="C1096" s="37">
        <f t="shared" si="81"/>
        <v>40741</v>
      </c>
      <c r="D1096" s="37" t="s">
        <v>1113</v>
      </c>
      <c r="E1096" s="37">
        <v>40741</v>
      </c>
      <c r="F1096" s="40" t="s">
        <v>742</v>
      </c>
      <c r="G1096" s="40"/>
      <c r="H1096" s="628" t="s">
        <v>1092</v>
      </c>
      <c r="I1096" s="256">
        <v>50</v>
      </c>
      <c r="J1096" s="256">
        <v>18220.418735153478</v>
      </c>
      <c r="K1096" s="614">
        <f t="shared" si="82"/>
        <v>911021</v>
      </c>
      <c r="L1096" s="39" t="s">
        <v>159</v>
      </c>
      <c r="M1096" s="39" t="s">
        <v>157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894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>
        <f t="shared" si="78"/>
        <v>7</v>
      </c>
      <c r="C1097" s="37">
        <f t="shared" si="81"/>
        <v>40741</v>
      </c>
      <c r="D1097" s="37" t="s">
        <v>1113</v>
      </c>
      <c r="E1097" s="37">
        <v>40741</v>
      </c>
      <c r="F1097" s="40" t="s">
        <v>992</v>
      </c>
      <c r="G1097" s="40"/>
      <c r="H1097" s="628" t="s">
        <v>1092</v>
      </c>
      <c r="I1097" s="256">
        <v>121</v>
      </c>
      <c r="J1097" s="256">
        <v>20128.398735153478</v>
      </c>
      <c r="K1097" s="614">
        <f t="shared" si="82"/>
        <v>2435536</v>
      </c>
      <c r="L1097" s="39" t="s">
        <v>159</v>
      </c>
      <c r="M1097" s="39" t="s">
        <v>157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894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>
        <f t="shared" si="78"/>
        <v>7</v>
      </c>
      <c r="C1098" s="37">
        <f t="shared" si="81"/>
        <v>40741</v>
      </c>
      <c r="D1098" s="37" t="s">
        <v>1113</v>
      </c>
      <c r="E1098" s="37">
        <v>40741</v>
      </c>
      <c r="F1098" s="40" t="s">
        <v>743</v>
      </c>
      <c r="G1098" s="40"/>
      <c r="H1098" s="628" t="s">
        <v>1092</v>
      </c>
      <c r="I1098" s="256">
        <v>83</v>
      </c>
      <c r="J1098" s="256">
        <v>18395.362590575161</v>
      </c>
      <c r="K1098" s="614">
        <f t="shared" si="82"/>
        <v>1526815</v>
      </c>
      <c r="L1098" s="39" t="s">
        <v>159</v>
      </c>
      <c r="M1098" s="39" t="s">
        <v>157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894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>
        <f t="shared" si="78"/>
        <v>7</v>
      </c>
      <c r="C1099" s="37">
        <f t="shared" si="81"/>
        <v>40741</v>
      </c>
      <c r="D1099" s="37" t="s">
        <v>1113</v>
      </c>
      <c r="E1099" s="37">
        <v>40741</v>
      </c>
      <c r="F1099" s="40" t="s">
        <v>744</v>
      </c>
      <c r="G1099" s="40"/>
      <c r="H1099" s="628" t="s">
        <v>1092</v>
      </c>
      <c r="I1099" s="256">
        <v>1</v>
      </c>
      <c r="J1099" s="256">
        <v>10309.398735153478</v>
      </c>
      <c r="K1099" s="614">
        <f t="shared" si="82"/>
        <v>10309</v>
      </c>
      <c r="L1099" s="39" t="s">
        <v>159</v>
      </c>
      <c r="M1099" s="39" t="s">
        <v>157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  <c r="AA1099" s="894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>
        <f t="shared" si="78"/>
        <v>7</v>
      </c>
      <c r="C1100" s="37">
        <f t="shared" si="81"/>
        <v>40741</v>
      </c>
      <c r="D1100" s="37" t="s">
        <v>1113</v>
      </c>
      <c r="E1100" s="37">
        <v>40741</v>
      </c>
      <c r="F1100" s="40" t="s">
        <v>993</v>
      </c>
      <c r="G1100" s="40"/>
      <c r="H1100" s="628" t="s">
        <v>1092</v>
      </c>
      <c r="I1100" s="256">
        <v>80</v>
      </c>
      <c r="J1100" s="256">
        <v>20128.398735153474</v>
      </c>
      <c r="K1100" s="614">
        <f t="shared" si="82"/>
        <v>1610272</v>
      </c>
      <c r="L1100" s="39" t="s">
        <v>159</v>
      </c>
      <c r="M1100" s="39" t="s">
        <v>157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  <c r="AA1100" s="894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>
        <f t="shared" si="78"/>
        <v>7</v>
      </c>
      <c r="C1101" s="37">
        <f t="shared" si="81"/>
        <v>40741</v>
      </c>
      <c r="D1101" s="37" t="s">
        <v>1113</v>
      </c>
      <c r="E1101" s="37">
        <v>40741</v>
      </c>
      <c r="F1101" s="40" t="s">
        <v>994</v>
      </c>
      <c r="G1101" s="40"/>
      <c r="H1101" s="628" t="s">
        <v>1092</v>
      </c>
      <c r="I1101" s="256">
        <v>156</v>
      </c>
      <c r="J1101" s="256">
        <v>17011.898735153478</v>
      </c>
      <c r="K1101" s="614">
        <f t="shared" si="82"/>
        <v>2653856</v>
      </c>
      <c r="L1101" s="39" t="s">
        <v>159</v>
      </c>
      <c r="M1101" s="39" t="s">
        <v>157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  <c r="AA1101" s="894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>
        <f t="shared" si="78"/>
        <v>7</v>
      </c>
      <c r="C1102" s="37">
        <f t="shared" si="81"/>
        <v>40741</v>
      </c>
      <c r="D1102" s="37" t="s">
        <v>1113</v>
      </c>
      <c r="E1102" s="37">
        <v>40741</v>
      </c>
      <c r="F1102" s="40" t="s">
        <v>995</v>
      </c>
      <c r="G1102" s="40"/>
      <c r="H1102" s="628" t="s">
        <v>1092</v>
      </c>
      <c r="I1102" s="256">
        <v>610</v>
      </c>
      <c r="J1102" s="256">
        <v>7523.8987351534797</v>
      </c>
      <c r="K1102" s="614">
        <f t="shared" si="82"/>
        <v>4589578</v>
      </c>
      <c r="L1102" s="39" t="s">
        <v>159</v>
      </c>
      <c r="M1102" s="39" t="s">
        <v>157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  <c r="AA1102" s="894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>
        <f t="shared" si="78"/>
        <v>7</v>
      </c>
      <c r="C1103" s="37">
        <f t="shared" si="81"/>
        <v>40741</v>
      </c>
      <c r="D1103" s="37" t="s">
        <v>958</v>
      </c>
      <c r="E1103" s="37">
        <v>40741</v>
      </c>
      <c r="F1103" s="40" t="s">
        <v>741</v>
      </c>
      <c r="G1103" s="40" t="s">
        <v>1175</v>
      </c>
      <c r="H1103" s="628" t="s">
        <v>733</v>
      </c>
      <c r="I1103" s="256">
        <v>6</v>
      </c>
      <c r="J1103" s="256">
        <v>14210.065401820144</v>
      </c>
      <c r="K1103" s="614">
        <f t="shared" si="82"/>
        <v>85260</v>
      </c>
      <c r="L1103" s="39" t="s">
        <v>165</v>
      </c>
      <c r="M1103" s="39" t="s">
        <v>159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894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>
        <f t="shared" si="78"/>
        <v>7</v>
      </c>
      <c r="C1104" s="37">
        <f t="shared" si="81"/>
        <v>40741</v>
      </c>
      <c r="D1104" s="37" t="s">
        <v>958</v>
      </c>
      <c r="E1104" s="37">
        <v>40741</v>
      </c>
      <c r="F1104" s="40" t="s">
        <v>742</v>
      </c>
      <c r="G1104" s="40" t="s">
        <v>1175</v>
      </c>
      <c r="H1104" s="628" t="s">
        <v>733</v>
      </c>
      <c r="I1104" s="256">
        <v>50</v>
      </c>
      <c r="J1104" s="256">
        <v>18220.418735153478</v>
      </c>
      <c r="K1104" s="614">
        <f t="shared" si="82"/>
        <v>911021</v>
      </c>
      <c r="L1104" s="39" t="s">
        <v>165</v>
      </c>
      <c r="M1104" s="39" t="s">
        <v>159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  <c r="AA1104" s="894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>
        <f t="shared" si="78"/>
        <v>7</v>
      </c>
      <c r="C1105" s="37">
        <f t="shared" si="81"/>
        <v>40741</v>
      </c>
      <c r="D1105" s="37" t="s">
        <v>958</v>
      </c>
      <c r="E1105" s="37">
        <v>40741</v>
      </c>
      <c r="F1105" s="40" t="s">
        <v>992</v>
      </c>
      <c r="G1105" s="40" t="s">
        <v>1175</v>
      </c>
      <c r="H1105" s="628" t="s">
        <v>733</v>
      </c>
      <c r="I1105" s="256">
        <v>121</v>
      </c>
      <c r="J1105" s="256">
        <v>20128.398735153478</v>
      </c>
      <c r="K1105" s="614">
        <f t="shared" si="82"/>
        <v>2435536</v>
      </c>
      <c r="L1105" s="39" t="s">
        <v>165</v>
      </c>
      <c r="M1105" s="39" t="s">
        <v>159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894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>
        <f t="shared" si="78"/>
        <v>7</v>
      </c>
      <c r="C1106" s="37">
        <f t="shared" si="81"/>
        <v>40741</v>
      </c>
      <c r="D1106" s="37" t="s">
        <v>958</v>
      </c>
      <c r="E1106" s="37">
        <v>40741</v>
      </c>
      <c r="F1106" s="40" t="s">
        <v>743</v>
      </c>
      <c r="G1106" s="40" t="s">
        <v>1175</v>
      </c>
      <c r="H1106" s="628" t="s">
        <v>733</v>
      </c>
      <c r="I1106" s="256">
        <v>83</v>
      </c>
      <c r="J1106" s="256">
        <v>18395.362590575161</v>
      </c>
      <c r="K1106" s="614">
        <f t="shared" si="82"/>
        <v>1526815</v>
      </c>
      <c r="L1106" s="39" t="s">
        <v>165</v>
      </c>
      <c r="M1106" s="39" t="s">
        <v>159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894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>
        <f t="shared" si="78"/>
        <v>7</v>
      </c>
      <c r="C1107" s="37">
        <f t="shared" si="81"/>
        <v>40741</v>
      </c>
      <c r="D1107" s="37" t="s">
        <v>958</v>
      </c>
      <c r="E1107" s="37">
        <v>40741</v>
      </c>
      <c r="F1107" s="40" t="s">
        <v>744</v>
      </c>
      <c r="G1107" s="40" t="s">
        <v>1175</v>
      </c>
      <c r="H1107" s="628" t="s">
        <v>733</v>
      </c>
      <c r="I1107" s="256">
        <v>1</v>
      </c>
      <c r="J1107" s="256">
        <v>10309.398735153478</v>
      </c>
      <c r="K1107" s="614">
        <f t="shared" si="82"/>
        <v>10309</v>
      </c>
      <c r="L1107" s="39" t="s">
        <v>165</v>
      </c>
      <c r="M1107" s="39" t="s">
        <v>159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  <c r="AA1107" s="894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>
        <f t="shared" si="78"/>
        <v>7</v>
      </c>
      <c r="C1108" s="37">
        <f t="shared" si="81"/>
        <v>40741</v>
      </c>
      <c r="D1108" s="37" t="s">
        <v>958</v>
      </c>
      <c r="E1108" s="37">
        <v>40741</v>
      </c>
      <c r="F1108" s="40" t="s">
        <v>993</v>
      </c>
      <c r="G1108" s="40" t="s">
        <v>1175</v>
      </c>
      <c r="H1108" s="628" t="s">
        <v>733</v>
      </c>
      <c r="I1108" s="256">
        <v>80</v>
      </c>
      <c r="J1108" s="256">
        <v>20128.398735153474</v>
      </c>
      <c r="K1108" s="614">
        <f t="shared" si="82"/>
        <v>1610272</v>
      </c>
      <c r="L1108" s="39" t="s">
        <v>165</v>
      </c>
      <c r="M1108" s="39" t="s">
        <v>159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894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>
        <f t="shared" si="78"/>
        <v>7</v>
      </c>
      <c r="C1109" s="37">
        <f t="shared" si="81"/>
        <v>40741</v>
      </c>
      <c r="D1109" s="37" t="s">
        <v>958</v>
      </c>
      <c r="E1109" s="37">
        <v>40741</v>
      </c>
      <c r="F1109" s="40" t="s">
        <v>994</v>
      </c>
      <c r="G1109" s="40" t="s">
        <v>1175</v>
      </c>
      <c r="H1109" s="628" t="s">
        <v>733</v>
      </c>
      <c r="I1109" s="256">
        <v>156</v>
      </c>
      <c r="J1109" s="256">
        <v>17011.898735153478</v>
      </c>
      <c r="K1109" s="614">
        <f t="shared" si="82"/>
        <v>2653856</v>
      </c>
      <c r="L1109" s="39" t="s">
        <v>165</v>
      </c>
      <c r="M1109" s="39" t="s">
        <v>159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  <c r="AA1109" s="894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>
        <f t="shared" si="78"/>
        <v>7</v>
      </c>
      <c r="C1110" s="37">
        <f t="shared" si="81"/>
        <v>40741</v>
      </c>
      <c r="D1110" s="37" t="s">
        <v>958</v>
      </c>
      <c r="E1110" s="37">
        <v>40741</v>
      </c>
      <c r="F1110" s="40" t="s">
        <v>995</v>
      </c>
      <c r="G1110" s="40" t="s">
        <v>1175</v>
      </c>
      <c r="H1110" s="628" t="s">
        <v>733</v>
      </c>
      <c r="I1110" s="256">
        <v>610</v>
      </c>
      <c r="J1110" s="256">
        <v>7523.8987351534797</v>
      </c>
      <c r="K1110" s="614">
        <f t="shared" si="82"/>
        <v>4589578</v>
      </c>
      <c r="L1110" s="39" t="s">
        <v>165</v>
      </c>
      <c r="M1110" s="39" t="s">
        <v>159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894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>
        <f t="shared" si="78"/>
        <v>7</v>
      </c>
      <c r="C1111" s="191">
        <v>40742</v>
      </c>
      <c r="D1111" s="184" t="s">
        <v>437</v>
      </c>
      <c r="E1111" s="191">
        <v>40742</v>
      </c>
      <c r="F1111" s="192" t="s">
        <v>448</v>
      </c>
      <c r="G1111" s="498" t="s">
        <v>1142</v>
      </c>
      <c r="H1111" s="45" t="s">
        <v>451</v>
      </c>
      <c r="I1111" s="256"/>
      <c r="J1111" s="256"/>
      <c r="K1111" s="614">
        <v>1093440</v>
      </c>
      <c r="L1111" s="194" t="s">
        <v>157</v>
      </c>
      <c r="M1111" s="194" t="s">
        <v>46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>x</v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  <c r="AA1111" s="894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>
        <f t="shared" si="78"/>
        <v>7</v>
      </c>
      <c r="C1112" s="191">
        <v>40742</v>
      </c>
      <c r="D1112" s="184" t="s">
        <v>437</v>
      </c>
      <c r="E1112" s="191">
        <v>40742</v>
      </c>
      <c r="F1112" s="192" t="s">
        <v>449</v>
      </c>
      <c r="G1112" s="498" t="s">
        <v>1142</v>
      </c>
      <c r="H1112" s="45" t="s">
        <v>451</v>
      </c>
      <c r="I1112" s="256"/>
      <c r="J1112" s="256"/>
      <c r="K1112" s="38">
        <v>109344</v>
      </c>
      <c r="L1112" s="194" t="s">
        <v>9</v>
      </c>
      <c r="M1112" s="194" t="s">
        <v>46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>x</v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  <c r="AA1112" s="894"/>
      <c r="AB1112" s="198">
        <v>7</v>
      </c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>
        <f t="shared" ref="B1113:B1176" si="83">IF(C1113&lt;&gt;"",MONTH(C1113),"")</f>
        <v>7</v>
      </c>
      <c r="C1113" s="37">
        <f t="shared" ref="C1113:C1120" si="84">E1113</f>
        <v>40743</v>
      </c>
      <c r="D1113" s="37" t="s">
        <v>1097</v>
      </c>
      <c r="E1113" s="794">
        <v>40743</v>
      </c>
      <c r="F1113" s="298" t="s">
        <v>479</v>
      </c>
      <c r="G1113" s="40"/>
      <c r="H1113" s="628" t="s">
        <v>1092</v>
      </c>
      <c r="I1113" s="256">
        <v>50</v>
      </c>
      <c r="J1113" s="256">
        <v>6026</v>
      </c>
      <c r="K1113" s="614">
        <f t="shared" ref="K1113:K1120" si="85">ROUND(I1113*J1113,0)</f>
        <v>301300</v>
      </c>
      <c r="L1113" s="39" t="s">
        <v>157</v>
      </c>
      <c r="M1113" s="39" t="s">
        <v>151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A1113" s="894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>
        <f t="shared" si="83"/>
        <v>7</v>
      </c>
      <c r="C1114" s="37">
        <f t="shared" si="84"/>
        <v>40743</v>
      </c>
      <c r="D1114" s="37" t="s">
        <v>1097</v>
      </c>
      <c r="E1114" s="794">
        <v>40743</v>
      </c>
      <c r="F1114" s="40" t="s">
        <v>624</v>
      </c>
      <c r="G1114" s="40"/>
      <c r="H1114" s="628" t="s">
        <v>1092</v>
      </c>
      <c r="I1114" s="256">
        <v>23</v>
      </c>
      <c r="J1114" s="256">
        <v>23688</v>
      </c>
      <c r="K1114" s="614">
        <f t="shared" si="85"/>
        <v>544824</v>
      </c>
      <c r="L1114" s="39" t="s">
        <v>157</v>
      </c>
      <c r="M1114" s="39" t="s">
        <v>151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>x</v>
      </c>
      <c r="AA1114" s="894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>
        <f t="shared" si="83"/>
        <v>7</v>
      </c>
      <c r="C1115" s="37">
        <f t="shared" si="84"/>
        <v>40743</v>
      </c>
      <c r="D1115" s="37" t="s">
        <v>1097</v>
      </c>
      <c r="E1115" s="794">
        <v>40743</v>
      </c>
      <c r="F1115" s="189" t="s">
        <v>551</v>
      </c>
      <c r="G1115" s="40"/>
      <c r="H1115" s="628" t="s">
        <v>1092</v>
      </c>
      <c r="I1115" s="256">
        <v>34</v>
      </c>
      <c r="J1115" s="256">
        <v>16973</v>
      </c>
      <c r="K1115" s="614">
        <f t="shared" si="85"/>
        <v>577082</v>
      </c>
      <c r="L1115" s="39" t="s">
        <v>157</v>
      </c>
      <c r="M1115" s="39" t="s">
        <v>151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>x</v>
      </c>
      <c r="AA1115" s="894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>
        <f t="shared" si="83"/>
        <v>7</v>
      </c>
      <c r="C1116" s="37">
        <f t="shared" si="84"/>
        <v>40743</v>
      </c>
      <c r="D1116" s="37" t="s">
        <v>1097</v>
      </c>
      <c r="E1116" s="794">
        <v>40743</v>
      </c>
      <c r="F1116" s="189" t="s">
        <v>493</v>
      </c>
      <c r="G1116" s="40"/>
      <c r="H1116" s="628" t="s">
        <v>1092</v>
      </c>
      <c r="I1116" s="256">
        <v>25</v>
      </c>
      <c r="J1116" s="256">
        <v>22806</v>
      </c>
      <c r="K1116" s="614">
        <f t="shared" si="85"/>
        <v>570150</v>
      </c>
      <c r="L1116" s="39" t="s">
        <v>157</v>
      </c>
      <c r="M1116" s="39" t="s">
        <v>151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>x</v>
      </c>
      <c r="AA1116" s="894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>
        <f t="shared" si="83"/>
        <v>7</v>
      </c>
      <c r="C1117" s="37">
        <f t="shared" si="84"/>
        <v>40743</v>
      </c>
      <c r="D1117" s="37" t="s">
        <v>1097</v>
      </c>
      <c r="E1117" s="794">
        <v>40743</v>
      </c>
      <c r="F1117" s="40" t="s">
        <v>601</v>
      </c>
      <c r="G1117" s="40"/>
      <c r="H1117" s="628" t="s">
        <v>1092</v>
      </c>
      <c r="I1117" s="256">
        <v>1</v>
      </c>
      <c r="J1117" s="256">
        <v>16303</v>
      </c>
      <c r="K1117" s="614">
        <f t="shared" si="85"/>
        <v>16303</v>
      </c>
      <c r="L1117" s="39" t="s">
        <v>157</v>
      </c>
      <c r="M1117" s="39" t="s">
        <v>151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894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>
        <f t="shared" si="83"/>
        <v>7</v>
      </c>
      <c r="C1118" s="37">
        <f t="shared" si="84"/>
        <v>40743</v>
      </c>
      <c r="D1118" s="37" t="s">
        <v>1097</v>
      </c>
      <c r="E1118" s="794">
        <v>40743</v>
      </c>
      <c r="F1118" s="189" t="s">
        <v>492</v>
      </c>
      <c r="G1118" s="40"/>
      <c r="H1118" s="628" t="s">
        <v>1092</v>
      </c>
      <c r="I1118" s="256">
        <v>0.5</v>
      </c>
      <c r="J1118" s="256">
        <v>23716</v>
      </c>
      <c r="K1118" s="614">
        <f t="shared" si="85"/>
        <v>11858</v>
      </c>
      <c r="L1118" s="39" t="s">
        <v>157</v>
      </c>
      <c r="M1118" s="39" t="s">
        <v>151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894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>
        <f t="shared" si="83"/>
        <v>7</v>
      </c>
      <c r="C1119" s="37">
        <f t="shared" si="84"/>
        <v>40743</v>
      </c>
      <c r="D1119" s="37" t="s">
        <v>1097</v>
      </c>
      <c r="E1119" s="794">
        <v>40743</v>
      </c>
      <c r="F1119" s="40" t="s">
        <v>601</v>
      </c>
      <c r="G1119" s="40"/>
      <c r="H1119" s="628" t="s">
        <v>1092</v>
      </c>
      <c r="I1119" s="256">
        <v>2.5</v>
      </c>
      <c r="J1119" s="256">
        <v>16302.8</v>
      </c>
      <c r="K1119" s="614">
        <f t="shared" si="85"/>
        <v>40757</v>
      </c>
      <c r="L1119" s="39" t="s">
        <v>157</v>
      </c>
      <c r="M1119" s="39" t="s">
        <v>151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894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>
        <f t="shared" si="83"/>
        <v>7</v>
      </c>
      <c r="C1120" s="37">
        <f t="shared" si="84"/>
        <v>40743</v>
      </c>
      <c r="D1120" s="37" t="s">
        <v>1097</v>
      </c>
      <c r="E1120" s="794">
        <v>40743</v>
      </c>
      <c r="F1120" s="189" t="s">
        <v>523</v>
      </c>
      <c r="G1120" s="40"/>
      <c r="H1120" s="628" t="s">
        <v>1092</v>
      </c>
      <c r="I1120" s="256">
        <v>6</v>
      </c>
      <c r="J1120" s="256">
        <v>7268</v>
      </c>
      <c r="K1120" s="614">
        <f t="shared" si="85"/>
        <v>43608</v>
      </c>
      <c r="L1120" s="39" t="s">
        <v>157</v>
      </c>
      <c r="M1120" s="39" t="s">
        <v>151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894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>
        <f t="shared" si="83"/>
        <v>7</v>
      </c>
      <c r="C1121" s="191">
        <v>40744</v>
      </c>
      <c r="D1121" s="191" t="s">
        <v>959</v>
      </c>
      <c r="E1121" s="191">
        <v>40744</v>
      </c>
      <c r="F1121" s="192" t="s">
        <v>996</v>
      </c>
      <c r="G1121" s="498" t="s">
        <v>1177</v>
      </c>
      <c r="H1121" s="193" t="s">
        <v>733</v>
      </c>
      <c r="I1121" s="256">
        <v>164</v>
      </c>
      <c r="J1121" s="256">
        <v>7868</v>
      </c>
      <c r="K1121" s="614">
        <v>1290352</v>
      </c>
      <c r="L1121" s="194" t="s">
        <v>259</v>
      </c>
      <c r="M1121" s="194" t="s">
        <v>167</v>
      </c>
      <c r="N1121" s="52" t="str">
        <f>IF(AND('331-CT'!$E$7=TH!H1121,OR(L1121="331",M1121="331")),"331",IF(AND(OR(L1121="131",M1121="131"),H1121='131-CT'!$E$7),"131",""))</f>
        <v>131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894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>
        <f t="shared" si="83"/>
        <v>7</v>
      </c>
      <c r="C1122" s="191">
        <v>40744</v>
      </c>
      <c r="D1122" s="191" t="s">
        <v>959</v>
      </c>
      <c r="E1122" s="191">
        <v>40744</v>
      </c>
      <c r="F1122" s="192" t="s">
        <v>922</v>
      </c>
      <c r="G1122" s="498" t="s">
        <v>1177</v>
      </c>
      <c r="H1122" s="193" t="s">
        <v>733</v>
      </c>
      <c r="I1122" s="256">
        <v>1</v>
      </c>
      <c r="J1122" s="256">
        <v>8450</v>
      </c>
      <c r="K1122" s="614">
        <v>8450</v>
      </c>
      <c r="L1122" s="194" t="s">
        <v>259</v>
      </c>
      <c r="M1122" s="194" t="s">
        <v>167</v>
      </c>
      <c r="N1122" s="52" t="str">
        <f>IF(AND('331-CT'!$E$7=TH!H1122,OR(L1122="331",M1122="331")),"331",IF(AND(OR(L1122="131",M1122="131"),H1122='131-CT'!$E$7),"131",""))</f>
        <v>131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894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>
        <f t="shared" si="83"/>
        <v>7</v>
      </c>
      <c r="C1123" s="191">
        <v>40744</v>
      </c>
      <c r="D1123" s="191" t="s">
        <v>959</v>
      </c>
      <c r="E1123" s="191">
        <v>40744</v>
      </c>
      <c r="F1123" s="192" t="s">
        <v>998</v>
      </c>
      <c r="G1123" s="498" t="s">
        <v>1177</v>
      </c>
      <c r="H1123" s="193" t="s">
        <v>733</v>
      </c>
      <c r="I1123" s="256">
        <v>1</v>
      </c>
      <c r="J1123" s="256">
        <v>4751</v>
      </c>
      <c r="K1123" s="614">
        <v>4751</v>
      </c>
      <c r="L1123" s="194" t="s">
        <v>259</v>
      </c>
      <c r="M1123" s="194" t="s">
        <v>167</v>
      </c>
      <c r="N1123" s="52" t="str">
        <f>IF(AND('331-CT'!$E$7=TH!H1123,OR(L1123="331",M1123="331")),"331",IF(AND(OR(L1123="131",M1123="131"),H1123='131-CT'!$E$7),"131",""))</f>
        <v>131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894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>
        <f t="shared" si="83"/>
        <v>7</v>
      </c>
      <c r="C1124" s="191">
        <v>40744</v>
      </c>
      <c r="D1124" s="191" t="s">
        <v>959</v>
      </c>
      <c r="E1124" s="191">
        <v>40744</v>
      </c>
      <c r="F1124" s="192" t="s">
        <v>999</v>
      </c>
      <c r="G1124" s="498" t="s">
        <v>1177</v>
      </c>
      <c r="H1124" s="193" t="s">
        <v>733</v>
      </c>
      <c r="I1124" s="256">
        <v>1</v>
      </c>
      <c r="J1124" s="256">
        <v>6560</v>
      </c>
      <c r="K1124" s="614">
        <v>6560</v>
      </c>
      <c r="L1124" s="194" t="s">
        <v>259</v>
      </c>
      <c r="M1124" s="194" t="s">
        <v>167</v>
      </c>
      <c r="N1124" s="52" t="str">
        <f>IF(AND('331-CT'!$E$7=TH!H1124,OR(L1124="331",M1124="331")),"331",IF(AND(OR(L1124="131",M1124="131"),H1124='131-CT'!$E$7),"131",""))</f>
        <v>131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894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>
        <f t="shared" si="83"/>
        <v>7</v>
      </c>
      <c r="C1125" s="191">
        <v>40744</v>
      </c>
      <c r="D1125" s="191" t="s">
        <v>959</v>
      </c>
      <c r="E1125" s="191">
        <v>40744</v>
      </c>
      <c r="F1125" s="192" t="s">
        <v>926</v>
      </c>
      <c r="G1125" s="498" t="s">
        <v>1177</v>
      </c>
      <c r="H1125" s="193" t="s">
        <v>733</v>
      </c>
      <c r="I1125" s="256">
        <v>6</v>
      </c>
      <c r="J1125" s="256">
        <v>9594</v>
      </c>
      <c r="K1125" s="614">
        <v>57564</v>
      </c>
      <c r="L1125" s="194" t="s">
        <v>259</v>
      </c>
      <c r="M1125" s="194" t="s">
        <v>167</v>
      </c>
      <c r="N1125" s="52" t="str">
        <f>IF(AND('331-CT'!$E$7=TH!H1125,OR(L1125="331",M1125="331")),"331",IF(AND(OR(L1125="131",M1125="131"),H1125='131-CT'!$E$7),"131",""))</f>
        <v>131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894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>
        <f t="shared" si="83"/>
        <v>7</v>
      </c>
      <c r="C1126" s="191">
        <v>40744</v>
      </c>
      <c r="D1126" s="191" t="s">
        <v>959</v>
      </c>
      <c r="E1126" s="191">
        <v>40744</v>
      </c>
      <c r="F1126" s="189" t="s">
        <v>924</v>
      </c>
      <c r="G1126" s="498" t="s">
        <v>1177</v>
      </c>
      <c r="H1126" s="193" t="s">
        <v>733</v>
      </c>
      <c r="I1126" s="256">
        <v>1</v>
      </c>
      <c r="J1126" s="256">
        <v>7094</v>
      </c>
      <c r="K1126" s="614">
        <v>7094</v>
      </c>
      <c r="L1126" s="194" t="s">
        <v>259</v>
      </c>
      <c r="M1126" s="194" t="s">
        <v>167</v>
      </c>
      <c r="N1126" s="52" t="str">
        <f>IF(AND('331-CT'!$E$7=TH!H1126,OR(L1126="331",M1126="331")),"331",IF(AND(OR(L1126="131",M1126="131"),H1126='131-CT'!$E$7),"131",""))</f>
        <v>131</v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894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>
        <f t="shared" si="83"/>
        <v>7</v>
      </c>
      <c r="C1127" s="191">
        <v>40744</v>
      </c>
      <c r="D1127" s="191" t="s">
        <v>959</v>
      </c>
      <c r="E1127" s="191">
        <v>40744</v>
      </c>
      <c r="F1127" s="192" t="s">
        <v>745</v>
      </c>
      <c r="G1127" s="498" t="s">
        <v>1177</v>
      </c>
      <c r="H1127" s="193" t="s">
        <v>733</v>
      </c>
      <c r="I1127" s="256">
        <v>3</v>
      </c>
      <c r="J1127" s="256">
        <v>9263</v>
      </c>
      <c r="K1127" s="614">
        <v>27789</v>
      </c>
      <c r="L1127" s="194" t="s">
        <v>259</v>
      </c>
      <c r="M1127" s="194" t="s">
        <v>167</v>
      </c>
      <c r="N1127" s="52" t="str">
        <f>IF(AND('331-CT'!$E$7=TH!H1127,OR(L1127="331",M1127="331")),"331",IF(AND(OR(L1127="131",M1127="131"),H1127='131-CT'!$E$7),"131",""))</f>
        <v>131</v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894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>
        <f t="shared" si="83"/>
        <v>7</v>
      </c>
      <c r="C1128" s="191">
        <v>40744</v>
      </c>
      <c r="D1128" s="191" t="s">
        <v>959</v>
      </c>
      <c r="E1128" s="191">
        <v>40744</v>
      </c>
      <c r="F1128" s="192" t="s">
        <v>746</v>
      </c>
      <c r="G1128" s="498" t="s">
        <v>1177</v>
      </c>
      <c r="H1128" s="193" t="s">
        <v>733</v>
      </c>
      <c r="I1128" s="256">
        <v>12</v>
      </c>
      <c r="J1128" s="256">
        <v>10595</v>
      </c>
      <c r="K1128" s="614">
        <v>127140</v>
      </c>
      <c r="L1128" s="194" t="s">
        <v>259</v>
      </c>
      <c r="M1128" s="194" t="s">
        <v>167</v>
      </c>
      <c r="N1128" s="52" t="str">
        <f>IF(AND('331-CT'!$E$7=TH!H1128,OR(L1128="331",M1128="331")),"331",IF(AND(OR(L1128="131",M1128="131"),H1128='131-CT'!$E$7),"131",""))</f>
        <v>131</v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894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>
        <f t="shared" si="83"/>
        <v>7</v>
      </c>
      <c r="C1129" s="191">
        <v>40744</v>
      </c>
      <c r="D1129" s="191" t="s">
        <v>959</v>
      </c>
      <c r="E1129" s="191">
        <v>40744</v>
      </c>
      <c r="F1129" s="192" t="s">
        <v>1176</v>
      </c>
      <c r="G1129" s="498" t="s">
        <v>1177</v>
      </c>
      <c r="H1129" s="193" t="s">
        <v>733</v>
      </c>
      <c r="I1129" s="256"/>
      <c r="J1129" s="256"/>
      <c r="K1129" s="614">
        <v>152970</v>
      </c>
      <c r="L1129" s="194" t="s">
        <v>259</v>
      </c>
      <c r="M1129" s="194" t="s">
        <v>731</v>
      </c>
      <c r="N1129" s="52" t="str">
        <f>IF(AND('331-CT'!$E$7=TH!H1129,OR(L1129="331",M1129="331")),"331",IF(AND(OR(L1129="131",M1129="131"),H1129='131-CT'!$E$7),"131",""))</f>
        <v>131</v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>x</v>
      </c>
      <c r="AA1129" s="894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>
        <f t="shared" si="83"/>
        <v>7</v>
      </c>
      <c r="C1130" s="37">
        <f t="shared" ref="C1130:C1153" si="86">E1130</f>
        <v>40744</v>
      </c>
      <c r="D1130" s="37" t="s">
        <v>1098</v>
      </c>
      <c r="E1130" s="794">
        <v>40744</v>
      </c>
      <c r="F1130" s="189" t="s">
        <v>493</v>
      </c>
      <c r="G1130" s="40"/>
      <c r="H1130" s="628" t="s">
        <v>1092</v>
      </c>
      <c r="I1130" s="256">
        <v>5</v>
      </c>
      <c r="J1130" s="256">
        <v>22806</v>
      </c>
      <c r="K1130" s="614">
        <f t="shared" ref="K1130:K1153" si="87">ROUND(I1130*J1130,0)</f>
        <v>114030</v>
      </c>
      <c r="L1130" s="39" t="s">
        <v>157</v>
      </c>
      <c r="M1130" s="39" t="s">
        <v>151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>x</v>
      </c>
      <c r="AA1130" s="894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>
        <f t="shared" si="83"/>
        <v>7</v>
      </c>
      <c r="C1131" s="37">
        <f t="shared" si="86"/>
        <v>40744</v>
      </c>
      <c r="D1131" s="37" t="s">
        <v>1098</v>
      </c>
      <c r="E1131" s="794">
        <v>40744</v>
      </c>
      <c r="F1131" s="40" t="s">
        <v>627</v>
      </c>
      <c r="G1131" s="40"/>
      <c r="H1131" s="628" t="s">
        <v>1092</v>
      </c>
      <c r="I1131" s="256">
        <v>160</v>
      </c>
      <c r="J1131" s="256">
        <v>16703</v>
      </c>
      <c r="K1131" s="614">
        <f t="shared" si="87"/>
        <v>2672480</v>
      </c>
      <c r="L1131" s="39" t="s">
        <v>157</v>
      </c>
      <c r="M1131" s="39" t="s">
        <v>151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>x</v>
      </c>
      <c r="AA1131" s="894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>
        <f t="shared" si="83"/>
        <v>7</v>
      </c>
      <c r="C1132" s="37">
        <f t="shared" si="86"/>
        <v>40744</v>
      </c>
      <c r="D1132" s="37" t="s">
        <v>1098</v>
      </c>
      <c r="E1132" s="794">
        <v>40744</v>
      </c>
      <c r="F1132" s="189" t="s">
        <v>387</v>
      </c>
      <c r="G1132" s="40"/>
      <c r="H1132" s="628" t="s">
        <v>1092</v>
      </c>
      <c r="I1132" s="839">
        <v>28</v>
      </c>
      <c r="J1132" s="256">
        <v>4449</v>
      </c>
      <c r="K1132" s="614">
        <f t="shared" si="87"/>
        <v>124572</v>
      </c>
      <c r="L1132" s="39" t="s">
        <v>157</v>
      </c>
      <c r="M1132" s="39" t="s">
        <v>151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>x</v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>x</v>
      </c>
      <c r="AA1132" s="894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>
        <f t="shared" si="83"/>
        <v>7</v>
      </c>
      <c r="C1133" s="37">
        <f t="shared" si="86"/>
        <v>40744</v>
      </c>
      <c r="D1133" s="37" t="s">
        <v>1098</v>
      </c>
      <c r="E1133" s="794">
        <v>40744</v>
      </c>
      <c r="F1133" s="40" t="s">
        <v>601</v>
      </c>
      <c r="G1133" s="40"/>
      <c r="H1133" s="628" t="s">
        <v>1092</v>
      </c>
      <c r="I1133" s="256">
        <v>4</v>
      </c>
      <c r="J1133" s="256">
        <v>16302.5</v>
      </c>
      <c r="K1133" s="614">
        <f t="shared" si="87"/>
        <v>65210</v>
      </c>
      <c r="L1133" s="39" t="s">
        <v>157</v>
      </c>
      <c r="M1133" s="39" t="s">
        <v>151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>x</v>
      </c>
      <c r="AA1133" s="894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>
        <f t="shared" si="83"/>
        <v>7</v>
      </c>
      <c r="C1134" s="37">
        <f t="shared" si="86"/>
        <v>40744</v>
      </c>
      <c r="D1134" s="37" t="s">
        <v>1098</v>
      </c>
      <c r="E1134" s="794">
        <v>40744</v>
      </c>
      <c r="F1134" s="189" t="s">
        <v>387</v>
      </c>
      <c r="G1134" s="40"/>
      <c r="H1134" s="628" t="s">
        <v>1092</v>
      </c>
      <c r="I1134" s="839">
        <v>0.5</v>
      </c>
      <c r="J1134" s="256">
        <v>4449</v>
      </c>
      <c r="K1134" s="614">
        <f t="shared" si="87"/>
        <v>2225</v>
      </c>
      <c r="L1134" s="39" t="s">
        <v>157</v>
      </c>
      <c r="M1134" s="39" t="s">
        <v>151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>x</v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>x</v>
      </c>
      <c r="AA1134" s="894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>
        <f t="shared" si="83"/>
        <v>7</v>
      </c>
      <c r="C1135" s="37">
        <f t="shared" si="86"/>
        <v>40744</v>
      </c>
      <c r="D1135" s="37" t="s">
        <v>1098</v>
      </c>
      <c r="E1135" s="794">
        <v>40744</v>
      </c>
      <c r="F1135" s="189" t="s">
        <v>387</v>
      </c>
      <c r="G1135" s="40"/>
      <c r="H1135" s="628" t="s">
        <v>1092</v>
      </c>
      <c r="I1135" s="839">
        <v>1</v>
      </c>
      <c r="J1135" s="256">
        <v>4449</v>
      </c>
      <c r="K1135" s="614">
        <f t="shared" si="87"/>
        <v>4449</v>
      </c>
      <c r="L1135" s="39" t="s">
        <v>157</v>
      </c>
      <c r="M1135" s="39" t="s">
        <v>151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>x</v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>x</v>
      </c>
      <c r="AA1135" s="894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>
        <f t="shared" si="83"/>
        <v>7</v>
      </c>
      <c r="C1136" s="37">
        <f t="shared" si="86"/>
        <v>40744</v>
      </c>
      <c r="D1136" s="37" t="s">
        <v>1098</v>
      </c>
      <c r="E1136" s="794">
        <v>40744</v>
      </c>
      <c r="F1136" s="298" t="s">
        <v>479</v>
      </c>
      <c r="G1136" s="40"/>
      <c r="H1136" s="628" t="s">
        <v>1092</v>
      </c>
      <c r="I1136" s="256">
        <v>2</v>
      </c>
      <c r="J1136" s="256">
        <v>6026</v>
      </c>
      <c r="K1136" s="614">
        <f t="shared" si="87"/>
        <v>12052</v>
      </c>
      <c r="L1136" s="39" t="s">
        <v>157</v>
      </c>
      <c r="M1136" s="39" t="s">
        <v>151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>x</v>
      </c>
      <c r="AA1136" s="894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>
        <f t="shared" si="83"/>
        <v>7</v>
      </c>
      <c r="C1137" s="37">
        <f t="shared" si="86"/>
        <v>40744</v>
      </c>
      <c r="D1137" s="37" t="s">
        <v>1098</v>
      </c>
      <c r="E1137" s="794">
        <v>40744</v>
      </c>
      <c r="F1137" s="40" t="s">
        <v>601</v>
      </c>
      <c r="G1137" s="40"/>
      <c r="H1137" s="628" t="s">
        <v>1092</v>
      </c>
      <c r="I1137" s="256">
        <v>1</v>
      </c>
      <c r="J1137" s="256">
        <v>16303</v>
      </c>
      <c r="K1137" s="614">
        <f t="shared" si="87"/>
        <v>16303</v>
      </c>
      <c r="L1137" s="39" t="s">
        <v>157</v>
      </c>
      <c r="M1137" s="39" t="s">
        <v>151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>x</v>
      </c>
      <c r="AA1137" s="894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>
        <f t="shared" si="83"/>
        <v>7</v>
      </c>
      <c r="C1138" s="37">
        <f t="shared" si="86"/>
        <v>40744</v>
      </c>
      <c r="D1138" s="37" t="s">
        <v>1114</v>
      </c>
      <c r="E1138" s="37">
        <v>40744</v>
      </c>
      <c r="F1138" s="40" t="s">
        <v>996</v>
      </c>
      <c r="G1138" s="40"/>
      <c r="H1138" s="628" t="s">
        <v>1092</v>
      </c>
      <c r="I1138" s="256">
        <v>164</v>
      </c>
      <c r="J1138" s="256">
        <v>7394.3987351534788</v>
      </c>
      <c r="K1138" s="614">
        <f t="shared" si="87"/>
        <v>1212681</v>
      </c>
      <c r="L1138" s="39" t="s">
        <v>159</v>
      </c>
      <c r="M1138" s="39" t="s">
        <v>157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>x</v>
      </c>
      <c r="AA1138" s="894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>
        <f t="shared" si="83"/>
        <v>7</v>
      </c>
      <c r="C1139" s="37">
        <f t="shared" si="86"/>
        <v>40744</v>
      </c>
      <c r="D1139" s="37" t="s">
        <v>1114</v>
      </c>
      <c r="E1139" s="37">
        <v>40744</v>
      </c>
      <c r="F1139" s="192" t="s">
        <v>922</v>
      </c>
      <c r="G1139" s="40"/>
      <c r="H1139" s="628" t="s">
        <v>1092</v>
      </c>
      <c r="I1139" s="256">
        <v>1</v>
      </c>
      <c r="J1139" s="256">
        <v>7394.3987351534788</v>
      </c>
      <c r="K1139" s="614">
        <f t="shared" si="87"/>
        <v>7394</v>
      </c>
      <c r="L1139" s="39" t="s">
        <v>159</v>
      </c>
      <c r="M1139" s="39" t="s">
        <v>157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>x</v>
      </c>
      <c r="AA1139" s="894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>
        <f t="shared" si="83"/>
        <v>7</v>
      </c>
      <c r="C1140" s="37">
        <f t="shared" si="86"/>
        <v>40744</v>
      </c>
      <c r="D1140" s="37" t="s">
        <v>1114</v>
      </c>
      <c r="E1140" s="37">
        <v>40744</v>
      </c>
      <c r="F1140" s="40" t="s">
        <v>998</v>
      </c>
      <c r="G1140" s="40"/>
      <c r="H1140" s="628" t="s">
        <v>1092</v>
      </c>
      <c r="I1140" s="256">
        <v>1</v>
      </c>
      <c r="J1140" s="256">
        <v>4447.3987351534788</v>
      </c>
      <c r="K1140" s="614">
        <f t="shared" si="87"/>
        <v>4447</v>
      </c>
      <c r="L1140" s="39" t="s">
        <v>159</v>
      </c>
      <c r="M1140" s="39" t="s">
        <v>157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>x</v>
      </c>
      <c r="AA1140" s="894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>
        <f t="shared" si="83"/>
        <v>7</v>
      </c>
      <c r="C1141" s="37">
        <f t="shared" si="86"/>
        <v>40744</v>
      </c>
      <c r="D1141" s="37" t="s">
        <v>1114</v>
      </c>
      <c r="E1141" s="37">
        <v>40744</v>
      </c>
      <c r="F1141" s="40" t="s">
        <v>999</v>
      </c>
      <c r="G1141" s="40"/>
      <c r="H1141" s="628" t="s">
        <v>1092</v>
      </c>
      <c r="I1141" s="256">
        <v>1</v>
      </c>
      <c r="J1141" s="256">
        <v>6671.3987351534788</v>
      </c>
      <c r="K1141" s="614">
        <f t="shared" si="87"/>
        <v>6671</v>
      </c>
      <c r="L1141" s="39" t="s">
        <v>159</v>
      </c>
      <c r="M1141" s="39" t="s">
        <v>157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894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>
        <f t="shared" si="83"/>
        <v>7</v>
      </c>
      <c r="C1142" s="37">
        <f t="shared" si="86"/>
        <v>40744</v>
      </c>
      <c r="D1142" s="37" t="s">
        <v>1114</v>
      </c>
      <c r="E1142" s="37">
        <v>40744</v>
      </c>
      <c r="F1142" s="192" t="s">
        <v>926</v>
      </c>
      <c r="G1142" s="40"/>
      <c r="H1142" s="628" t="s">
        <v>1092</v>
      </c>
      <c r="I1142" s="256">
        <v>6</v>
      </c>
      <c r="J1142" s="256">
        <v>7845.8987351534788</v>
      </c>
      <c r="K1142" s="614">
        <f t="shared" si="87"/>
        <v>47075</v>
      </c>
      <c r="L1142" s="39" t="s">
        <v>159</v>
      </c>
      <c r="M1142" s="39" t="s">
        <v>157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894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>
        <f t="shared" si="83"/>
        <v>7</v>
      </c>
      <c r="C1143" s="37">
        <f t="shared" si="86"/>
        <v>40744</v>
      </c>
      <c r="D1143" s="37" t="s">
        <v>1114</v>
      </c>
      <c r="E1143" s="37">
        <v>40744</v>
      </c>
      <c r="F1143" s="189" t="s">
        <v>924</v>
      </c>
      <c r="G1143" s="40"/>
      <c r="H1143" s="628" t="s">
        <v>1092</v>
      </c>
      <c r="I1143" s="256">
        <v>1</v>
      </c>
      <c r="J1143" s="256">
        <v>6671.3987351534788</v>
      </c>
      <c r="K1143" s="614">
        <f t="shared" si="87"/>
        <v>6671</v>
      </c>
      <c r="L1143" s="39" t="s">
        <v>159</v>
      </c>
      <c r="M1143" s="39" t="s">
        <v>157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894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>
        <f t="shared" si="83"/>
        <v>7</v>
      </c>
      <c r="C1144" s="37">
        <f t="shared" si="86"/>
        <v>40744</v>
      </c>
      <c r="D1144" s="37" t="s">
        <v>1114</v>
      </c>
      <c r="E1144" s="37">
        <v>40744</v>
      </c>
      <c r="F1144" s="40" t="s">
        <v>745</v>
      </c>
      <c r="G1144" s="40"/>
      <c r="H1144" s="628" t="s">
        <v>1092</v>
      </c>
      <c r="I1144" s="256">
        <v>3</v>
      </c>
      <c r="J1144" s="256">
        <v>8248.3987351534797</v>
      </c>
      <c r="K1144" s="614">
        <f t="shared" si="87"/>
        <v>24745</v>
      </c>
      <c r="L1144" s="39" t="s">
        <v>159</v>
      </c>
      <c r="M1144" s="39" t="s">
        <v>157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894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>
        <f t="shared" si="83"/>
        <v>7</v>
      </c>
      <c r="C1145" s="37">
        <f t="shared" si="86"/>
        <v>40744</v>
      </c>
      <c r="D1145" s="37" t="s">
        <v>1114</v>
      </c>
      <c r="E1145" s="37">
        <v>40744</v>
      </c>
      <c r="F1145" s="40" t="s">
        <v>746</v>
      </c>
      <c r="G1145" s="40"/>
      <c r="H1145" s="628" t="s">
        <v>1092</v>
      </c>
      <c r="I1145" s="256">
        <v>12</v>
      </c>
      <c r="J1145" s="256">
        <v>8767.3987351534797</v>
      </c>
      <c r="K1145" s="614">
        <f t="shared" si="87"/>
        <v>105209</v>
      </c>
      <c r="L1145" s="39" t="s">
        <v>159</v>
      </c>
      <c r="M1145" s="39" t="s">
        <v>157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894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>
        <f t="shared" si="83"/>
        <v>7</v>
      </c>
      <c r="C1146" s="37">
        <f t="shared" si="86"/>
        <v>40744</v>
      </c>
      <c r="D1146" s="37" t="s">
        <v>959</v>
      </c>
      <c r="E1146" s="37">
        <v>40744</v>
      </c>
      <c r="F1146" s="40" t="s">
        <v>996</v>
      </c>
      <c r="G1146" s="40" t="s">
        <v>1177</v>
      </c>
      <c r="H1146" s="628" t="s">
        <v>733</v>
      </c>
      <c r="I1146" s="256">
        <v>164</v>
      </c>
      <c r="J1146" s="256">
        <v>7394.3987351534788</v>
      </c>
      <c r="K1146" s="614">
        <f t="shared" si="87"/>
        <v>1212681</v>
      </c>
      <c r="L1146" s="39" t="s">
        <v>165</v>
      </c>
      <c r="M1146" s="39" t="s">
        <v>159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894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>
        <f t="shared" si="83"/>
        <v>7</v>
      </c>
      <c r="C1147" s="37">
        <f t="shared" si="86"/>
        <v>40744</v>
      </c>
      <c r="D1147" s="37" t="s">
        <v>959</v>
      </c>
      <c r="E1147" s="37">
        <v>40744</v>
      </c>
      <c r="F1147" s="192" t="s">
        <v>922</v>
      </c>
      <c r="G1147" s="40" t="s">
        <v>1177</v>
      </c>
      <c r="H1147" s="628" t="s">
        <v>733</v>
      </c>
      <c r="I1147" s="256">
        <v>1</v>
      </c>
      <c r="J1147" s="256">
        <v>7394.3987351534788</v>
      </c>
      <c r="K1147" s="614">
        <f t="shared" si="87"/>
        <v>7394</v>
      </c>
      <c r="L1147" s="39" t="s">
        <v>165</v>
      </c>
      <c r="M1147" s="39" t="s">
        <v>159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894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>
        <f t="shared" si="83"/>
        <v>7</v>
      </c>
      <c r="C1148" s="37">
        <f t="shared" si="86"/>
        <v>40744</v>
      </c>
      <c r="D1148" s="37" t="s">
        <v>959</v>
      </c>
      <c r="E1148" s="37">
        <v>40744</v>
      </c>
      <c r="F1148" s="40" t="s">
        <v>998</v>
      </c>
      <c r="G1148" s="40" t="s">
        <v>1177</v>
      </c>
      <c r="H1148" s="628" t="s">
        <v>733</v>
      </c>
      <c r="I1148" s="256">
        <v>1</v>
      </c>
      <c r="J1148" s="256">
        <v>4447.3987351534788</v>
      </c>
      <c r="K1148" s="614">
        <f t="shared" si="87"/>
        <v>4447</v>
      </c>
      <c r="L1148" s="39" t="s">
        <v>165</v>
      </c>
      <c r="M1148" s="39" t="s">
        <v>159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894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>
        <f t="shared" si="83"/>
        <v>7</v>
      </c>
      <c r="C1149" s="37">
        <f t="shared" si="86"/>
        <v>40744</v>
      </c>
      <c r="D1149" s="37" t="s">
        <v>959</v>
      </c>
      <c r="E1149" s="37">
        <v>40744</v>
      </c>
      <c r="F1149" s="40" t="s">
        <v>999</v>
      </c>
      <c r="G1149" s="40" t="s">
        <v>1177</v>
      </c>
      <c r="H1149" s="628" t="s">
        <v>733</v>
      </c>
      <c r="I1149" s="256">
        <v>1</v>
      </c>
      <c r="J1149" s="256">
        <v>6671.3987351534788</v>
      </c>
      <c r="K1149" s="614">
        <f t="shared" si="87"/>
        <v>6671</v>
      </c>
      <c r="L1149" s="39" t="s">
        <v>165</v>
      </c>
      <c r="M1149" s="39" t="s">
        <v>159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894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>
        <f t="shared" si="83"/>
        <v>7</v>
      </c>
      <c r="C1150" s="37">
        <f t="shared" si="86"/>
        <v>40744</v>
      </c>
      <c r="D1150" s="37" t="s">
        <v>959</v>
      </c>
      <c r="E1150" s="37">
        <v>40744</v>
      </c>
      <c r="F1150" s="192" t="s">
        <v>926</v>
      </c>
      <c r="G1150" s="40" t="s">
        <v>1177</v>
      </c>
      <c r="H1150" s="628" t="s">
        <v>733</v>
      </c>
      <c r="I1150" s="256">
        <v>6</v>
      </c>
      <c r="J1150" s="256">
        <v>7845.8987351534788</v>
      </c>
      <c r="K1150" s="614">
        <f t="shared" si="87"/>
        <v>47075</v>
      </c>
      <c r="L1150" s="39" t="s">
        <v>165</v>
      </c>
      <c r="M1150" s="39" t="s">
        <v>159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894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>
        <f t="shared" si="83"/>
        <v>7</v>
      </c>
      <c r="C1151" s="37">
        <f t="shared" si="86"/>
        <v>40744</v>
      </c>
      <c r="D1151" s="37" t="s">
        <v>959</v>
      </c>
      <c r="E1151" s="37">
        <v>40744</v>
      </c>
      <c r="F1151" s="189" t="s">
        <v>924</v>
      </c>
      <c r="G1151" s="40" t="s">
        <v>1177</v>
      </c>
      <c r="H1151" s="628" t="s">
        <v>733</v>
      </c>
      <c r="I1151" s="256">
        <v>1</v>
      </c>
      <c r="J1151" s="256">
        <v>6671.3987351534788</v>
      </c>
      <c r="K1151" s="614">
        <f t="shared" si="87"/>
        <v>6671</v>
      </c>
      <c r="L1151" s="39" t="s">
        <v>165</v>
      </c>
      <c r="M1151" s="39" t="s">
        <v>159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894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>
        <f t="shared" si="83"/>
        <v>7</v>
      </c>
      <c r="C1152" s="37">
        <f t="shared" si="86"/>
        <v>40744</v>
      </c>
      <c r="D1152" s="37" t="s">
        <v>959</v>
      </c>
      <c r="E1152" s="37">
        <v>40744</v>
      </c>
      <c r="F1152" s="40" t="s">
        <v>745</v>
      </c>
      <c r="G1152" s="40" t="s">
        <v>1177</v>
      </c>
      <c r="H1152" s="628" t="s">
        <v>733</v>
      </c>
      <c r="I1152" s="256">
        <v>3</v>
      </c>
      <c r="J1152" s="256">
        <v>8248.3987351534797</v>
      </c>
      <c r="K1152" s="614">
        <f t="shared" si="87"/>
        <v>24745</v>
      </c>
      <c r="L1152" s="39" t="s">
        <v>165</v>
      </c>
      <c r="M1152" s="39" t="s">
        <v>159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894"/>
    </row>
    <row r="1153" spans="1:28" ht="15.75" customHeight="1">
      <c r="A1153" s="204" t="str">
        <f>IF(B1153&lt;&gt;"",IF(AND(B1153&gt;=_TM1,B1153&lt;=_TM2,OR(TH!L1153="1111",TH!M1153="1111")),TH!D1153,""),"")</f>
        <v/>
      </c>
      <c r="B1153" s="36">
        <f t="shared" si="83"/>
        <v>7</v>
      </c>
      <c r="C1153" s="37">
        <f t="shared" si="86"/>
        <v>40744</v>
      </c>
      <c r="D1153" s="37" t="s">
        <v>959</v>
      </c>
      <c r="E1153" s="37">
        <v>40744</v>
      </c>
      <c r="F1153" s="40" t="s">
        <v>746</v>
      </c>
      <c r="G1153" s="40" t="s">
        <v>1177</v>
      </c>
      <c r="H1153" s="628" t="s">
        <v>733</v>
      </c>
      <c r="I1153" s="256">
        <v>12</v>
      </c>
      <c r="J1153" s="256">
        <v>8767.3987351534797</v>
      </c>
      <c r="K1153" s="614">
        <f t="shared" si="87"/>
        <v>105209</v>
      </c>
      <c r="L1153" s="39" t="s">
        <v>165</v>
      </c>
      <c r="M1153" s="39" t="s">
        <v>159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894"/>
    </row>
    <row r="1154" spans="1:28" ht="15.75" customHeight="1">
      <c r="A1154" s="204" t="str">
        <f>IF(B1154&lt;&gt;"",IF(AND(B1154&gt;=_TM1,B1154&lt;=_TM2,OR(TH!L1154="1111",TH!M1154="1111")),TH!D1154,""),"")</f>
        <v/>
      </c>
      <c r="B1154" s="36">
        <f t="shared" si="83"/>
        <v>7</v>
      </c>
      <c r="C1154" s="191">
        <v>40745</v>
      </c>
      <c r="D1154" s="184" t="s">
        <v>438</v>
      </c>
      <c r="E1154" s="813">
        <v>40745</v>
      </c>
      <c r="F1154" s="192" t="s">
        <v>637</v>
      </c>
      <c r="G1154" s="498" t="s">
        <v>1143</v>
      </c>
      <c r="H1154" s="7" t="s">
        <v>391</v>
      </c>
      <c r="I1154" s="258"/>
      <c r="J1154" s="258"/>
      <c r="K1154" s="38">
        <v>1320000</v>
      </c>
      <c r="L1154" s="194" t="s">
        <v>8</v>
      </c>
      <c r="M1154" s="194" t="s">
        <v>46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>x</v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894"/>
    </row>
    <row r="1155" spans="1:28" ht="15.75" customHeight="1">
      <c r="A1155" s="204" t="str">
        <f>IF(B1155&lt;&gt;"",IF(AND(B1155&gt;=_TM1,B1155&lt;=_TM2,OR(TH!L1155="1111",TH!M1155="1111")),TH!D1155,""),"")</f>
        <v/>
      </c>
      <c r="B1155" s="36">
        <f t="shared" si="83"/>
        <v>7</v>
      </c>
      <c r="C1155" s="191">
        <v>40745</v>
      </c>
      <c r="D1155" s="184" t="s">
        <v>694</v>
      </c>
      <c r="E1155" s="813">
        <v>40745</v>
      </c>
      <c r="F1155" s="189" t="s">
        <v>388</v>
      </c>
      <c r="G1155" s="498" t="s">
        <v>1143</v>
      </c>
      <c r="H1155" s="7" t="s">
        <v>391</v>
      </c>
      <c r="I1155" s="256">
        <v>50</v>
      </c>
      <c r="J1155" s="256">
        <v>24000</v>
      </c>
      <c r="K1155" s="614">
        <v>1200000</v>
      </c>
      <c r="L1155" s="194" t="s">
        <v>153</v>
      </c>
      <c r="M1155" s="194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>x</v>
      </c>
      <c r="Z1155" s="52" t="str">
        <f>IF(AND(B1155&lt;=NKC!$N$8,B1155&gt;=NKC!$M$8),"x","")</f>
        <v>x</v>
      </c>
      <c r="AA1155" s="894"/>
    </row>
    <row r="1156" spans="1:28" ht="15.75" customHeight="1">
      <c r="A1156" s="204" t="str">
        <f>IF(B1156&lt;&gt;"",IF(AND(B1156&gt;=_TM1,B1156&lt;=_TM2,OR(TH!L1156="1111",TH!M1156="1111")),TH!D1156,""),"")</f>
        <v/>
      </c>
      <c r="B1156" s="36">
        <f t="shared" si="83"/>
        <v>7</v>
      </c>
      <c r="C1156" s="191">
        <v>40745</v>
      </c>
      <c r="D1156" s="184" t="s">
        <v>694</v>
      </c>
      <c r="E1156" s="813">
        <v>40745</v>
      </c>
      <c r="F1156" s="189" t="s">
        <v>389</v>
      </c>
      <c r="G1156" s="498" t="s">
        <v>1143</v>
      </c>
      <c r="H1156" s="7" t="s">
        <v>391</v>
      </c>
      <c r="I1156" s="256"/>
      <c r="J1156" s="256"/>
      <c r="K1156" s="38">
        <v>120000</v>
      </c>
      <c r="L1156" s="194" t="s">
        <v>9</v>
      </c>
      <c r="M1156" s="194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894"/>
      <c r="AB1156" s="198">
        <v>7</v>
      </c>
    </row>
    <row r="1157" spans="1:28" ht="15.75" customHeight="1">
      <c r="A1157" s="204" t="str">
        <f>IF(B1157&lt;&gt;"",IF(AND(B1157&gt;=_TM1,B1157&lt;=_TM2,OR(TH!L1157="1111",TH!M1157="1111")),TH!D1157,""),"")</f>
        <v/>
      </c>
      <c r="B1157" s="36">
        <f t="shared" si="83"/>
        <v>7</v>
      </c>
      <c r="C1157" s="191">
        <v>40745</v>
      </c>
      <c r="D1157" s="191" t="s">
        <v>960</v>
      </c>
      <c r="E1157" s="191">
        <v>40745</v>
      </c>
      <c r="F1157" s="192" t="s">
        <v>747</v>
      </c>
      <c r="G1157" s="498" t="s">
        <v>1178</v>
      </c>
      <c r="H1157" s="193" t="s">
        <v>733</v>
      </c>
      <c r="I1157" s="256">
        <v>5</v>
      </c>
      <c r="J1157" s="256">
        <v>11321</v>
      </c>
      <c r="K1157" s="614">
        <v>56605</v>
      </c>
      <c r="L1157" s="194" t="s">
        <v>259</v>
      </c>
      <c r="M1157" s="194" t="s">
        <v>167</v>
      </c>
      <c r="N1157" s="52" t="str">
        <f>IF(AND('331-CT'!$E$7=TH!H1157,OR(L1157="331",M1157="331")),"331",IF(AND(OR(L1157="131",M1157="131"),H1157='131-CT'!$E$7),"131",""))</f>
        <v>131</v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894"/>
    </row>
    <row r="1158" spans="1:28" ht="15.75" customHeight="1">
      <c r="A1158" s="204" t="str">
        <f>IF(B1158&lt;&gt;"",IF(AND(B1158&gt;=_TM1,B1158&lt;=_TM2,OR(TH!L1158="1111",TH!M1158="1111")),TH!D1158,""),"")</f>
        <v/>
      </c>
      <c r="B1158" s="36">
        <f t="shared" si="83"/>
        <v>7</v>
      </c>
      <c r="C1158" s="191">
        <v>40745</v>
      </c>
      <c r="D1158" s="191" t="s">
        <v>960</v>
      </c>
      <c r="E1158" s="191">
        <v>40745</v>
      </c>
      <c r="F1158" s="192" t="s">
        <v>748</v>
      </c>
      <c r="G1158" s="498" t="s">
        <v>1178</v>
      </c>
      <c r="H1158" s="193" t="s">
        <v>733</v>
      </c>
      <c r="I1158" s="256">
        <v>1</v>
      </c>
      <c r="J1158" s="256">
        <v>10253</v>
      </c>
      <c r="K1158" s="614">
        <v>10253</v>
      </c>
      <c r="L1158" s="194" t="s">
        <v>259</v>
      </c>
      <c r="M1158" s="194" t="s">
        <v>167</v>
      </c>
      <c r="N1158" s="52" t="str">
        <f>IF(AND('331-CT'!$E$7=TH!H1158,OR(L1158="331",M1158="331")),"331",IF(AND(OR(L1158="131",M1158="131"),H1158='131-CT'!$E$7),"131",""))</f>
        <v>131</v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894"/>
    </row>
    <row r="1159" spans="1:28" ht="15.75" customHeight="1">
      <c r="A1159" s="204" t="str">
        <f>IF(B1159&lt;&gt;"",IF(AND(B1159&gt;=_TM1,B1159&lt;=_TM2,OR(TH!L1159="1111",TH!M1159="1111")),TH!D1159,""),"")</f>
        <v/>
      </c>
      <c r="B1159" s="36">
        <f t="shared" si="83"/>
        <v>7</v>
      </c>
      <c r="C1159" s="191">
        <v>40745</v>
      </c>
      <c r="D1159" s="191" t="s">
        <v>960</v>
      </c>
      <c r="E1159" s="191">
        <v>40745</v>
      </c>
      <c r="F1159" s="192" t="s">
        <v>749</v>
      </c>
      <c r="G1159" s="498" t="s">
        <v>1178</v>
      </c>
      <c r="H1159" s="193" t="s">
        <v>733</v>
      </c>
      <c r="I1159" s="256">
        <v>1</v>
      </c>
      <c r="J1159" s="256">
        <v>12564</v>
      </c>
      <c r="K1159" s="614">
        <v>12564</v>
      </c>
      <c r="L1159" s="194" t="s">
        <v>259</v>
      </c>
      <c r="M1159" s="194" t="s">
        <v>167</v>
      </c>
      <c r="N1159" s="52" t="str">
        <f>IF(AND('331-CT'!$E$7=TH!H1159,OR(L1159="331",M1159="331")),"331",IF(AND(OR(L1159="131",M1159="131"),H1159='131-CT'!$E$7),"131",""))</f>
        <v>131</v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894"/>
    </row>
    <row r="1160" spans="1:28" ht="15.75" customHeight="1">
      <c r="A1160" s="204" t="str">
        <f>IF(B1160&lt;&gt;"",IF(AND(B1160&gt;=_TM1,B1160&lt;=_TM2,OR(TH!L1160="1111",TH!M1160="1111")),TH!D1160,""),"")</f>
        <v/>
      </c>
      <c r="B1160" s="36">
        <f t="shared" si="83"/>
        <v>7</v>
      </c>
      <c r="C1160" s="191">
        <v>40745</v>
      </c>
      <c r="D1160" s="191" t="s">
        <v>960</v>
      </c>
      <c r="E1160" s="191">
        <v>40745</v>
      </c>
      <c r="F1160" s="192" t="s">
        <v>1002</v>
      </c>
      <c r="G1160" s="498" t="s">
        <v>1178</v>
      </c>
      <c r="H1160" s="193" t="s">
        <v>733</v>
      </c>
      <c r="I1160" s="256">
        <v>18</v>
      </c>
      <c r="J1160" s="256">
        <v>14438</v>
      </c>
      <c r="K1160" s="614">
        <v>259884</v>
      </c>
      <c r="L1160" s="194" t="s">
        <v>259</v>
      </c>
      <c r="M1160" s="194" t="s">
        <v>167</v>
      </c>
      <c r="N1160" s="52" t="str">
        <f>IF(AND('331-CT'!$E$7=TH!H1160,OR(L1160="331",M1160="331")),"331",IF(AND(OR(L1160="131",M1160="131"),H1160='131-CT'!$E$7),"131",""))</f>
        <v>131</v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894"/>
    </row>
    <row r="1161" spans="1:28" ht="15.75" customHeight="1">
      <c r="A1161" s="204" t="str">
        <f>IF(B1161&lt;&gt;"",IF(AND(B1161&gt;=_TM1,B1161&lt;=_TM2,OR(TH!L1161="1111",TH!M1161="1111")),TH!D1161,""),"")</f>
        <v/>
      </c>
      <c r="B1161" s="36">
        <f t="shared" si="83"/>
        <v>7</v>
      </c>
      <c r="C1161" s="191">
        <v>40745</v>
      </c>
      <c r="D1161" s="191" t="s">
        <v>960</v>
      </c>
      <c r="E1161" s="191">
        <v>40745</v>
      </c>
      <c r="F1161" s="192" t="s">
        <v>750</v>
      </c>
      <c r="G1161" s="498" t="s">
        <v>1178</v>
      </c>
      <c r="H1161" s="193" t="s">
        <v>733</v>
      </c>
      <c r="I1161" s="256">
        <v>166</v>
      </c>
      <c r="J1161" s="256">
        <v>15618</v>
      </c>
      <c r="K1161" s="614">
        <v>2592588</v>
      </c>
      <c r="L1161" s="194" t="s">
        <v>259</v>
      </c>
      <c r="M1161" s="194" t="s">
        <v>167</v>
      </c>
      <c r="N1161" s="52" t="str">
        <f>IF(AND('331-CT'!$E$7=TH!H1161,OR(L1161="331",M1161="331")),"331",IF(AND(OR(L1161="131",M1161="131"),H1161='131-CT'!$E$7),"131",""))</f>
        <v>131</v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894"/>
    </row>
    <row r="1162" spans="1:28" ht="15.75" customHeight="1">
      <c r="A1162" s="204" t="str">
        <f>IF(B1162&lt;&gt;"",IF(AND(B1162&gt;=_TM1,B1162&lt;=_TM2,OR(TH!L1162="1111",TH!M1162="1111")),TH!D1162,""),"")</f>
        <v/>
      </c>
      <c r="B1162" s="36">
        <f t="shared" si="83"/>
        <v>7</v>
      </c>
      <c r="C1162" s="191">
        <v>40745</v>
      </c>
      <c r="D1162" s="191" t="s">
        <v>960</v>
      </c>
      <c r="E1162" s="191">
        <v>40745</v>
      </c>
      <c r="F1162" s="192" t="s">
        <v>1297</v>
      </c>
      <c r="G1162" s="498" t="s">
        <v>1178</v>
      </c>
      <c r="H1162" s="193" t="s">
        <v>733</v>
      </c>
      <c r="I1162" s="256">
        <v>2</v>
      </c>
      <c r="J1162" s="256">
        <v>10026</v>
      </c>
      <c r="K1162" s="614">
        <v>20052</v>
      </c>
      <c r="L1162" s="194" t="s">
        <v>259</v>
      </c>
      <c r="M1162" s="194" t="s">
        <v>167</v>
      </c>
      <c r="N1162" s="52" t="str">
        <f>IF(AND('331-CT'!$E$7=TH!H1162,OR(L1162="331",M1162="331")),"331",IF(AND(OR(L1162="131",M1162="131"),H1162='131-CT'!$E$7),"131",""))</f>
        <v>131</v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894"/>
    </row>
    <row r="1163" spans="1:28" ht="15.75" customHeight="1">
      <c r="A1163" s="204" t="str">
        <f>IF(B1163&lt;&gt;"",IF(AND(B1163&gt;=_TM1,B1163&lt;=_TM2,OR(TH!L1163="1111",TH!M1163="1111")),TH!D1163,""),"")</f>
        <v/>
      </c>
      <c r="B1163" s="36">
        <f t="shared" si="83"/>
        <v>7</v>
      </c>
      <c r="C1163" s="191">
        <v>40745</v>
      </c>
      <c r="D1163" s="191" t="s">
        <v>960</v>
      </c>
      <c r="E1163" s="191">
        <v>40745</v>
      </c>
      <c r="F1163" s="192" t="s">
        <v>1004</v>
      </c>
      <c r="G1163" s="498" t="s">
        <v>1178</v>
      </c>
      <c r="H1163" s="193" t="s">
        <v>733</v>
      </c>
      <c r="I1163" s="256">
        <v>1</v>
      </c>
      <c r="J1163" s="256">
        <v>10723</v>
      </c>
      <c r="K1163" s="614">
        <v>10723</v>
      </c>
      <c r="L1163" s="194" t="s">
        <v>259</v>
      </c>
      <c r="M1163" s="194" t="s">
        <v>167</v>
      </c>
      <c r="N1163" s="52" t="str">
        <f>IF(AND('331-CT'!$E$7=TH!H1163,OR(L1163="331",M1163="331")),"331",IF(AND(OR(L1163="131",M1163="131"),H1163='131-CT'!$E$7),"131",""))</f>
        <v>131</v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894"/>
    </row>
    <row r="1164" spans="1:28" ht="15.75" customHeight="1">
      <c r="A1164" s="204" t="str">
        <f>IF(B1164&lt;&gt;"",IF(AND(B1164&gt;=_TM1,B1164&lt;=_TM2,OR(TH!L1164="1111",TH!M1164="1111")),TH!D1164,""),"")</f>
        <v/>
      </c>
      <c r="B1164" s="36">
        <f t="shared" si="83"/>
        <v>7</v>
      </c>
      <c r="C1164" s="191">
        <v>40745</v>
      </c>
      <c r="D1164" s="191" t="s">
        <v>960</v>
      </c>
      <c r="E1164" s="191">
        <v>40745</v>
      </c>
      <c r="F1164" s="192" t="s">
        <v>751</v>
      </c>
      <c r="G1164" s="498" t="s">
        <v>1178</v>
      </c>
      <c r="H1164" s="193" t="s">
        <v>733</v>
      </c>
      <c r="I1164" s="256">
        <v>4</v>
      </c>
      <c r="J1164" s="256">
        <v>14010</v>
      </c>
      <c r="K1164" s="614">
        <v>56040</v>
      </c>
      <c r="L1164" s="194" t="s">
        <v>259</v>
      </c>
      <c r="M1164" s="194" t="s">
        <v>167</v>
      </c>
      <c r="N1164" s="52" t="str">
        <f>IF(AND('331-CT'!$E$7=TH!H1164,OR(L1164="331",M1164="331")),"331",IF(AND(OR(L1164="131",M1164="131"),H1164='131-CT'!$E$7),"131",""))</f>
        <v>131</v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894"/>
    </row>
    <row r="1165" spans="1:28" ht="15.75" customHeight="1">
      <c r="A1165" s="204" t="str">
        <f>IF(B1165&lt;&gt;"",IF(AND(B1165&gt;=_TM1,B1165&lt;=_TM2,OR(TH!L1165="1111",TH!M1165="1111")),TH!D1165,""),"")</f>
        <v/>
      </c>
      <c r="B1165" s="36">
        <f t="shared" si="83"/>
        <v>7</v>
      </c>
      <c r="C1165" s="191">
        <v>40745</v>
      </c>
      <c r="D1165" s="191" t="s">
        <v>960</v>
      </c>
      <c r="E1165" s="191">
        <v>40745</v>
      </c>
      <c r="F1165" s="192" t="s">
        <v>1176</v>
      </c>
      <c r="G1165" s="498" t="s">
        <v>1178</v>
      </c>
      <c r="H1165" s="193" t="s">
        <v>733</v>
      </c>
      <c r="I1165" s="256"/>
      <c r="J1165" s="256"/>
      <c r="K1165" s="614">
        <f>301871-1</f>
        <v>301870</v>
      </c>
      <c r="L1165" s="194" t="s">
        <v>259</v>
      </c>
      <c r="M1165" s="194" t="s">
        <v>731</v>
      </c>
      <c r="N1165" s="52" t="str">
        <f>IF(AND('331-CT'!$E$7=TH!H1165,OR(L1165="331",M1165="331")),"331",IF(AND(OR(L1165="131",M1165="131"),H1165='131-CT'!$E$7),"131",""))</f>
        <v>131</v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894"/>
    </row>
    <row r="1166" spans="1:28" ht="15.75" customHeight="1">
      <c r="A1166" s="204" t="str">
        <f>IF(B1166&lt;&gt;"",IF(AND(B1166&gt;=_TM1,B1166&lt;=_TM2,OR(TH!L1166="1111",TH!M1166="1111")),TH!D1166,""),"")</f>
        <v/>
      </c>
      <c r="B1166" s="36">
        <f t="shared" si="83"/>
        <v>7</v>
      </c>
      <c r="C1166" s="191">
        <v>40745</v>
      </c>
      <c r="D1166" s="191" t="s">
        <v>961</v>
      </c>
      <c r="E1166" s="191">
        <v>40745</v>
      </c>
      <c r="F1166" s="192" t="s">
        <v>1005</v>
      </c>
      <c r="G1166" s="498" t="s">
        <v>1179</v>
      </c>
      <c r="H1166" s="193" t="s">
        <v>733</v>
      </c>
      <c r="I1166" s="256">
        <v>3</v>
      </c>
      <c r="J1166" s="256">
        <v>15054</v>
      </c>
      <c r="K1166" s="614">
        <v>45162</v>
      </c>
      <c r="L1166" s="194" t="s">
        <v>259</v>
      </c>
      <c r="M1166" s="194" t="s">
        <v>167</v>
      </c>
      <c r="N1166" s="52" t="str">
        <f>IF(AND('331-CT'!$E$7=TH!H1166,OR(L1166="331",M1166="331")),"331",IF(AND(OR(L1166="131",M1166="131"),H1166='131-CT'!$E$7),"131",""))</f>
        <v>131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894"/>
    </row>
    <row r="1167" spans="1:28" ht="15.75" customHeight="1">
      <c r="A1167" s="204" t="str">
        <f>IF(B1167&lt;&gt;"",IF(AND(B1167&gt;=_TM1,B1167&lt;=_TM2,OR(TH!L1167="1111",TH!M1167="1111")),TH!D1167,""),"")</f>
        <v/>
      </c>
      <c r="B1167" s="36">
        <f t="shared" si="83"/>
        <v>7</v>
      </c>
      <c r="C1167" s="191">
        <v>40745</v>
      </c>
      <c r="D1167" s="191" t="s">
        <v>961</v>
      </c>
      <c r="E1167" s="191">
        <v>40745</v>
      </c>
      <c r="F1167" s="192" t="s">
        <v>752</v>
      </c>
      <c r="G1167" s="498" t="s">
        <v>1179</v>
      </c>
      <c r="H1167" s="193" t="s">
        <v>733</v>
      </c>
      <c r="I1167" s="256">
        <v>3</v>
      </c>
      <c r="J1167" s="256">
        <v>16284</v>
      </c>
      <c r="K1167" s="614">
        <v>48852</v>
      </c>
      <c r="L1167" s="194" t="s">
        <v>259</v>
      </c>
      <c r="M1167" s="194" t="s">
        <v>167</v>
      </c>
      <c r="N1167" s="52" t="str">
        <f>IF(AND('331-CT'!$E$7=TH!H1167,OR(L1167="331",M1167="331")),"331",IF(AND(OR(L1167="131",M1167="131"),H1167='131-CT'!$E$7),"131",""))</f>
        <v>131</v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894"/>
    </row>
    <row r="1168" spans="1:28" ht="15.75" customHeight="1">
      <c r="A1168" s="204" t="str">
        <f>IF(B1168&lt;&gt;"",IF(AND(B1168&gt;=_TM1,B1168&lt;=_TM2,OR(TH!L1168="1111",TH!M1168="1111")),TH!D1168,""),"")</f>
        <v/>
      </c>
      <c r="B1168" s="36">
        <f t="shared" si="83"/>
        <v>7</v>
      </c>
      <c r="C1168" s="191">
        <v>40745</v>
      </c>
      <c r="D1168" s="191" t="s">
        <v>961</v>
      </c>
      <c r="E1168" s="191">
        <v>40745</v>
      </c>
      <c r="F1168" s="192" t="s">
        <v>1006</v>
      </c>
      <c r="G1168" s="498" t="s">
        <v>1179</v>
      </c>
      <c r="H1168" s="193" t="s">
        <v>733</v>
      </c>
      <c r="I1168" s="256">
        <v>107</v>
      </c>
      <c r="J1168" s="256">
        <v>16832</v>
      </c>
      <c r="K1168" s="614">
        <v>1801024</v>
      </c>
      <c r="L1168" s="194" t="s">
        <v>259</v>
      </c>
      <c r="M1168" s="194" t="s">
        <v>167</v>
      </c>
      <c r="N1168" s="52" t="str">
        <f>IF(AND('331-CT'!$E$7=TH!H1168,OR(L1168="331",M1168="331")),"331",IF(AND(OR(L1168="131",M1168="131"),H1168='131-CT'!$E$7),"131",""))</f>
        <v>131</v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894"/>
    </row>
    <row r="1169" spans="1:27" ht="15.75" customHeight="1">
      <c r="A1169" s="204" t="str">
        <f>IF(B1169&lt;&gt;"",IF(AND(B1169&gt;=_TM1,B1169&lt;=_TM2,OR(TH!L1169="1111",TH!M1169="1111")),TH!D1169,""),"")</f>
        <v/>
      </c>
      <c r="B1169" s="36">
        <f t="shared" si="83"/>
        <v>7</v>
      </c>
      <c r="C1169" s="191">
        <v>40745</v>
      </c>
      <c r="D1169" s="191" t="s">
        <v>961</v>
      </c>
      <c r="E1169" s="191">
        <v>40745</v>
      </c>
      <c r="F1169" s="192" t="s">
        <v>1007</v>
      </c>
      <c r="G1169" s="498" t="s">
        <v>1179</v>
      </c>
      <c r="H1169" s="193" t="s">
        <v>733</v>
      </c>
      <c r="I1169" s="256">
        <v>83</v>
      </c>
      <c r="J1169" s="256">
        <v>11079</v>
      </c>
      <c r="K1169" s="614">
        <v>919557</v>
      </c>
      <c r="L1169" s="194" t="s">
        <v>259</v>
      </c>
      <c r="M1169" s="194" t="s">
        <v>167</v>
      </c>
      <c r="N1169" s="52" t="str">
        <f>IF(AND('331-CT'!$E$7=TH!H1169,OR(L1169="331",M1169="331")),"331",IF(AND(OR(L1169="131",M1169="131"),H1169='131-CT'!$E$7),"131",""))</f>
        <v>131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894"/>
    </row>
    <row r="1170" spans="1:27" ht="15.75" customHeight="1">
      <c r="A1170" s="204" t="str">
        <f>IF(B1170&lt;&gt;"",IF(AND(B1170&gt;=_TM1,B1170&lt;=_TM2,OR(TH!L1170="1111",TH!M1170="1111")),TH!D1170,""),"")</f>
        <v/>
      </c>
      <c r="B1170" s="36">
        <f t="shared" si="83"/>
        <v>7</v>
      </c>
      <c r="C1170" s="191">
        <v>40745</v>
      </c>
      <c r="D1170" s="191" t="s">
        <v>961</v>
      </c>
      <c r="E1170" s="191">
        <v>40745</v>
      </c>
      <c r="F1170" s="192" t="s">
        <v>922</v>
      </c>
      <c r="G1170" s="498" t="s">
        <v>1179</v>
      </c>
      <c r="H1170" s="193" t="s">
        <v>733</v>
      </c>
      <c r="I1170" s="256">
        <v>51</v>
      </c>
      <c r="J1170" s="256">
        <v>8450</v>
      </c>
      <c r="K1170" s="614">
        <v>430950</v>
      </c>
      <c r="L1170" s="194" t="s">
        <v>259</v>
      </c>
      <c r="M1170" s="194" t="s">
        <v>167</v>
      </c>
      <c r="N1170" s="52" t="str">
        <f>IF(AND('331-CT'!$E$7=TH!H1170,OR(L1170="331",M1170="331")),"331",IF(AND(OR(L1170="131",M1170="131"),H1170='131-CT'!$E$7),"131",""))</f>
        <v>131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894"/>
    </row>
    <row r="1171" spans="1:27" ht="15.75" customHeight="1">
      <c r="A1171" s="204" t="str">
        <f>IF(B1171&lt;&gt;"",IF(AND(B1171&gt;=_TM1,B1171&lt;=_TM2,OR(TH!L1171="1111",TH!M1171="1111")),TH!D1171,""),"")</f>
        <v/>
      </c>
      <c r="B1171" s="36">
        <f t="shared" si="83"/>
        <v>7</v>
      </c>
      <c r="C1171" s="191">
        <v>40745</v>
      </c>
      <c r="D1171" s="191" t="s">
        <v>961</v>
      </c>
      <c r="E1171" s="191">
        <v>40745</v>
      </c>
      <c r="F1171" s="192" t="s">
        <v>926</v>
      </c>
      <c r="G1171" s="498" t="s">
        <v>1179</v>
      </c>
      <c r="H1171" s="193" t="s">
        <v>733</v>
      </c>
      <c r="I1171" s="256">
        <v>90</v>
      </c>
      <c r="J1171" s="256">
        <v>9594</v>
      </c>
      <c r="K1171" s="614">
        <v>863460</v>
      </c>
      <c r="L1171" s="194" t="s">
        <v>259</v>
      </c>
      <c r="M1171" s="194" t="s">
        <v>167</v>
      </c>
      <c r="N1171" s="52" t="str">
        <f>IF(AND('331-CT'!$E$7=TH!H1171,OR(L1171="331",M1171="331")),"331",IF(AND(OR(L1171="131",M1171="131"),H1171='131-CT'!$E$7),"131",""))</f>
        <v>131</v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894"/>
    </row>
    <row r="1172" spans="1:27" ht="15.75" customHeight="1">
      <c r="A1172" s="204" t="str">
        <f>IF(B1172&lt;&gt;"",IF(AND(B1172&gt;=_TM1,B1172&lt;=_TM2,OR(TH!L1172="1111",TH!M1172="1111")),TH!D1172,""),"")</f>
        <v/>
      </c>
      <c r="B1172" s="36">
        <f t="shared" si="83"/>
        <v>7</v>
      </c>
      <c r="C1172" s="191">
        <v>40745</v>
      </c>
      <c r="D1172" s="191" t="s">
        <v>961</v>
      </c>
      <c r="E1172" s="191">
        <v>40745</v>
      </c>
      <c r="F1172" s="192" t="s">
        <v>1002</v>
      </c>
      <c r="G1172" s="498" t="s">
        <v>1179</v>
      </c>
      <c r="H1172" s="193" t="s">
        <v>733</v>
      </c>
      <c r="I1172" s="256">
        <v>669</v>
      </c>
      <c r="J1172" s="256">
        <v>14438</v>
      </c>
      <c r="K1172" s="614">
        <v>9659022</v>
      </c>
      <c r="L1172" s="194" t="s">
        <v>259</v>
      </c>
      <c r="M1172" s="194" t="s">
        <v>167</v>
      </c>
      <c r="N1172" s="52" t="str">
        <f>IF(AND('331-CT'!$E$7=TH!H1172,OR(L1172="331",M1172="331")),"331",IF(AND(OR(L1172="131",M1172="131"),H1172='131-CT'!$E$7),"131",""))</f>
        <v>131</v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894"/>
    </row>
    <row r="1173" spans="1:27" ht="15.75" customHeight="1">
      <c r="A1173" s="204" t="str">
        <f>IF(B1173&lt;&gt;"",IF(AND(B1173&gt;=_TM1,B1173&lt;=_TM2,OR(TH!L1173="1111",TH!M1173="1111")),TH!D1173,""),"")</f>
        <v/>
      </c>
      <c r="B1173" s="36">
        <f t="shared" si="83"/>
        <v>7</v>
      </c>
      <c r="C1173" s="191">
        <v>40745</v>
      </c>
      <c r="D1173" s="191" t="s">
        <v>961</v>
      </c>
      <c r="E1173" s="191">
        <v>40745</v>
      </c>
      <c r="F1173" s="192" t="s">
        <v>746</v>
      </c>
      <c r="G1173" s="498" t="s">
        <v>1179</v>
      </c>
      <c r="H1173" s="193" t="s">
        <v>733</v>
      </c>
      <c r="I1173" s="256">
        <v>176</v>
      </c>
      <c r="J1173" s="256">
        <v>10595</v>
      </c>
      <c r="K1173" s="614">
        <v>1864720</v>
      </c>
      <c r="L1173" s="194" t="s">
        <v>259</v>
      </c>
      <c r="M1173" s="194" t="s">
        <v>167</v>
      </c>
      <c r="N1173" s="52" t="str">
        <f>IF(AND('331-CT'!$E$7=TH!H1173,OR(L1173="331",M1173="331")),"331",IF(AND(OR(L1173="131",M1173="131"),H1173='131-CT'!$E$7),"131",""))</f>
        <v>131</v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894"/>
    </row>
    <row r="1174" spans="1:27" ht="15.75" customHeight="1">
      <c r="A1174" s="204" t="str">
        <f>IF(B1174&lt;&gt;"",IF(AND(B1174&gt;=_TM1,B1174&lt;=_TM2,OR(TH!L1174="1111",TH!M1174="1111")),TH!D1174,""),"")</f>
        <v/>
      </c>
      <c r="B1174" s="36">
        <f t="shared" si="83"/>
        <v>7</v>
      </c>
      <c r="C1174" s="191">
        <v>40745</v>
      </c>
      <c r="D1174" s="191" t="s">
        <v>961</v>
      </c>
      <c r="E1174" s="191">
        <v>40745</v>
      </c>
      <c r="F1174" s="192" t="s">
        <v>1176</v>
      </c>
      <c r="G1174" s="498" t="s">
        <v>1179</v>
      </c>
      <c r="H1174" s="193" t="s">
        <v>733</v>
      </c>
      <c r="I1174" s="256"/>
      <c r="J1174" s="256"/>
      <c r="K1174" s="614">
        <v>1563275</v>
      </c>
      <c r="L1174" s="194" t="s">
        <v>259</v>
      </c>
      <c r="M1174" s="194" t="s">
        <v>731</v>
      </c>
      <c r="N1174" s="52" t="str">
        <f>IF(AND('331-CT'!$E$7=TH!H1174,OR(L1174="331",M1174="331")),"331",IF(AND(OR(L1174="131",M1174="131"),H1174='131-CT'!$E$7),"131",""))</f>
        <v>131</v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894"/>
    </row>
    <row r="1175" spans="1:27" ht="15.75" customHeight="1">
      <c r="A1175" s="204" t="str">
        <f>IF(B1175&lt;&gt;"",IF(AND(B1175&gt;=_TM1,B1175&lt;=_TM2,OR(TH!L1175="1111",TH!M1175="1111")),TH!D1175,""),"")</f>
        <v/>
      </c>
      <c r="B1175" s="36">
        <f t="shared" si="83"/>
        <v>7</v>
      </c>
      <c r="C1175" s="37">
        <f t="shared" ref="C1175:C1207" si="88">E1175</f>
        <v>40745</v>
      </c>
      <c r="D1175" s="37" t="s">
        <v>956</v>
      </c>
      <c r="E1175" s="37">
        <v>40745</v>
      </c>
      <c r="F1175" s="40" t="s">
        <v>388</v>
      </c>
      <c r="G1175" s="40"/>
      <c r="H1175" s="628" t="s">
        <v>1092</v>
      </c>
      <c r="I1175" s="256">
        <v>50</v>
      </c>
      <c r="J1175" s="256">
        <v>24000</v>
      </c>
      <c r="K1175" s="614">
        <f t="shared" ref="K1175:K1207" si="89">ROUND(I1175*J1175,0)</f>
        <v>1200000</v>
      </c>
      <c r="L1175" s="39" t="s">
        <v>157</v>
      </c>
      <c r="M1175" s="39" t="s">
        <v>153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>x</v>
      </c>
      <c r="Z1175" s="52" t="str">
        <f>IF(AND(B1175&lt;=NKC!$N$8,B1175&gt;=NKC!$M$8),"x","")</f>
        <v>x</v>
      </c>
      <c r="AA1175" s="894"/>
    </row>
    <row r="1176" spans="1:27" ht="15.75" customHeight="1">
      <c r="A1176" s="204" t="str">
        <f>IF(B1176&lt;&gt;"",IF(AND(B1176&gt;=_TM1,B1176&lt;=_TM2,OR(TH!L1176="1111",TH!M1176="1111")),TH!D1176,""),"")</f>
        <v/>
      </c>
      <c r="B1176" s="36">
        <f t="shared" si="83"/>
        <v>7</v>
      </c>
      <c r="C1176" s="37">
        <f t="shared" si="88"/>
        <v>40745</v>
      </c>
      <c r="D1176" s="37" t="s">
        <v>1115</v>
      </c>
      <c r="E1176" s="37">
        <v>40745</v>
      </c>
      <c r="F1176" s="40" t="s">
        <v>747</v>
      </c>
      <c r="G1176" s="40"/>
      <c r="H1176" s="628" t="s">
        <v>1092</v>
      </c>
      <c r="I1176" s="256">
        <v>5</v>
      </c>
      <c r="J1176" s="256">
        <v>10373.798735153479</v>
      </c>
      <c r="K1176" s="614">
        <f t="shared" si="89"/>
        <v>51869</v>
      </c>
      <c r="L1176" s="39" t="s">
        <v>159</v>
      </c>
      <c r="M1176" s="39" t="s">
        <v>157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894"/>
    </row>
    <row r="1177" spans="1:27" ht="15.75" customHeight="1">
      <c r="A1177" s="204" t="str">
        <f>IF(B1177&lt;&gt;"",IF(AND(B1177&gt;=_TM1,B1177&lt;=_TM2,OR(TH!L1177="1111",TH!M1177="1111")),TH!D1177,""),"")</f>
        <v/>
      </c>
      <c r="B1177" s="36">
        <f t="shared" ref="B1177:B1240" si="90">IF(C1177&lt;&gt;"",MONTH(C1177),"")</f>
        <v>7</v>
      </c>
      <c r="C1177" s="37">
        <f t="shared" si="88"/>
        <v>40745</v>
      </c>
      <c r="D1177" s="37" t="s">
        <v>1115</v>
      </c>
      <c r="E1177" s="37">
        <v>40745</v>
      </c>
      <c r="F1177" s="40" t="s">
        <v>748</v>
      </c>
      <c r="G1177" s="40"/>
      <c r="H1177" s="628" t="s">
        <v>1092</v>
      </c>
      <c r="I1177" s="256">
        <v>1</v>
      </c>
      <c r="J1177" s="256">
        <v>10374.398735153478</v>
      </c>
      <c r="K1177" s="614">
        <f t="shared" si="89"/>
        <v>10374</v>
      </c>
      <c r="L1177" s="39" t="s">
        <v>159</v>
      </c>
      <c r="M1177" s="39" t="s">
        <v>157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894"/>
    </row>
    <row r="1178" spans="1:27" ht="15.75" customHeight="1">
      <c r="A1178" s="204" t="str">
        <f>IF(B1178&lt;&gt;"",IF(AND(B1178&gt;=_TM1,B1178&lt;=_TM2,OR(TH!L1178="1111",TH!M1178="1111")),TH!D1178,""),"")</f>
        <v/>
      </c>
      <c r="B1178" s="36">
        <f t="shared" si="90"/>
        <v>7</v>
      </c>
      <c r="C1178" s="37">
        <f t="shared" si="88"/>
        <v>40745</v>
      </c>
      <c r="D1178" s="37" t="s">
        <v>1115</v>
      </c>
      <c r="E1178" s="37">
        <v>40745</v>
      </c>
      <c r="F1178" s="40" t="s">
        <v>749</v>
      </c>
      <c r="G1178" s="40"/>
      <c r="H1178" s="628" t="s">
        <v>1092</v>
      </c>
      <c r="I1178" s="256">
        <v>1</v>
      </c>
      <c r="J1178" s="256">
        <v>10309.398735153478</v>
      </c>
      <c r="K1178" s="614">
        <f t="shared" si="89"/>
        <v>10309</v>
      </c>
      <c r="L1178" s="39" t="s">
        <v>159</v>
      </c>
      <c r="M1178" s="39" t="s">
        <v>157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894"/>
    </row>
    <row r="1179" spans="1:27" ht="15.75" customHeight="1">
      <c r="A1179" s="204" t="str">
        <f>IF(B1179&lt;&gt;"",IF(AND(B1179&gt;=_TM1,B1179&lt;=_TM2,OR(TH!L1179="1111",TH!M1179="1111")),TH!D1179,""),"")</f>
        <v/>
      </c>
      <c r="B1179" s="36">
        <f t="shared" si="90"/>
        <v>7</v>
      </c>
      <c r="C1179" s="37">
        <f t="shared" si="88"/>
        <v>40745</v>
      </c>
      <c r="D1179" s="37" t="s">
        <v>1115</v>
      </c>
      <c r="E1179" s="37">
        <v>40745</v>
      </c>
      <c r="F1179" s="40" t="s">
        <v>1002</v>
      </c>
      <c r="G1179" s="40"/>
      <c r="H1179" s="628" t="s">
        <v>1092</v>
      </c>
      <c r="I1179" s="256">
        <v>18</v>
      </c>
      <c r="J1179" s="256">
        <v>14175.39873515348</v>
      </c>
      <c r="K1179" s="614">
        <f t="shared" si="89"/>
        <v>255157</v>
      </c>
      <c r="L1179" s="39" t="s">
        <v>159</v>
      </c>
      <c r="M1179" s="39" t="s">
        <v>157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894"/>
    </row>
    <row r="1180" spans="1:27" ht="15.75" customHeight="1">
      <c r="A1180" s="204" t="str">
        <f>IF(B1180&lt;&gt;"",IF(AND(B1180&gt;=_TM1,B1180&lt;=_TM2,OR(TH!L1180="1111",TH!M1180="1111")),TH!D1180,""),"")</f>
        <v/>
      </c>
      <c r="B1180" s="36">
        <f t="shared" si="90"/>
        <v>7</v>
      </c>
      <c r="C1180" s="37">
        <f t="shared" si="88"/>
        <v>40745</v>
      </c>
      <c r="D1180" s="37" t="s">
        <v>1115</v>
      </c>
      <c r="E1180" s="37">
        <v>40745</v>
      </c>
      <c r="F1180" s="40" t="s">
        <v>750</v>
      </c>
      <c r="G1180" s="40"/>
      <c r="H1180" s="628" t="s">
        <v>1092</v>
      </c>
      <c r="I1180" s="256">
        <v>166</v>
      </c>
      <c r="J1180" s="256">
        <v>13625.398735153478</v>
      </c>
      <c r="K1180" s="614">
        <f t="shared" si="89"/>
        <v>2261816</v>
      </c>
      <c r="L1180" s="39" t="s">
        <v>159</v>
      </c>
      <c r="M1180" s="39" t="s">
        <v>157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894"/>
    </row>
    <row r="1181" spans="1:27" ht="15.75" customHeight="1">
      <c r="A1181" s="204" t="str">
        <f>IF(B1181&lt;&gt;"",IF(AND(B1181&gt;=_TM1,B1181&lt;=_TM2,OR(TH!L1181="1111",TH!M1181="1111")),TH!D1181,""),"")</f>
        <v/>
      </c>
      <c r="B1181" s="36">
        <f t="shared" si="90"/>
        <v>7</v>
      </c>
      <c r="C1181" s="37">
        <f t="shared" si="88"/>
        <v>40745</v>
      </c>
      <c r="D1181" s="37" t="s">
        <v>1115</v>
      </c>
      <c r="E1181" s="37">
        <v>40745</v>
      </c>
      <c r="F1181" s="192" t="s">
        <v>1297</v>
      </c>
      <c r="G1181" s="40"/>
      <c r="H1181" s="628" t="s">
        <v>1092</v>
      </c>
      <c r="I1181" s="256">
        <v>2</v>
      </c>
      <c r="J1181" s="256">
        <v>9362.3987351534779</v>
      </c>
      <c r="K1181" s="614">
        <f t="shared" si="89"/>
        <v>18725</v>
      </c>
      <c r="L1181" s="39" t="s">
        <v>159</v>
      </c>
      <c r="M1181" s="39" t="s">
        <v>157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894"/>
    </row>
    <row r="1182" spans="1:27" ht="15.75" customHeight="1">
      <c r="A1182" s="204" t="str">
        <f>IF(B1182&lt;&gt;"",IF(AND(B1182&gt;=_TM1,B1182&lt;=_TM2,OR(TH!L1182="1111",TH!M1182="1111")),TH!D1182,""),"")</f>
        <v/>
      </c>
      <c r="B1182" s="36">
        <f t="shared" si="90"/>
        <v>7</v>
      </c>
      <c r="C1182" s="37">
        <f t="shared" si="88"/>
        <v>40745</v>
      </c>
      <c r="D1182" s="37" t="s">
        <v>1115</v>
      </c>
      <c r="E1182" s="37">
        <v>40745</v>
      </c>
      <c r="F1182" s="40" t="s">
        <v>1004</v>
      </c>
      <c r="G1182" s="40"/>
      <c r="H1182" s="628" t="s">
        <v>1092</v>
      </c>
      <c r="I1182" s="256">
        <v>1</v>
      </c>
      <c r="J1182" s="256">
        <v>10374.398735153478</v>
      </c>
      <c r="K1182" s="614">
        <f t="shared" si="89"/>
        <v>10374</v>
      </c>
      <c r="L1182" s="39" t="s">
        <v>159</v>
      </c>
      <c r="M1182" s="39" t="s">
        <v>157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894"/>
    </row>
    <row r="1183" spans="1:27" ht="15.75" customHeight="1">
      <c r="A1183" s="204" t="str">
        <f>IF(B1183&lt;&gt;"",IF(AND(B1183&gt;=_TM1,B1183&lt;=_TM2,OR(TH!L1183="1111",TH!M1183="1111")),TH!D1183,""),"")</f>
        <v/>
      </c>
      <c r="B1183" s="36">
        <f t="shared" si="90"/>
        <v>7</v>
      </c>
      <c r="C1183" s="37">
        <f t="shared" si="88"/>
        <v>40745</v>
      </c>
      <c r="D1183" s="37" t="s">
        <v>1115</v>
      </c>
      <c r="E1183" s="37">
        <v>40745</v>
      </c>
      <c r="F1183" s="40" t="s">
        <v>751</v>
      </c>
      <c r="G1183" s="40"/>
      <c r="H1183" s="628" t="s">
        <v>1092</v>
      </c>
      <c r="I1183" s="256">
        <v>4</v>
      </c>
      <c r="J1183" s="256">
        <v>12825.398735153478</v>
      </c>
      <c r="K1183" s="614">
        <f t="shared" si="89"/>
        <v>51302</v>
      </c>
      <c r="L1183" s="39" t="s">
        <v>159</v>
      </c>
      <c r="M1183" s="39" t="s">
        <v>157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94"/>
    </row>
    <row r="1184" spans="1:27" ht="15.75" customHeight="1">
      <c r="A1184" s="204" t="str">
        <f>IF(B1184&lt;&gt;"",IF(AND(B1184&gt;=_TM1,B1184&lt;=_TM2,OR(TH!L1184="1111",TH!M1184="1111")),TH!D1184,""),"")</f>
        <v/>
      </c>
      <c r="B1184" s="36">
        <f t="shared" si="90"/>
        <v>7</v>
      </c>
      <c r="C1184" s="37">
        <f t="shared" si="88"/>
        <v>40745</v>
      </c>
      <c r="D1184" s="37" t="s">
        <v>1115</v>
      </c>
      <c r="E1184" s="37">
        <v>40745</v>
      </c>
      <c r="F1184" s="40" t="s">
        <v>1005</v>
      </c>
      <c r="G1184" s="40"/>
      <c r="H1184" s="628" t="s">
        <v>1092</v>
      </c>
      <c r="I1184" s="256">
        <v>3</v>
      </c>
      <c r="J1184" s="256">
        <v>14080.398735153476</v>
      </c>
      <c r="K1184" s="614">
        <f t="shared" si="89"/>
        <v>42241</v>
      </c>
      <c r="L1184" s="39" t="s">
        <v>159</v>
      </c>
      <c r="M1184" s="39" t="s">
        <v>157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94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>
        <f t="shared" si="90"/>
        <v>7</v>
      </c>
      <c r="C1185" s="37">
        <f t="shared" si="88"/>
        <v>40745</v>
      </c>
      <c r="D1185" s="37" t="s">
        <v>1116</v>
      </c>
      <c r="E1185" s="37">
        <v>40745</v>
      </c>
      <c r="F1185" s="40" t="s">
        <v>752</v>
      </c>
      <c r="G1185" s="40"/>
      <c r="H1185" s="628" t="s">
        <v>1092</v>
      </c>
      <c r="I1185" s="256">
        <v>3</v>
      </c>
      <c r="J1185" s="256">
        <v>14080.398735153476</v>
      </c>
      <c r="K1185" s="614">
        <f t="shared" si="89"/>
        <v>42241</v>
      </c>
      <c r="L1185" s="39" t="s">
        <v>159</v>
      </c>
      <c r="M1185" s="39" t="s">
        <v>157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94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>
        <f t="shared" si="90"/>
        <v>7</v>
      </c>
      <c r="C1186" s="37">
        <f t="shared" si="88"/>
        <v>40745</v>
      </c>
      <c r="D1186" s="37" t="s">
        <v>1116</v>
      </c>
      <c r="E1186" s="37">
        <v>40745</v>
      </c>
      <c r="F1186" s="40" t="s">
        <v>1006</v>
      </c>
      <c r="G1186" s="40"/>
      <c r="H1186" s="628" t="s">
        <v>1092</v>
      </c>
      <c r="I1186" s="256">
        <v>107</v>
      </c>
      <c r="J1186" s="256">
        <v>13731.968828611421</v>
      </c>
      <c r="K1186" s="614">
        <f t="shared" si="89"/>
        <v>1469321</v>
      </c>
      <c r="L1186" s="39" t="s">
        <v>159</v>
      </c>
      <c r="M1186" s="39" t="s">
        <v>157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94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>
        <f t="shared" si="90"/>
        <v>7</v>
      </c>
      <c r="C1187" s="37">
        <f t="shared" si="88"/>
        <v>40745</v>
      </c>
      <c r="D1187" s="37" t="s">
        <v>1116</v>
      </c>
      <c r="E1187" s="37">
        <v>40745</v>
      </c>
      <c r="F1187" s="40" t="s">
        <v>1007</v>
      </c>
      <c r="G1187" s="40"/>
      <c r="H1187" s="628" t="s">
        <v>1092</v>
      </c>
      <c r="I1187" s="256">
        <v>83</v>
      </c>
      <c r="J1187" s="256">
        <v>10606.651747201671</v>
      </c>
      <c r="K1187" s="614">
        <f t="shared" si="89"/>
        <v>880352</v>
      </c>
      <c r="L1187" s="39" t="s">
        <v>159</v>
      </c>
      <c r="M1187" s="39" t="s">
        <v>157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94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>
        <f t="shared" si="90"/>
        <v>7</v>
      </c>
      <c r="C1188" s="37">
        <f t="shared" si="88"/>
        <v>40745</v>
      </c>
      <c r="D1188" s="37" t="s">
        <v>1116</v>
      </c>
      <c r="E1188" s="37">
        <v>40745</v>
      </c>
      <c r="F1188" s="192" t="s">
        <v>922</v>
      </c>
      <c r="G1188" s="40"/>
      <c r="H1188" s="628" t="s">
        <v>1092</v>
      </c>
      <c r="I1188" s="256">
        <v>51</v>
      </c>
      <c r="J1188" s="256">
        <v>7394.3987351534797</v>
      </c>
      <c r="K1188" s="614">
        <f t="shared" si="89"/>
        <v>377114</v>
      </c>
      <c r="L1188" s="39" t="s">
        <v>159</v>
      </c>
      <c r="M1188" s="39" t="s">
        <v>157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94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>
        <f t="shared" si="90"/>
        <v>7</v>
      </c>
      <c r="C1189" s="37">
        <f t="shared" si="88"/>
        <v>40745</v>
      </c>
      <c r="D1189" s="37" t="s">
        <v>1116</v>
      </c>
      <c r="E1189" s="37">
        <v>40745</v>
      </c>
      <c r="F1189" s="192" t="s">
        <v>926</v>
      </c>
      <c r="G1189" s="40"/>
      <c r="H1189" s="628" t="s">
        <v>1092</v>
      </c>
      <c r="I1189" s="256">
        <v>90</v>
      </c>
      <c r="J1189" s="256">
        <v>8248.3987351534779</v>
      </c>
      <c r="K1189" s="614">
        <f t="shared" si="89"/>
        <v>742356</v>
      </c>
      <c r="L1189" s="39" t="s">
        <v>159</v>
      </c>
      <c r="M1189" s="39" t="s">
        <v>157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94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>
        <f t="shared" si="90"/>
        <v>7</v>
      </c>
      <c r="C1190" s="37">
        <f t="shared" si="88"/>
        <v>40745</v>
      </c>
      <c r="D1190" s="37" t="s">
        <v>1116</v>
      </c>
      <c r="E1190" s="37">
        <v>40745</v>
      </c>
      <c r="F1190" s="40" t="s">
        <v>1002</v>
      </c>
      <c r="G1190" s="40"/>
      <c r="H1190" s="628" t="s">
        <v>1092</v>
      </c>
      <c r="I1190" s="256">
        <v>669</v>
      </c>
      <c r="J1190" s="256">
        <v>12965.933862208785</v>
      </c>
      <c r="K1190" s="614">
        <f t="shared" si="89"/>
        <v>8674210</v>
      </c>
      <c r="L1190" s="39" t="s">
        <v>159</v>
      </c>
      <c r="M1190" s="39" t="s">
        <v>157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94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>
        <f t="shared" si="90"/>
        <v>7</v>
      </c>
      <c r="C1191" s="37">
        <f t="shared" si="88"/>
        <v>40745</v>
      </c>
      <c r="D1191" s="37" t="s">
        <v>1116</v>
      </c>
      <c r="E1191" s="37">
        <v>40745</v>
      </c>
      <c r="F1191" s="40" t="s">
        <v>746</v>
      </c>
      <c r="G1191" s="40"/>
      <c r="H1191" s="628" t="s">
        <v>1092</v>
      </c>
      <c r="I1191" s="256">
        <v>176</v>
      </c>
      <c r="J1191" s="256">
        <v>8248.3987351534761</v>
      </c>
      <c r="K1191" s="614">
        <f t="shared" si="89"/>
        <v>1451718</v>
      </c>
      <c r="L1191" s="39" t="s">
        <v>159</v>
      </c>
      <c r="M1191" s="39" t="s">
        <v>157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94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>
        <f t="shared" si="90"/>
        <v>7</v>
      </c>
      <c r="C1192" s="37">
        <f t="shared" si="88"/>
        <v>40745</v>
      </c>
      <c r="D1192" s="37" t="s">
        <v>960</v>
      </c>
      <c r="E1192" s="37">
        <v>40745</v>
      </c>
      <c r="F1192" s="40" t="s">
        <v>747</v>
      </c>
      <c r="G1192" s="40" t="s">
        <v>1178</v>
      </c>
      <c r="H1192" s="628" t="s">
        <v>733</v>
      </c>
      <c r="I1192" s="256">
        <v>5</v>
      </c>
      <c r="J1192" s="256">
        <v>10373.798735153479</v>
      </c>
      <c r="K1192" s="614">
        <f t="shared" si="89"/>
        <v>51869</v>
      </c>
      <c r="L1192" s="39" t="s">
        <v>165</v>
      </c>
      <c r="M1192" s="39" t="s">
        <v>159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94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>
        <f t="shared" si="90"/>
        <v>7</v>
      </c>
      <c r="C1193" s="37">
        <f t="shared" si="88"/>
        <v>40745</v>
      </c>
      <c r="D1193" s="37" t="s">
        <v>960</v>
      </c>
      <c r="E1193" s="37">
        <v>40745</v>
      </c>
      <c r="F1193" s="40" t="s">
        <v>748</v>
      </c>
      <c r="G1193" s="40" t="s">
        <v>1178</v>
      </c>
      <c r="H1193" s="628" t="s">
        <v>733</v>
      </c>
      <c r="I1193" s="256">
        <v>1</v>
      </c>
      <c r="J1193" s="256">
        <v>10374.398735153478</v>
      </c>
      <c r="K1193" s="614">
        <f t="shared" si="89"/>
        <v>10374</v>
      </c>
      <c r="L1193" s="39" t="s">
        <v>165</v>
      </c>
      <c r="M1193" s="39" t="s">
        <v>159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94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>
        <f t="shared" si="90"/>
        <v>7</v>
      </c>
      <c r="C1194" s="37">
        <f t="shared" si="88"/>
        <v>40745</v>
      </c>
      <c r="D1194" s="37" t="s">
        <v>960</v>
      </c>
      <c r="E1194" s="37">
        <v>40745</v>
      </c>
      <c r="F1194" s="40" t="s">
        <v>749</v>
      </c>
      <c r="G1194" s="40" t="s">
        <v>1178</v>
      </c>
      <c r="H1194" s="628" t="s">
        <v>733</v>
      </c>
      <c r="I1194" s="256">
        <v>1</v>
      </c>
      <c r="J1194" s="256">
        <v>10309.398735153478</v>
      </c>
      <c r="K1194" s="614">
        <f t="shared" si="89"/>
        <v>10309</v>
      </c>
      <c r="L1194" s="39" t="s">
        <v>165</v>
      </c>
      <c r="M1194" s="39" t="s">
        <v>159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94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>
        <f t="shared" si="90"/>
        <v>7</v>
      </c>
      <c r="C1195" s="37">
        <f t="shared" si="88"/>
        <v>40745</v>
      </c>
      <c r="D1195" s="37" t="s">
        <v>960</v>
      </c>
      <c r="E1195" s="37">
        <v>40745</v>
      </c>
      <c r="F1195" s="40" t="s">
        <v>1002</v>
      </c>
      <c r="G1195" s="40" t="s">
        <v>1178</v>
      </c>
      <c r="H1195" s="628" t="s">
        <v>733</v>
      </c>
      <c r="I1195" s="256">
        <v>18</v>
      </c>
      <c r="J1195" s="256">
        <v>14175.39873515348</v>
      </c>
      <c r="K1195" s="614">
        <f t="shared" si="89"/>
        <v>255157</v>
      </c>
      <c r="L1195" s="39" t="s">
        <v>165</v>
      </c>
      <c r="M1195" s="39" t="s">
        <v>159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94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>
        <f t="shared" si="90"/>
        <v>7</v>
      </c>
      <c r="C1196" s="37">
        <f t="shared" si="88"/>
        <v>40745</v>
      </c>
      <c r="D1196" s="37" t="s">
        <v>960</v>
      </c>
      <c r="E1196" s="37">
        <v>40745</v>
      </c>
      <c r="F1196" s="40" t="s">
        <v>750</v>
      </c>
      <c r="G1196" s="40" t="s">
        <v>1178</v>
      </c>
      <c r="H1196" s="628" t="s">
        <v>733</v>
      </c>
      <c r="I1196" s="256">
        <v>166</v>
      </c>
      <c r="J1196" s="256">
        <v>13625.398735153478</v>
      </c>
      <c r="K1196" s="614">
        <f t="shared" si="89"/>
        <v>2261816</v>
      </c>
      <c r="L1196" s="39" t="s">
        <v>165</v>
      </c>
      <c r="M1196" s="39" t="s">
        <v>159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94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>
        <f t="shared" si="90"/>
        <v>7</v>
      </c>
      <c r="C1197" s="37">
        <f t="shared" si="88"/>
        <v>40745</v>
      </c>
      <c r="D1197" s="37" t="s">
        <v>960</v>
      </c>
      <c r="E1197" s="37">
        <v>40745</v>
      </c>
      <c r="F1197" s="192" t="s">
        <v>1297</v>
      </c>
      <c r="G1197" s="40" t="s">
        <v>1178</v>
      </c>
      <c r="H1197" s="628" t="s">
        <v>733</v>
      </c>
      <c r="I1197" s="256">
        <v>2</v>
      </c>
      <c r="J1197" s="256">
        <v>9362.3987351534779</v>
      </c>
      <c r="K1197" s="614">
        <f t="shared" si="89"/>
        <v>18725</v>
      </c>
      <c r="L1197" s="39" t="s">
        <v>165</v>
      </c>
      <c r="M1197" s="39" t="s">
        <v>159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94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>
        <f t="shared" si="90"/>
        <v>7</v>
      </c>
      <c r="C1198" s="37">
        <f t="shared" si="88"/>
        <v>40745</v>
      </c>
      <c r="D1198" s="37" t="s">
        <v>960</v>
      </c>
      <c r="E1198" s="37">
        <v>40745</v>
      </c>
      <c r="F1198" s="40" t="s">
        <v>1004</v>
      </c>
      <c r="G1198" s="40" t="s">
        <v>1178</v>
      </c>
      <c r="H1198" s="628" t="s">
        <v>733</v>
      </c>
      <c r="I1198" s="256">
        <v>1</v>
      </c>
      <c r="J1198" s="256">
        <v>10374.398735153478</v>
      </c>
      <c r="K1198" s="614">
        <f t="shared" si="89"/>
        <v>10374</v>
      </c>
      <c r="L1198" s="39" t="s">
        <v>165</v>
      </c>
      <c r="M1198" s="39" t="s">
        <v>159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94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>
        <f t="shared" si="90"/>
        <v>7</v>
      </c>
      <c r="C1199" s="37">
        <f t="shared" si="88"/>
        <v>40745</v>
      </c>
      <c r="D1199" s="37" t="s">
        <v>960</v>
      </c>
      <c r="E1199" s="37">
        <v>40745</v>
      </c>
      <c r="F1199" s="40" t="s">
        <v>751</v>
      </c>
      <c r="G1199" s="40" t="s">
        <v>1178</v>
      </c>
      <c r="H1199" s="628" t="s">
        <v>733</v>
      </c>
      <c r="I1199" s="256">
        <v>4</v>
      </c>
      <c r="J1199" s="256">
        <v>12825.398735153478</v>
      </c>
      <c r="K1199" s="614">
        <f t="shared" si="89"/>
        <v>51302</v>
      </c>
      <c r="L1199" s="39" t="s">
        <v>165</v>
      </c>
      <c r="M1199" s="39" t="s">
        <v>159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894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>
        <f t="shared" si="90"/>
        <v>7</v>
      </c>
      <c r="C1200" s="37">
        <f t="shared" si="88"/>
        <v>40745</v>
      </c>
      <c r="D1200" s="37" t="s">
        <v>961</v>
      </c>
      <c r="E1200" s="37">
        <v>40745</v>
      </c>
      <c r="F1200" s="40" t="s">
        <v>1005</v>
      </c>
      <c r="G1200" s="40" t="s">
        <v>1179</v>
      </c>
      <c r="H1200" s="628" t="s">
        <v>733</v>
      </c>
      <c r="I1200" s="256">
        <v>3</v>
      </c>
      <c r="J1200" s="256">
        <v>14080.398735153476</v>
      </c>
      <c r="K1200" s="614">
        <f t="shared" si="89"/>
        <v>42241</v>
      </c>
      <c r="L1200" s="39" t="s">
        <v>165</v>
      </c>
      <c r="M1200" s="39" t="s">
        <v>159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894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>
        <f t="shared" si="90"/>
        <v>7</v>
      </c>
      <c r="C1201" s="37">
        <f t="shared" si="88"/>
        <v>40745</v>
      </c>
      <c r="D1201" s="37" t="s">
        <v>961</v>
      </c>
      <c r="E1201" s="37">
        <v>40745</v>
      </c>
      <c r="F1201" s="40" t="s">
        <v>752</v>
      </c>
      <c r="G1201" s="40" t="s">
        <v>1179</v>
      </c>
      <c r="H1201" s="628" t="s">
        <v>733</v>
      </c>
      <c r="I1201" s="256">
        <v>3</v>
      </c>
      <c r="J1201" s="256">
        <v>14080.398735153476</v>
      </c>
      <c r="K1201" s="614">
        <f t="shared" si="89"/>
        <v>42241</v>
      </c>
      <c r="L1201" s="39" t="s">
        <v>165</v>
      </c>
      <c r="M1201" s="39" t="s">
        <v>159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894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>
        <f t="shared" si="90"/>
        <v>7</v>
      </c>
      <c r="C1202" s="37">
        <f t="shared" si="88"/>
        <v>40745</v>
      </c>
      <c r="D1202" s="37" t="s">
        <v>961</v>
      </c>
      <c r="E1202" s="37">
        <v>40745</v>
      </c>
      <c r="F1202" s="40" t="s">
        <v>1006</v>
      </c>
      <c r="G1202" s="40" t="s">
        <v>1179</v>
      </c>
      <c r="H1202" s="628" t="s">
        <v>733</v>
      </c>
      <c r="I1202" s="256">
        <v>107</v>
      </c>
      <c r="J1202" s="256">
        <v>13731.968828611421</v>
      </c>
      <c r="K1202" s="614">
        <f t="shared" si="89"/>
        <v>1469321</v>
      </c>
      <c r="L1202" s="39" t="s">
        <v>165</v>
      </c>
      <c r="M1202" s="39" t="s">
        <v>159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894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>
        <f t="shared" si="90"/>
        <v>7</v>
      </c>
      <c r="C1203" s="37">
        <f t="shared" si="88"/>
        <v>40745</v>
      </c>
      <c r="D1203" s="37" t="s">
        <v>961</v>
      </c>
      <c r="E1203" s="37">
        <v>40745</v>
      </c>
      <c r="F1203" s="40" t="s">
        <v>1007</v>
      </c>
      <c r="G1203" s="40" t="s">
        <v>1179</v>
      </c>
      <c r="H1203" s="628" t="s">
        <v>733</v>
      </c>
      <c r="I1203" s="256">
        <v>83</v>
      </c>
      <c r="J1203" s="256">
        <v>10606.651747201671</v>
      </c>
      <c r="K1203" s="614">
        <f t="shared" si="89"/>
        <v>880352</v>
      </c>
      <c r="L1203" s="39" t="s">
        <v>165</v>
      </c>
      <c r="M1203" s="39" t="s">
        <v>159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894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>
        <f t="shared" si="90"/>
        <v>7</v>
      </c>
      <c r="C1204" s="37">
        <f t="shared" si="88"/>
        <v>40745</v>
      </c>
      <c r="D1204" s="37" t="s">
        <v>961</v>
      </c>
      <c r="E1204" s="37">
        <v>40745</v>
      </c>
      <c r="F1204" s="192" t="s">
        <v>922</v>
      </c>
      <c r="G1204" s="40" t="s">
        <v>1179</v>
      </c>
      <c r="H1204" s="628" t="s">
        <v>733</v>
      </c>
      <c r="I1204" s="256">
        <v>51</v>
      </c>
      <c r="J1204" s="256">
        <v>7394.3987351534797</v>
      </c>
      <c r="K1204" s="614">
        <f t="shared" si="89"/>
        <v>377114</v>
      </c>
      <c r="L1204" s="39" t="s">
        <v>165</v>
      </c>
      <c r="M1204" s="39" t="s">
        <v>159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894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>
        <f t="shared" si="90"/>
        <v>7</v>
      </c>
      <c r="C1205" s="37">
        <f t="shared" si="88"/>
        <v>40745</v>
      </c>
      <c r="D1205" s="37" t="s">
        <v>961</v>
      </c>
      <c r="E1205" s="37">
        <v>40745</v>
      </c>
      <c r="F1205" s="192" t="s">
        <v>926</v>
      </c>
      <c r="G1205" s="40" t="s">
        <v>1179</v>
      </c>
      <c r="H1205" s="628" t="s">
        <v>733</v>
      </c>
      <c r="I1205" s="256">
        <v>90</v>
      </c>
      <c r="J1205" s="256">
        <v>8248.3987351534779</v>
      </c>
      <c r="K1205" s="614">
        <f t="shared" si="89"/>
        <v>742356</v>
      </c>
      <c r="L1205" s="39" t="s">
        <v>165</v>
      </c>
      <c r="M1205" s="39" t="s">
        <v>159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94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>
        <f t="shared" si="90"/>
        <v>7</v>
      </c>
      <c r="C1206" s="37">
        <f t="shared" si="88"/>
        <v>40745</v>
      </c>
      <c r="D1206" s="37" t="s">
        <v>961</v>
      </c>
      <c r="E1206" s="37">
        <v>40745</v>
      </c>
      <c r="F1206" s="40" t="s">
        <v>1002</v>
      </c>
      <c r="G1206" s="40" t="s">
        <v>1179</v>
      </c>
      <c r="H1206" s="628" t="s">
        <v>733</v>
      </c>
      <c r="I1206" s="256">
        <v>669</v>
      </c>
      <c r="J1206" s="256">
        <v>12965.933862208785</v>
      </c>
      <c r="K1206" s="614">
        <f t="shared" si="89"/>
        <v>8674210</v>
      </c>
      <c r="L1206" s="39" t="s">
        <v>165</v>
      </c>
      <c r="M1206" s="39" t="s">
        <v>159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94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>
        <f t="shared" si="90"/>
        <v>7</v>
      </c>
      <c r="C1207" s="37">
        <f t="shared" si="88"/>
        <v>40745</v>
      </c>
      <c r="D1207" s="37" t="s">
        <v>961</v>
      </c>
      <c r="E1207" s="37">
        <v>40745</v>
      </c>
      <c r="F1207" s="40" t="s">
        <v>746</v>
      </c>
      <c r="G1207" s="40" t="s">
        <v>1179</v>
      </c>
      <c r="H1207" s="628" t="s">
        <v>733</v>
      </c>
      <c r="I1207" s="256">
        <v>176</v>
      </c>
      <c r="J1207" s="256">
        <v>8248.3987351534761</v>
      </c>
      <c r="K1207" s="614">
        <f t="shared" si="89"/>
        <v>1451718</v>
      </c>
      <c r="L1207" s="39" t="s">
        <v>165</v>
      </c>
      <c r="M1207" s="39" t="s">
        <v>159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94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>
        <f t="shared" si="90"/>
        <v>7</v>
      </c>
      <c r="C1208" s="191">
        <v>40746</v>
      </c>
      <c r="D1208" s="191" t="s">
        <v>964</v>
      </c>
      <c r="E1208" s="191">
        <v>40746</v>
      </c>
      <c r="F1208" s="192" t="s">
        <v>995</v>
      </c>
      <c r="G1208" s="498" t="s">
        <v>1180</v>
      </c>
      <c r="H1208" s="193" t="s">
        <v>733</v>
      </c>
      <c r="I1208" s="256">
        <v>50</v>
      </c>
      <c r="J1208" s="256">
        <v>9793</v>
      </c>
      <c r="K1208" s="614">
        <v>489650</v>
      </c>
      <c r="L1208" s="194" t="s">
        <v>259</v>
      </c>
      <c r="M1208" s="194" t="s">
        <v>167</v>
      </c>
      <c r="N1208" s="52" t="str">
        <f>IF(AND('331-CT'!$E$7=TH!H1208,OR(L1208="331",M1208="331")),"331",IF(AND(OR(L1208="131",M1208="131"),H1208='131-CT'!$E$7),"131",""))</f>
        <v>131</v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94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>
        <f t="shared" si="90"/>
        <v>7</v>
      </c>
      <c r="C1209" s="191">
        <v>40746</v>
      </c>
      <c r="D1209" s="191" t="s">
        <v>964</v>
      </c>
      <c r="E1209" s="191">
        <v>40746</v>
      </c>
      <c r="F1209" s="192" t="s">
        <v>751</v>
      </c>
      <c r="G1209" s="498" t="s">
        <v>1180</v>
      </c>
      <c r="H1209" s="193" t="s">
        <v>733</v>
      </c>
      <c r="I1209" s="256">
        <v>46</v>
      </c>
      <c r="J1209" s="256">
        <v>14010</v>
      </c>
      <c r="K1209" s="614">
        <v>644460</v>
      </c>
      <c r="L1209" s="194" t="s">
        <v>259</v>
      </c>
      <c r="M1209" s="194" t="s">
        <v>167</v>
      </c>
      <c r="N1209" s="52" t="str">
        <f>IF(AND('331-CT'!$E$7=TH!H1209,OR(L1209="331",M1209="331")),"331",IF(AND(OR(L1209="131",M1209="131"),H1209='131-CT'!$E$7),"131",""))</f>
        <v>131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94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>
        <f t="shared" si="90"/>
        <v>7</v>
      </c>
      <c r="C1210" s="191">
        <v>40746</v>
      </c>
      <c r="D1210" s="191" t="s">
        <v>964</v>
      </c>
      <c r="E1210" s="191">
        <v>40746</v>
      </c>
      <c r="F1210" s="192" t="s">
        <v>1009</v>
      </c>
      <c r="G1210" s="498" t="s">
        <v>1180</v>
      </c>
      <c r="H1210" s="193" t="s">
        <v>733</v>
      </c>
      <c r="I1210" s="258">
        <v>68</v>
      </c>
      <c r="J1210" s="258">
        <v>11067</v>
      </c>
      <c r="K1210" s="614">
        <v>752556</v>
      </c>
      <c r="L1210" s="194" t="s">
        <v>259</v>
      </c>
      <c r="M1210" s="194" t="s">
        <v>167</v>
      </c>
      <c r="N1210" s="52" t="str">
        <f>IF(AND('331-CT'!$E$7=TH!H1210,OR(L1210="331",M1210="331")),"331",IF(AND(OR(L1210="131",M1210="131"),H1210='131-CT'!$E$7),"131",""))</f>
        <v>131</v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94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>
        <f t="shared" si="90"/>
        <v>7</v>
      </c>
      <c r="C1211" s="191">
        <v>40746</v>
      </c>
      <c r="D1211" s="191" t="s">
        <v>964</v>
      </c>
      <c r="E1211" s="191">
        <v>40746</v>
      </c>
      <c r="F1211" s="192" t="s">
        <v>753</v>
      </c>
      <c r="G1211" s="498" t="s">
        <v>1180</v>
      </c>
      <c r="H1211" s="193" t="s">
        <v>733</v>
      </c>
      <c r="I1211" s="256">
        <v>50</v>
      </c>
      <c r="J1211" s="256">
        <v>16713</v>
      </c>
      <c r="K1211" s="614">
        <v>835650</v>
      </c>
      <c r="L1211" s="194" t="s">
        <v>259</v>
      </c>
      <c r="M1211" s="194" t="s">
        <v>167</v>
      </c>
      <c r="N1211" s="52" t="str">
        <f>IF(AND('331-CT'!$E$7=TH!H1211,OR(L1211="331",M1211="331")),"331",IF(AND(OR(L1211="131",M1211="131"),H1211='131-CT'!$E$7),"131",""))</f>
        <v>131</v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94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>
        <f t="shared" si="90"/>
        <v>7</v>
      </c>
      <c r="C1212" s="191">
        <v>40746</v>
      </c>
      <c r="D1212" s="191" t="s">
        <v>964</v>
      </c>
      <c r="E1212" s="191">
        <v>40746</v>
      </c>
      <c r="F1212" s="192" t="s">
        <v>754</v>
      </c>
      <c r="G1212" s="498" t="s">
        <v>1180</v>
      </c>
      <c r="H1212" s="193" t="s">
        <v>733</v>
      </c>
      <c r="I1212" s="256">
        <v>2</v>
      </c>
      <c r="J1212" s="256">
        <v>12207</v>
      </c>
      <c r="K1212" s="614">
        <v>24414</v>
      </c>
      <c r="L1212" s="194" t="s">
        <v>259</v>
      </c>
      <c r="M1212" s="194" t="s">
        <v>167</v>
      </c>
      <c r="N1212" s="52" t="str">
        <f>IF(AND('331-CT'!$E$7=TH!H1212,OR(L1212="331",M1212="331")),"331",IF(AND(OR(L1212="131",M1212="131"),H1212='131-CT'!$E$7),"131",""))</f>
        <v>131</v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94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>
        <f t="shared" si="90"/>
        <v>7</v>
      </c>
      <c r="C1213" s="191">
        <v>40746</v>
      </c>
      <c r="D1213" s="191" t="s">
        <v>964</v>
      </c>
      <c r="E1213" s="191">
        <v>40746</v>
      </c>
      <c r="F1213" s="192" t="s">
        <v>1010</v>
      </c>
      <c r="G1213" s="498" t="s">
        <v>1180</v>
      </c>
      <c r="H1213" s="193" t="s">
        <v>733</v>
      </c>
      <c r="I1213" s="256">
        <v>1</v>
      </c>
      <c r="J1213" s="256">
        <v>13099</v>
      </c>
      <c r="K1213" s="614">
        <v>13099</v>
      </c>
      <c r="L1213" s="194" t="s">
        <v>259</v>
      </c>
      <c r="M1213" s="194" t="s">
        <v>167</v>
      </c>
      <c r="N1213" s="52" t="str">
        <f>IF(AND('331-CT'!$E$7=TH!H1213,OR(L1213="331",M1213="331")),"331",IF(AND(OR(L1213="131",M1213="131"),H1213='131-CT'!$E$7),"131",""))</f>
        <v>131</v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94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>
        <f t="shared" si="90"/>
        <v>7</v>
      </c>
      <c r="C1214" s="191">
        <v>40746</v>
      </c>
      <c r="D1214" s="191" t="s">
        <v>964</v>
      </c>
      <c r="E1214" s="191">
        <v>40746</v>
      </c>
      <c r="F1214" s="192" t="s">
        <v>755</v>
      </c>
      <c r="G1214" s="498" t="s">
        <v>1180</v>
      </c>
      <c r="H1214" s="193" t="s">
        <v>733</v>
      </c>
      <c r="I1214" s="256">
        <v>5</v>
      </c>
      <c r="J1214" s="256">
        <v>12179</v>
      </c>
      <c r="K1214" s="614">
        <v>60895</v>
      </c>
      <c r="L1214" s="194" t="s">
        <v>259</v>
      </c>
      <c r="M1214" s="194" t="s">
        <v>167</v>
      </c>
      <c r="N1214" s="52" t="str">
        <f>IF(AND('331-CT'!$E$7=TH!H1214,OR(L1214="331",M1214="331")),"331",IF(AND(OR(L1214="131",M1214="131"),H1214='131-CT'!$E$7),"131",""))</f>
        <v>131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94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>
        <f t="shared" si="90"/>
        <v>7</v>
      </c>
      <c r="C1215" s="191">
        <v>40746</v>
      </c>
      <c r="D1215" s="191" t="s">
        <v>964</v>
      </c>
      <c r="E1215" s="191">
        <v>40746</v>
      </c>
      <c r="F1215" s="192" t="s">
        <v>748</v>
      </c>
      <c r="G1215" s="498" t="s">
        <v>1180</v>
      </c>
      <c r="H1215" s="193" t="s">
        <v>733</v>
      </c>
      <c r="I1215" s="256">
        <v>6</v>
      </c>
      <c r="J1215" s="256">
        <v>10253</v>
      </c>
      <c r="K1215" s="614">
        <v>61518</v>
      </c>
      <c r="L1215" s="194" t="s">
        <v>259</v>
      </c>
      <c r="M1215" s="194" t="s">
        <v>167</v>
      </c>
      <c r="N1215" s="52" t="str">
        <f>IF(AND('331-CT'!$E$7=TH!H1215,OR(L1215="331",M1215="331")),"331",IF(AND(OR(L1215="131",M1215="131"),H1215='131-CT'!$E$7),"131",""))</f>
        <v>131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94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>
        <f t="shared" si="90"/>
        <v>7</v>
      </c>
      <c r="C1216" s="191">
        <v>40746</v>
      </c>
      <c r="D1216" s="191" t="s">
        <v>964</v>
      </c>
      <c r="E1216" s="191">
        <v>40746</v>
      </c>
      <c r="F1216" s="192" t="s">
        <v>1176</v>
      </c>
      <c r="G1216" s="498" t="s">
        <v>1180</v>
      </c>
      <c r="H1216" s="193" t="s">
        <v>733</v>
      </c>
      <c r="I1216" s="256"/>
      <c r="J1216" s="256"/>
      <c r="K1216" s="614">
        <v>288224</v>
      </c>
      <c r="L1216" s="194" t="s">
        <v>259</v>
      </c>
      <c r="M1216" s="194" t="s">
        <v>731</v>
      </c>
      <c r="N1216" s="52" t="str">
        <f>IF(AND('331-CT'!$E$7=TH!H1216,OR(L1216="331",M1216="331")),"331",IF(AND(OR(L1216="131",M1216="131"),H1216='131-CT'!$E$7),"131",""))</f>
        <v>131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94"/>
    </row>
    <row r="1217" spans="1:27" ht="15.75" customHeight="1">
      <c r="A1217" s="204" t="str">
        <f>IF(B1217&lt;&gt;"",IF(AND(B1217&gt;=_TM1,B1217&lt;=_TM2,OR(TH!L1217="1111",TH!M1217="1111")),TH!D1217,""),"")</f>
        <v/>
      </c>
      <c r="B1217" s="36">
        <f t="shared" si="90"/>
        <v>7</v>
      </c>
      <c r="C1217" s="37">
        <f t="shared" ref="C1217:C1237" si="91">E1217</f>
        <v>40746</v>
      </c>
      <c r="D1217" s="37" t="s">
        <v>1099</v>
      </c>
      <c r="E1217" s="794">
        <v>40746</v>
      </c>
      <c r="F1217" s="189" t="s">
        <v>387</v>
      </c>
      <c r="G1217" s="40"/>
      <c r="H1217" s="628" t="s">
        <v>1092</v>
      </c>
      <c r="I1217" s="839">
        <v>11</v>
      </c>
      <c r="J1217" s="256">
        <v>4449</v>
      </c>
      <c r="K1217" s="614">
        <f t="shared" ref="K1217:K1237" si="92">ROUND(I1217*J1217,0)</f>
        <v>48939</v>
      </c>
      <c r="L1217" s="39" t="s">
        <v>157</v>
      </c>
      <c r="M1217" s="39" t="s">
        <v>151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>x</v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94"/>
    </row>
    <row r="1218" spans="1:27" ht="15.75" customHeight="1">
      <c r="A1218" s="204" t="str">
        <f>IF(B1218&lt;&gt;"",IF(AND(B1218&gt;=_TM1,B1218&lt;=_TM2,OR(TH!L1218="1111",TH!M1218="1111")),TH!D1218,""),"")</f>
        <v/>
      </c>
      <c r="B1218" s="36">
        <f t="shared" si="90"/>
        <v>7</v>
      </c>
      <c r="C1218" s="37">
        <f t="shared" si="91"/>
        <v>40746</v>
      </c>
      <c r="D1218" s="37" t="s">
        <v>1099</v>
      </c>
      <c r="E1218" s="794">
        <v>40746</v>
      </c>
      <c r="F1218" s="189" t="s">
        <v>492</v>
      </c>
      <c r="G1218" s="40"/>
      <c r="H1218" s="628" t="s">
        <v>1092</v>
      </c>
      <c r="I1218" s="256">
        <v>0.5</v>
      </c>
      <c r="J1218" s="256">
        <v>23716</v>
      </c>
      <c r="K1218" s="614">
        <f t="shared" si="92"/>
        <v>11858</v>
      </c>
      <c r="L1218" s="39" t="s">
        <v>157</v>
      </c>
      <c r="M1218" s="39" t="s">
        <v>151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94"/>
    </row>
    <row r="1219" spans="1:27" ht="15.75" customHeight="1">
      <c r="A1219" s="204" t="str">
        <f>IF(B1219&lt;&gt;"",IF(AND(B1219&gt;=_TM1,B1219&lt;=_TM2,OR(TH!L1219="1111",TH!M1219="1111")),TH!D1219,""),"")</f>
        <v/>
      </c>
      <c r="B1219" s="36">
        <f t="shared" si="90"/>
        <v>7</v>
      </c>
      <c r="C1219" s="37">
        <f t="shared" si="91"/>
        <v>40746</v>
      </c>
      <c r="D1219" s="37" t="s">
        <v>1099</v>
      </c>
      <c r="E1219" s="794">
        <v>40746</v>
      </c>
      <c r="F1219" s="40" t="s">
        <v>626</v>
      </c>
      <c r="G1219" s="40"/>
      <c r="H1219" s="628" t="s">
        <v>1092</v>
      </c>
      <c r="I1219" s="256">
        <v>3</v>
      </c>
      <c r="J1219" s="256">
        <v>23975</v>
      </c>
      <c r="K1219" s="614">
        <f t="shared" si="92"/>
        <v>71925</v>
      </c>
      <c r="L1219" s="39" t="s">
        <v>157</v>
      </c>
      <c r="M1219" s="39" t="s">
        <v>151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94"/>
    </row>
    <row r="1220" spans="1:27" ht="15.75" customHeight="1">
      <c r="A1220" s="204" t="str">
        <f>IF(B1220&lt;&gt;"",IF(AND(B1220&gt;=_TM1,B1220&lt;=_TM2,OR(TH!L1220="1111",TH!M1220="1111")),TH!D1220,""),"")</f>
        <v/>
      </c>
      <c r="B1220" s="36">
        <f t="shared" si="90"/>
        <v>7</v>
      </c>
      <c r="C1220" s="37">
        <f t="shared" si="91"/>
        <v>40746</v>
      </c>
      <c r="D1220" s="37" t="s">
        <v>1099</v>
      </c>
      <c r="E1220" s="794">
        <v>40746</v>
      </c>
      <c r="F1220" s="189" t="s">
        <v>523</v>
      </c>
      <c r="G1220" s="40"/>
      <c r="H1220" s="628" t="s">
        <v>1092</v>
      </c>
      <c r="I1220" s="256">
        <v>1</v>
      </c>
      <c r="J1220" s="256">
        <v>7268</v>
      </c>
      <c r="K1220" s="614">
        <f t="shared" si="92"/>
        <v>7268</v>
      </c>
      <c r="L1220" s="39" t="s">
        <v>157</v>
      </c>
      <c r="M1220" s="39" t="s">
        <v>151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94"/>
    </row>
    <row r="1221" spans="1:27" ht="15.75" customHeight="1">
      <c r="A1221" s="204" t="str">
        <f>IF(B1221&lt;&gt;"",IF(AND(B1221&gt;=_TM1,B1221&lt;=_TM2,OR(TH!L1221="1111",TH!M1221="1111")),TH!D1221,""),"")</f>
        <v/>
      </c>
      <c r="B1221" s="36">
        <f t="shared" si="90"/>
        <v>7</v>
      </c>
      <c r="C1221" s="37">
        <f t="shared" si="91"/>
        <v>40746</v>
      </c>
      <c r="D1221" s="37" t="s">
        <v>1099</v>
      </c>
      <c r="E1221" s="794">
        <v>40746</v>
      </c>
      <c r="F1221" s="40" t="s">
        <v>601</v>
      </c>
      <c r="G1221" s="40"/>
      <c r="H1221" s="628" t="s">
        <v>1092</v>
      </c>
      <c r="I1221" s="256">
        <v>0.5</v>
      </c>
      <c r="J1221" s="256">
        <v>16303</v>
      </c>
      <c r="K1221" s="614">
        <f t="shared" si="92"/>
        <v>8152</v>
      </c>
      <c r="L1221" s="39" t="s">
        <v>157</v>
      </c>
      <c r="M1221" s="39" t="s">
        <v>151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94"/>
    </row>
    <row r="1222" spans="1:27" ht="15.75" customHeight="1">
      <c r="A1222" s="204" t="str">
        <f>IF(B1222&lt;&gt;"",IF(AND(B1222&gt;=_TM1,B1222&lt;=_TM2,OR(TH!L1222="1111",TH!M1222="1111")),TH!D1222,""),"")</f>
        <v/>
      </c>
      <c r="B1222" s="36">
        <f t="shared" si="90"/>
        <v>7</v>
      </c>
      <c r="C1222" s="37">
        <f t="shared" si="91"/>
        <v>40746</v>
      </c>
      <c r="D1222" s="37" t="s">
        <v>1117</v>
      </c>
      <c r="E1222" s="37">
        <v>40746</v>
      </c>
      <c r="F1222" s="40" t="s">
        <v>995</v>
      </c>
      <c r="G1222" s="40"/>
      <c r="H1222" s="628" t="s">
        <v>1092</v>
      </c>
      <c r="I1222" s="256">
        <v>50</v>
      </c>
      <c r="J1222" s="256">
        <v>8248.3987351534779</v>
      </c>
      <c r="K1222" s="614">
        <f t="shared" si="92"/>
        <v>412420</v>
      </c>
      <c r="L1222" s="39" t="s">
        <v>159</v>
      </c>
      <c r="M1222" s="39" t="s">
        <v>157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94"/>
    </row>
    <row r="1223" spans="1:27" ht="15.75" customHeight="1">
      <c r="A1223" s="204" t="str">
        <f>IF(B1223&lt;&gt;"",IF(AND(B1223&gt;=_TM1,B1223&lt;=_TM2,OR(TH!L1223="1111",TH!M1223="1111")),TH!D1223,""),"")</f>
        <v/>
      </c>
      <c r="B1223" s="36">
        <f t="shared" si="90"/>
        <v>7</v>
      </c>
      <c r="C1223" s="37">
        <f t="shared" si="91"/>
        <v>40746</v>
      </c>
      <c r="D1223" s="37" t="s">
        <v>1117</v>
      </c>
      <c r="E1223" s="37">
        <v>40746</v>
      </c>
      <c r="F1223" s="40" t="s">
        <v>751</v>
      </c>
      <c r="G1223" s="40"/>
      <c r="H1223" s="628" t="s">
        <v>1092</v>
      </c>
      <c r="I1223" s="256">
        <v>46</v>
      </c>
      <c r="J1223" s="256">
        <v>14066.398735153482</v>
      </c>
      <c r="K1223" s="614">
        <f t="shared" si="92"/>
        <v>647054</v>
      </c>
      <c r="L1223" s="39" t="s">
        <v>159</v>
      </c>
      <c r="M1223" s="39" t="s">
        <v>157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94"/>
    </row>
    <row r="1224" spans="1:27" ht="15.75" customHeight="1">
      <c r="A1224" s="204" t="str">
        <f>IF(B1224&lt;&gt;"",IF(AND(B1224&gt;=_TM1,B1224&lt;=_TM2,OR(TH!L1224="1111",TH!M1224="1111")),TH!D1224,""),"")</f>
        <v/>
      </c>
      <c r="B1224" s="36">
        <f t="shared" si="90"/>
        <v>7</v>
      </c>
      <c r="C1224" s="37">
        <f t="shared" si="91"/>
        <v>40746</v>
      </c>
      <c r="D1224" s="37" t="s">
        <v>1117</v>
      </c>
      <c r="E1224" s="37">
        <v>40746</v>
      </c>
      <c r="F1224" s="40" t="s">
        <v>1009</v>
      </c>
      <c r="G1224" s="40"/>
      <c r="H1224" s="628" t="s">
        <v>1092</v>
      </c>
      <c r="I1224" s="256">
        <v>68</v>
      </c>
      <c r="J1224" s="256">
        <v>10708.898735153478</v>
      </c>
      <c r="K1224" s="614">
        <f t="shared" si="92"/>
        <v>728205</v>
      </c>
      <c r="L1224" s="39" t="s">
        <v>159</v>
      </c>
      <c r="M1224" s="39" t="s">
        <v>157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94"/>
    </row>
    <row r="1225" spans="1:27" ht="15.75" customHeight="1">
      <c r="A1225" s="204" t="str">
        <f>IF(B1225&lt;&gt;"",IF(AND(B1225&gt;=_TM1,B1225&lt;=_TM2,OR(TH!L1225="1111",TH!M1225="1111")),TH!D1225,""),"")</f>
        <v/>
      </c>
      <c r="B1225" s="36">
        <f t="shared" si="90"/>
        <v>7</v>
      </c>
      <c r="C1225" s="37">
        <f t="shared" si="91"/>
        <v>40746</v>
      </c>
      <c r="D1225" s="37" t="s">
        <v>1117</v>
      </c>
      <c r="E1225" s="37">
        <v>40746</v>
      </c>
      <c r="F1225" s="40" t="s">
        <v>753</v>
      </c>
      <c r="G1225" s="40"/>
      <c r="H1225" s="628" t="s">
        <v>1092</v>
      </c>
      <c r="I1225" s="256">
        <v>50</v>
      </c>
      <c r="J1225" s="256">
        <v>13625.398735153478</v>
      </c>
      <c r="K1225" s="614">
        <f t="shared" si="92"/>
        <v>681270</v>
      </c>
      <c r="L1225" s="39" t="s">
        <v>159</v>
      </c>
      <c r="M1225" s="39" t="s">
        <v>157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94"/>
    </row>
    <row r="1226" spans="1:27" ht="15.75" customHeight="1">
      <c r="A1226" s="204" t="str">
        <f>IF(B1226&lt;&gt;"",IF(AND(B1226&gt;=_TM1,B1226&lt;=_TM2,OR(TH!L1226="1111",TH!M1226="1111")),TH!D1226,""),"")</f>
        <v/>
      </c>
      <c r="B1226" s="36">
        <f t="shared" si="90"/>
        <v>7</v>
      </c>
      <c r="C1226" s="37">
        <f t="shared" si="91"/>
        <v>40746</v>
      </c>
      <c r="D1226" s="37" t="s">
        <v>1117</v>
      </c>
      <c r="E1226" s="37">
        <v>40746</v>
      </c>
      <c r="F1226" s="40" t="s">
        <v>754</v>
      </c>
      <c r="G1226" s="40"/>
      <c r="H1226" s="628" t="s">
        <v>1092</v>
      </c>
      <c r="I1226" s="256">
        <v>2</v>
      </c>
      <c r="J1226" s="256">
        <v>10373.898735153478</v>
      </c>
      <c r="K1226" s="614">
        <f t="shared" si="92"/>
        <v>20748</v>
      </c>
      <c r="L1226" s="39" t="s">
        <v>159</v>
      </c>
      <c r="M1226" s="39" t="s">
        <v>157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94"/>
    </row>
    <row r="1227" spans="1:27" ht="15.75" customHeight="1">
      <c r="A1227" s="204" t="str">
        <f>IF(B1227&lt;&gt;"",IF(AND(B1227&gt;=_TM1,B1227&lt;=_TM2,OR(TH!L1227="1111",TH!M1227="1111")),TH!D1227,""),"")</f>
        <v/>
      </c>
      <c r="B1227" s="36">
        <f t="shared" si="90"/>
        <v>7</v>
      </c>
      <c r="C1227" s="37">
        <f t="shared" si="91"/>
        <v>40746</v>
      </c>
      <c r="D1227" s="37" t="s">
        <v>1117</v>
      </c>
      <c r="E1227" s="37">
        <v>40746</v>
      </c>
      <c r="F1227" s="40" t="s">
        <v>1010</v>
      </c>
      <c r="G1227" s="40"/>
      <c r="H1227" s="628" t="s">
        <v>1092</v>
      </c>
      <c r="I1227" s="256">
        <v>1</v>
      </c>
      <c r="J1227" s="256">
        <v>14080.398735153478</v>
      </c>
      <c r="K1227" s="614">
        <f t="shared" si="92"/>
        <v>14080</v>
      </c>
      <c r="L1227" s="39" t="s">
        <v>159</v>
      </c>
      <c r="M1227" s="39" t="s">
        <v>157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94"/>
    </row>
    <row r="1228" spans="1:27" ht="15.75" customHeight="1">
      <c r="A1228" s="204" t="str">
        <f>IF(B1228&lt;&gt;"",IF(AND(B1228&gt;=_TM1,B1228&lt;=_TM2,OR(TH!L1228="1111",TH!M1228="1111")),TH!D1228,""),"")</f>
        <v/>
      </c>
      <c r="B1228" s="36">
        <f t="shared" si="90"/>
        <v>7</v>
      </c>
      <c r="C1228" s="37">
        <f t="shared" si="91"/>
        <v>40746</v>
      </c>
      <c r="D1228" s="37" t="s">
        <v>1117</v>
      </c>
      <c r="E1228" s="37">
        <v>40746</v>
      </c>
      <c r="F1228" s="40" t="s">
        <v>755</v>
      </c>
      <c r="G1228" s="40"/>
      <c r="H1228" s="628" t="s">
        <v>1092</v>
      </c>
      <c r="I1228" s="256">
        <v>5</v>
      </c>
      <c r="J1228" s="256">
        <v>10373.798735153479</v>
      </c>
      <c r="K1228" s="614">
        <f t="shared" si="92"/>
        <v>51869</v>
      </c>
      <c r="L1228" s="39" t="s">
        <v>159</v>
      </c>
      <c r="M1228" s="39" t="s">
        <v>157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94"/>
    </row>
    <row r="1229" spans="1:27" ht="15.75" customHeight="1">
      <c r="A1229" s="204" t="str">
        <f>IF(B1229&lt;&gt;"",IF(AND(B1229&gt;=_TM1,B1229&lt;=_TM2,OR(TH!L1229="1111",TH!M1229="1111")),TH!D1229,""),"")</f>
        <v/>
      </c>
      <c r="B1229" s="36">
        <f t="shared" si="90"/>
        <v>7</v>
      </c>
      <c r="C1229" s="37">
        <f t="shared" si="91"/>
        <v>40746</v>
      </c>
      <c r="D1229" s="37" t="s">
        <v>1117</v>
      </c>
      <c r="E1229" s="37">
        <v>40746</v>
      </c>
      <c r="F1229" s="40" t="s">
        <v>748</v>
      </c>
      <c r="G1229" s="40"/>
      <c r="H1229" s="628" t="s">
        <v>1092</v>
      </c>
      <c r="I1229" s="256">
        <v>6</v>
      </c>
      <c r="J1229" s="256">
        <v>9490.3987351534797</v>
      </c>
      <c r="K1229" s="614">
        <f t="shared" si="92"/>
        <v>56942</v>
      </c>
      <c r="L1229" s="39" t="s">
        <v>159</v>
      </c>
      <c r="M1229" s="39" t="s">
        <v>157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94"/>
    </row>
    <row r="1230" spans="1:27" ht="15.75" customHeight="1">
      <c r="A1230" s="204" t="str">
        <f>IF(B1230&lt;&gt;"",IF(AND(B1230&gt;=_TM1,B1230&lt;=_TM2,OR(TH!L1230="1111",TH!M1230="1111")),TH!D1230,""),"")</f>
        <v/>
      </c>
      <c r="B1230" s="36">
        <f t="shared" si="90"/>
        <v>7</v>
      </c>
      <c r="C1230" s="37">
        <f t="shared" si="91"/>
        <v>40746</v>
      </c>
      <c r="D1230" s="37" t="s">
        <v>964</v>
      </c>
      <c r="E1230" s="37">
        <v>40746</v>
      </c>
      <c r="F1230" s="40" t="s">
        <v>995</v>
      </c>
      <c r="G1230" s="40" t="s">
        <v>1180</v>
      </c>
      <c r="H1230" s="628" t="s">
        <v>733</v>
      </c>
      <c r="I1230" s="256">
        <v>50</v>
      </c>
      <c r="J1230" s="256">
        <v>8248.3987351534779</v>
      </c>
      <c r="K1230" s="614">
        <f t="shared" si="92"/>
        <v>412420</v>
      </c>
      <c r="L1230" s="39" t="s">
        <v>165</v>
      </c>
      <c r="M1230" s="39" t="s">
        <v>159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94"/>
    </row>
    <row r="1231" spans="1:27" ht="15.75" customHeight="1">
      <c r="A1231" s="204" t="str">
        <f>IF(B1231&lt;&gt;"",IF(AND(B1231&gt;=_TM1,B1231&lt;=_TM2,OR(TH!L1231="1111",TH!M1231="1111")),TH!D1231,""),"")</f>
        <v/>
      </c>
      <c r="B1231" s="36">
        <f t="shared" si="90"/>
        <v>7</v>
      </c>
      <c r="C1231" s="37">
        <f t="shared" si="91"/>
        <v>40746</v>
      </c>
      <c r="D1231" s="37" t="s">
        <v>964</v>
      </c>
      <c r="E1231" s="37">
        <v>40746</v>
      </c>
      <c r="F1231" s="40" t="s">
        <v>751</v>
      </c>
      <c r="G1231" s="40" t="s">
        <v>1180</v>
      </c>
      <c r="H1231" s="628" t="s">
        <v>733</v>
      </c>
      <c r="I1231" s="256">
        <v>46</v>
      </c>
      <c r="J1231" s="256">
        <v>14066.398735153482</v>
      </c>
      <c r="K1231" s="614">
        <f t="shared" si="92"/>
        <v>647054</v>
      </c>
      <c r="L1231" s="39" t="s">
        <v>165</v>
      </c>
      <c r="M1231" s="39" t="s">
        <v>159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94"/>
    </row>
    <row r="1232" spans="1:27" ht="15.75" customHeight="1">
      <c r="A1232" s="204" t="str">
        <f>IF(B1232&lt;&gt;"",IF(AND(B1232&gt;=_TM1,B1232&lt;=_TM2,OR(TH!L1232="1111",TH!M1232="1111")),TH!D1232,""),"")</f>
        <v/>
      </c>
      <c r="B1232" s="36">
        <f t="shared" si="90"/>
        <v>7</v>
      </c>
      <c r="C1232" s="37">
        <f t="shared" si="91"/>
        <v>40746</v>
      </c>
      <c r="D1232" s="37" t="s">
        <v>964</v>
      </c>
      <c r="E1232" s="37">
        <v>40746</v>
      </c>
      <c r="F1232" s="40" t="s">
        <v>1009</v>
      </c>
      <c r="G1232" s="40" t="s">
        <v>1180</v>
      </c>
      <c r="H1232" s="628" t="s">
        <v>733</v>
      </c>
      <c r="I1232" s="256">
        <v>68</v>
      </c>
      <c r="J1232" s="256">
        <v>10708.898735153478</v>
      </c>
      <c r="K1232" s="614">
        <f t="shared" si="92"/>
        <v>728205</v>
      </c>
      <c r="L1232" s="39" t="s">
        <v>165</v>
      </c>
      <c r="M1232" s="39" t="s">
        <v>159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94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>
        <f t="shared" si="90"/>
        <v>7</v>
      </c>
      <c r="C1233" s="37">
        <f t="shared" si="91"/>
        <v>40746</v>
      </c>
      <c r="D1233" s="37" t="s">
        <v>964</v>
      </c>
      <c r="E1233" s="37">
        <v>40746</v>
      </c>
      <c r="F1233" s="40" t="s">
        <v>753</v>
      </c>
      <c r="G1233" s="40" t="s">
        <v>1180</v>
      </c>
      <c r="H1233" s="628" t="s">
        <v>733</v>
      </c>
      <c r="I1233" s="256">
        <v>50</v>
      </c>
      <c r="J1233" s="256">
        <v>13625.398735153478</v>
      </c>
      <c r="K1233" s="614">
        <f t="shared" si="92"/>
        <v>681270</v>
      </c>
      <c r="L1233" s="39" t="s">
        <v>165</v>
      </c>
      <c r="M1233" s="39" t="s">
        <v>159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94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>
        <f t="shared" si="90"/>
        <v>7</v>
      </c>
      <c r="C1234" s="37">
        <f t="shared" si="91"/>
        <v>40746</v>
      </c>
      <c r="D1234" s="37" t="s">
        <v>964</v>
      </c>
      <c r="E1234" s="37">
        <v>40746</v>
      </c>
      <c r="F1234" s="40" t="s">
        <v>754</v>
      </c>
      <c r="G1234" s="40" t="s">
        <v>1180</v>
      </c>
      <c r="H1234" s="628" t="s">
        <v>733</v>
      </c>
      <c r="I1234" s="256">
        <v>2</v>
      </c>
      <c r="J1234" s="256">
        <v>10373.898735153478</v>
      </c>
      <c r="K1234" s="614">
        <f t="shared" si="92"/>
        <v>20748</v>
      </c>
      <c r="L1234" s="39" t="s">
        <v>165</v>
      </c>
      <c r="M1234" s="39" t="s">
        <v>159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94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>
        <f t="shared" si="90"/>
        <v>7</v>
      </c>
      <c r="C1235" s="37">
        <f t="shared" si="91"/>
        <v>40746</v>
      </c>
      <c r="D1235" s="37" t="s">
        <v>964</v>
      </c>
      <c r="E1235" s="37">
        <v>40746</v>
      </c>
      <c r="F1235" s="40" t="s">
        <v>1010</v>
      </c>
      <c r="G1235" s="40" t="s">
        <v>1180</v>
      </c>
      <c r="H1235" s="628" t="s">
        <v>733</v>
      </c>
      <c r="I1235" s="256">
        <v>1</v>
      </c>
      <c r="J1235" s="256">
        <v>14080.398735153478</v>
      </c>
      <c r="K1235" s="614">
        <f t="shared" si="92"/>
        <v>14080</v>
      </c>
      <c r="L1235" s="39" t="s">
        <v>165</v>
      </c>
      <c r="M1235" s="39" t="s">
        <v>159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94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>
        <f t="shared" si="90"/>
        <v>7</v>
      </c>
      <c r="C1236" s="37">
        <f t="shared" si="91"/>
        <v>40746</v>
      </c>
      <c r="D1236" s="37" t="s">
        <v>964</v>
      </c>
      <c r="E1236" s="37">
        <v>40746</v>
      </c>
      <c r="F1236" s="40" t="s">
        <v>755</v>
      </c>
      <c r="G1236" s="40" t="s">
        <v>1180</v>
      </c>
      <c r="H1236" s="628" t="s">
        <v>733</v>
      </c>
      <c r="I1236" s="256">
        <v>5</v>
      </c>
      <c r="J1236" s="256">
        <v>10373.798735153479</v>
      </c>
      <c r="K1236" s="614">
        <f t="shared" si="92"/>
        <v>51869</v>
      </c>
      <c r="L1236" s="39" t="s">
        <v>165</v>
      </c>
      <c r="M1236" s="39" t="s">
        <v>159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94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>
        <f t="shared" si="90"/>
        <v>7</v>
      </c>
      <c r="C1237" s="37">
        <f t="shared" si="91"/>
        <v>40746</v>
      </c>
      <c r="D1237" s="37" t="s">
        <v>964</v>
      </c>
      <c r="E1237" s="37">
        <v>40746</v>
      </c>
      <c r="F1237" s="40" t="s">
        <v>748</v>
      </c>
      <c r="G1237" s="40" t="s">
        <v>1180</v>
      </c>
      <c r="H1237" s="628" t="s">
        <v>733</v>
      </c>
      <c r="I1237" s="256">
        <v>6</v>
      </c>
      <c r="J1237" s="256">
        <v>9490.3987351534797</v>
      </c>
      <c r="K1237" s="614">
        <f t="shared" si="92"/>
        <v>56942</v>
      </c>
      <c r="L1237" s="39" t="s">
        <v>165</v>
      </c>
      <c r="M1237" s="39" t="s">
        <v>159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94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>
        <f t="shared" si="90"/>
        <v>7</v>
      </c>
      <c r="C1238" s="191">
        <v>40747</v>
      </c>
      <c r="D1238" s="191" t="s">
        <v>965</v>
      </c>
      <c r="E1238" s="191">
        <v>40747</v>
      </c>
      <c r="F1238" s="192" t="s">
        <v>1005</v>
      </c>
      <c r="G1238" s="498" t="s">
        <v>1181</v>
      </c>
      <c r="H1238" s="193" t="s">
        <v>733</v>
      </c>
      <c r="I1238" s="256">
        <v>10</v>
      </c>
      <c r="J1238" s="256">
        <v>15053</v>
      </c>
      <c r="K1238" s="614">
        <v>150530</v>
      </c>
      <c r="L1238" s="194" t="s">
        <v>259</v>
      </c>
      <c r="M1238" s="194" t="s">
        <v>167</v>
      </c>
      <c r="N1238" s="52" t="str">
        <f>IF(AND('331-CT'!$E$7=TH!H1238,OR(L1238="331",M1238="331")),"331",IF(AND(OR(L1238="131",M1238="131"),H1238='131-CT'!$E$7),"131",""))</f>
        <v>131</v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94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>
        <f t="shared" si="90"/>
        <v>7</v>
      </c>
      <c r="C1239" s="191">
        <v>40747</v>
      </c>
      <c r="D1239" s="191" t="s">
        <v>965</v>
      </c>
      <c r="E1239" s="191">
        <v>40747</v>
      </c>
      <c r="F1239" s="192" t="s">
        <v>993</v>
      </c>
      <c r="G1239" s="498" t="s">
        <v>1181</v>
      </c>
      <c r="H1239" s="193" t="s">
        <v>733</v>
      </c>
      <c r="I1239" s="256">
        <v>160</v>
      </c>
      <c r="J1239" s="256">
        <v>20976</v>
      </c>
      <c r="K1239" s="614">
        <v>3356160</v>
      </c>
      <c r="L1239" s="194" t="s">
        <v>259</v>
      </c>
      <c r="M1239" s="194" t="s">
        <v>167</v>
      </c>
      <c r="N1239" s="52" t="str">
        <f>IF(AND('331-CT'!$E$7=TH!H1239,OR(L1239="331",M1239="331")),"331",IF(AND(OR(L1239="131",M1239="131"),H1239='131-CT'!$E$7),"131",""))</f>
        <v>131</v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94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>
        <f t="shared" si="90"/>
        <v>7</v>
      </c>
      <c r="C1240" s="191">
        <v>40747</v>
      </c>
      <c r="D1240" s="191" t="s">
        <v>965</v>
      </c>
      <c r="E1240" s="191">
        <v>40747</v>
      </c>
      <c r="F1240" s="192" t="s">
        <v>756</v>
      </c>
      <c r="G1240" s="498" t="s">
        <v>1181</v>
      </c>
      <c r="H1240" s="193" t="s">
        <v>733</v>
      </c>
      <c r="I1240" s="256">
        <v>55</v>
      </c>
      <c r="J1240" s="256">
        <v>4422</v>
      </c>
      <c r="K1240" s="614">
        <v>243210</v>
      </c>
      <c r="L1240" s="194" t="s">
        <v>259</v>
      </c>
      <c r="M1240" s="194" t="s">
        <v>167</v>
      </c>
      <c r="N1240" s="52" t="str">
        <f>IF(AND('331-CT'!$E$7=TH!H1240,OR(L1240="331",M1240="331")),"331",IF(AND(OR(L1240="131",M1240="131"),H1240='131-CT'!$E$7),"131",""))</f>
        <v>131</v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94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>
        <f t="shared" ref="B1241:B1304" si="93">IF(C1241&lt;&gt;"",MONTH(C1241),"")</f>
        <v>7</v>
      </c>
      <c r="C1241" s="191">
        <v>40747</v>
      </c>
      <c r="D1241" s="191" t="s">
        <v>965</v>
      </c>
      <c r="E1241" s="191">
        <v>40747</v>
      </c>
      <c r="F1241" s="192" t="s">
        <v>749</v>
      </c>
      <c r="G1241" s="498" t="s">
        <v>1181</v>
      </c>
      <c r="H1241" s="193" t="s">
        <v>733</v>
      </c>
      <c r="I1241" s="256">
        <v>8</v>
      </c>
      <c r="J1241" s="256">
        <v>12564</v>
      </c>
      <c r="K1241" s="614">
        <v>100512</v>
      </c>
      <c r="L1241" s="194" t="s">
        <v>259</v>
      </c>
      <c r="M1241" s="194" t="s">
        <v>167</v>
      </c>
      <c r="N1241" s="52" t="str">
        <f>IF(AND('331-CT'!$E$7=TH!H1241,OR(L1241="331",M1241="331")),"331",IF(AND(OR(L1241="131",M1241="131"),H1241='131-CT'!$E$7),"131",""))</f>
        <v>131</v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94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>
        <f t="shared" si="93"/>
        <v>7</v>
      </c>
      <c r="C1242" s="191">
        <v>40747</v>
      </c>
      <c r="D1242" s="191" t="s">
        <v>965</v>
      </c>
      <c r="E1242" s="191">
        <v>40747</v>
      </c>
      <c r="F1242" s="192" t="s">
        <v>757</v>
      </c>
      <c r="G1242" s="498" t="s">
        <v>1181</v>
      </c>
      <c r="H1242" s="193" t="s">
        <v>733</v>
      </c>
      <c r="I1242" s="256">
        <v>1</v>
      </c>
      <c r="J1242" s="256">
        <v>5210</v>
      </c>
      <c r="K1242" s="614">
        <v>5210</v>
      </c>
      <c r="L1242" s="194" t="s">
        <v>259</v>
      </c>
      <c r="M1242" s="194" t="s">
        <v>167</v>
      </c>
      <c r="N1242" s="52" t="str">
        <f>IF(AND('331-CT'!$E$7=TH!H1242,OR(L1242="331",M1242="331")),"331",IF(AND(OR(L1242="131",M1242="131"),H1242='131-CT'!$E$7),"131",""))</f>
        <v>131</v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94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>
        <f t="shared" si="93"/>
        <v>7</v>
      </c>
      <c r="C1243" s="191">
        <v>40747</v>
      </c>
      <c r="D1243" s="191" t="s">
        <v>965</v>
      </c>
      <c r="E1243" s="191">
        <v>40747</v>
      </c>
      <c r="F1243" s="189" t="s">
        <v>924</v>
      </c>
      <c r="G1243" s="498" t="s">
        <v>1181</v>
      </c>
      <c r="H1243" s="193" t="s">
        <v>733</v>
      </c>
      <c r="I1243" s="256">
        <v>1</v>
      </c>
      <c r="J1243" s="256">
        <v>7094</v>
      </c>
      <c r="K1243" s="614">
        <v>7094</v>
      </c>
      <c r="L1243" s="194" t="s">
        <v>259</v>
      </c>
      <c r="M1243" s="194" t="s">
        <v>167</v>
      </c>
      <c r="N1243" s="52" t="str">
        <f>IF(AND('331-CT'!$E$7=TH!H1243,OR(L1243="331",M1243="331")),"331",IF(AND(OR(L1243="131",M1243="131"),H1243='131-CT'!$E$7),"131",""))</f>
        <v>131</v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94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>
        <f t="shared" si="93"/>
        <v>7</v>
      </c>
      <c r="C1244" s="191">
        <v>40747</v>
      </c>
      <c r="D1244" s="191" t="s">
        <v>965</v>
      </c>
      <c r="E1244" s="191">
        <v>40747</v>
      </c>
      <c r="F1244" s="192" t="s">
        <v>745</v>
      </c>
      <c r="G1244" s="498" t="s">
        <v>1181</v>
      </c>
      <c r="H1244" s="193" t="s">
        <v>733</v>
      </c>
      <c r="I1244" s="256">
        <v>2</v>
      </c>
      <c r="J1244" s="256">
        <v>9263</v>
      </c>
      <c r="K1244" s="614">
        <v>18526</v>
      </c>
      <c r="L1244" s="194" t="s">
        <v>259</v>
      </c>
      <c r="M1244" s="194" t="s">
        <v>167</v>
      </c>
      <c r="N1244" s="52" t="str">
        <f>IF(AND('331-CT'!$E$7=TH!H1244,OR(L1244="331",M1244="331")),"331",IF(AND(OR(L1244="131",M1244="131"),H1244='131-CT'!$E$7),"131",""))</f>
        <v>131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94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>
        <f t="shared" si="93"/>
        <v>7</v>
      </c>
      <c r="C1245" s="191">
        <v>40747</v>
      </c>
      <c r="D1245" s="191" t="s">
        <v>965</v>
      </c>
      <c r="E1245" s="191">
        <v>40747</v>
      </c>
      <c r="F1245" s="192" t="s">
        <v>747</v>
      </c>
      <c r="G1245" s="498" t="s">
        <v>1181</v>
      </c>
      <c r="H1245" s="193" t="s">
        <v>733</v>
      </c>
      <c r="I1245" s="256">
        <v>2</v>
      </c>
      <c r="J1245" s="256">
        <v>11321</v>
      </c>
      <c r="K1245" s="614">
        <v>22642</v>
      </c>
      <c r="L1245" s="194" t="s">
        <v>259</v>
      </c>
      <c r="M1245" s="194" t="s">
        <v>167</v>
      </c>
      <c r="N1245" s="52" t="str">
        <f>IF(AND('331-CT'!$E$7=TH!H1245,OR(L1245="331",M1245="331")),"331",IF(AND(OR(L1245="131",M1245="131"),H1245='131-CT'!$E$7),"131",""))</f>
        <v>131</v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94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>
        <f t="shared" si="93"/>
        <v>7</v>
      </c>
      <c r="C1246" s="191">
        <v>40747</v>
      </c>
      <c r="D1246" s="191" t="s">
        <v>965</v>
      </c>
      <c r="E1246" s="191">
        <v>40747</v>
      </c>
      <c r="F1246" s="192" t="s">
        <v>1176</v>
      </c>
      <c r="G1246" s="498" t="s">
        <v>1181</v>
      </c>
      <c r="H1246" s="193" t="s">
        <v>733</v>
      </c>
      <c r="I1246" s="256"/>
      <c r="J1246" s="256"/>
      <c r="K1246" s="614">
        <v>390388</v>
      </c>
      <c r="L1246" s="194" t="s">
        <v>259</v>
      </c>
      <c r="M1246" s="194" t="s">
        <v>731</v>
      </c>
      <c r="N1246" s="52" t="str">
        <f>IF(AND('331-CT'!$E$7=TH!H1246,OR(L1246="331",M1246="331")),"331",IF(AND(OR(L1246="131",M1246="131"),H1246='131-CT'!$E$7),"131",""))</f>
        <v>131</v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94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>
        <f t="shared" si="93"/>
        <v>7</v>
      </c>
      <c r="C1247" s="37">
        <f t="shared" ref="C1247:C1265" si="94">E1247</f>
        <v>40747</v>
      </c>
      <c r="D1247" s="37" t="s">
        <v>1100</v>
      </c>
      <c r="E1247" s="794">
        <v>40747</v>
      </c>
      <c r="F1247" s="40" t="s">
        <v>600</v>
      </c>
      <c r="G1247" s="40"/>
      <c r="H1247" s="628" t="s">
        <v>1092</v>
      </c>
      <c r="I1247" s="256">
        <v>55</v>
      </c>
      <c r="J1247" s="256">
        <v>24276</v>
      </c>
      <c r="K1247" s="614">
        <f t="shared" ref="K1247:K1265" si="95">ROUND(I1247*J1247,0)</f>
        <v>1335180</v>
      </c>
      <c r="L1247" s="39" t="s">
        <v>157</v>
      </c>
      <c r="M1247" s="39" t="s">
        <v>151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94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>
        <f t="shared" si="93"/>
        <v>7</v>
      </c>
      <c r="C1248" s="37">
        <f t="shared" si="94"/>
        <v>40747</v>
      </c>
      <c r="D1248" s="37" t="s">
        <v>1100</v>
      </c>
      <c r="E1248" s="794">
        <v>40747</v>
      </c>
      <c r="F1248" s="40" t="s">
        <v>628</v>
      </c>
      <c r="G1248" s="40"/>
      <c r="H1248" s="628" t="s">
        <v>1092</v>
      </c>
      <c r="I1248" s="839">
        <v>48.5</v>
      </c>
      <c r="J1248" s="256">
        <v>32985</v>
      </c>
      <c r="K1248" s="614">
        <f t="shared" si="95"/>
        <v>1599773</v>
      </c>
      <c r="L1248" s="39" t="s">
        <v>157</v>
      </c>
      <c r="M1248" s="39" t="s">
        <v>151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94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>
        <f t="shared" si="93"/>
        <v>7</v>
      </c>
      <c r="C1249" s="37">
        <f t="shared" si="94"/>
        <v>40747</v>
      </c>
      <c r="D1249" s="37" t="s">
        <v>1100</v>
      </c>
      <c r="E1249" s="794">
        <v>40747</v>
      </c>
      <c r="F1249" s="40" t="s">
        <v>590</v>
      </c>
      <c r="G1249" s="40"/>
      <c r="H1249" s="628" t="s">
        <v>1092</v>
      </c>
      <c r="I1249" s="256">
        <v>27.5</v>
      </c>
      <c r="J1249" s="256">
        <v>35812</v>
      </c>
      <c r="K1249" s="614">
        <f t="shared" si="95"/>
        <v>984830</v>
      </c>
      <c r="L1249" s="39" t="s">
        <v>157</v>
      </c>
      <c r="M1249" s="39" t="s">
        <v>151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94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>
        <f t="shared" si="93"/>
        <v>7</v>
      </c>
      <c r="C1250" s="37">
        <f t="shared" si="94"/>
        <v>40747</v>
      </c>
      <c r="D1250" s="37" t="s">
        <v>1118</v>
      </c>
      <c r="E1250" s="37">
        <v>40747</v>
      </c>
      <c r="F1250" s="40" t="s">
        <v>1005</v>
      </c>
      <c r="G1250" s="40"/>
      <c r="H1250" s="628" t="s">
        <v>1092</v>
      </c>
      <c r="I1250" s="256">
        <v>10</v>
      </c>
      <c r="J1250" s="256">
        <v>13625.39873515348</v>
      </c>
      <c r="K1250" s="614">
        <f t="shared" si="95"/>
        <v>136254</v>
      </c>
      <c r="L1250" s="39" t="s">
        <v>159</v>
      </c>
      <c r="M1250" s="39" t="s">
        <v>157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94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>
        <f t="shared" si="93"/>
        <v>7</v>
      </c>
      <c r="C1251" s="37">
        <f t="shared" si="94"/>
        <v>40747</v>
      </c>
      <c r="D1251" s="37" t="s">
        <v>1118</v>
      </c>
      <c r="E1251" s="37">
        <v>40747</v>
      </c>
      <c r="F1251" s="40" t="s">
        <v>993</v>
      </c>
      <c r="G1251" s="40"/>
      <c r="H1251" s="628" t="s">
        <v>1092</v>
      </c>
      <c r="I1251" s="256">
        <v>160</v>
      </c>
      <c r="J1251" s="256">
        <v>18925.398735153474</v>
      </c>
      <c r="K1251" s="614">
        <f t="shared" si="95"/>
        <v>3028064</v>
      </c>
      <c r="L1251" s="39" t="s">
        <v>159</v>
      </c>
      <c r="M1251" s="39" t="s">
        <v>157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94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>
        <f t="shared" si="93"/>
        <v>7</v>
      </c>
      <c r="C1252" s="37">
        <f t="shared" si="94"/>
        <v>40747</v>
      </c>
      <c r="D1252" s="37" t="s">
        <v>1118</v>
      </c>
      <c r="E1252" s="37">
        <v>40747</v>
      </c>
      <c r="F1252" s="192" t="s">
        <v>756</v>
      </c>
      <c r="G1252" s="40"/>
      <c r="H1252" s="628" t="s">
        <v>1092</v>
      </c>
      <c r="I1252" s="256">
        <v>55</v>
      </c>
      <c r="J1252" s="256">
        <v>4487.3441896989325</v>
      </c>
      <c r="K1252" s="614">
        <f t="shared" si="95"/>
        <v>246804</v>
      </c>
      <c r="L1252" s="39" t="s">
        <v>159</v>
      </c>
      <c r="M1252" s="39" t="s">
        <v>157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94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>
        <f t="shared" si="93"/>
        <v>7</v>
      </c>
      <c r="C1253" s="37">
        <f t="shared" si="94"/>
        <v>40747</v>
      </c>
      <c r="D1253" s="37" t="s">
        <v>1118</v>
      </c>
      <c r="E1253" s="37">
        <v>40747</v>
      </c>
      <c r="F1253" s="40" t="s">
        <v>749</v>
      </c>
      <c r="G1253" s="40"/>
      <c r="H1253" s="628" t="s">
        <v>1092</v>
      </c>
      <c r="I1253" s="256">
        <v>8</v>
      </c>
      <c r="J1253" s="256">
        <v>10373.648735153478</v>
      </c>
      <c r="K1253" s="614">
        <f t="shared" si="95"/>
        <v>82989</v>
      </c>
      <c r="L1253" s="39" t="s">
        <v>159</v>
      </c>
      <c r="M1253" s="39" t="s">
        <v>157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94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>
        <f t="shared" si="93"/>
        <v>7</v>
      </c>
      <c r="C1254" s="37">
        <f t="shared" si="94"/>
        <v>40747</v>
      </c>
      <c r="D1254" s="37" t="s">
        <v>1118</v>
      </c>
      <c r="E1254" s="37">
        <v>40747</v>
      </c>
      <c r="F1254" s="40" t="s">
        <v>757</v>
      </c>
      <c r="G1254" s="40"/>
      <c r="H1254" s="628" t="s">
        <v>1092</v>
      </c>
      <c r="I1254" s="256">
        <v>1</v>
      </c>
      <c r="J1254" s="256">
        <v>4447.3987351534788</v>
      </c>
      <c r="K1254" s="614">
        <f t="shared" si="95"/>
        <v>4447</v>
      </c>
      <c r="L1254" s="39" t="s">
        <v>159</v>
      </c>
      <c r="M1254" s="39" t="s">
        <v>157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94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>
        <f t="shared" si="93"/>
        <v>7</v>
      </c>
      <c r="C1255" s="37">
        <f t="shared" si="94"/>
        <v>40747</v>
      </c>
      <c r="D1255" s="37" t="s">
        <v>1118</v>
      </c>
      <c r="E1255" s="37">
        <v>40747</v>
      </c>
      <c r="F1255" s="189" t="s">
        <v>924</v>
      </c>
      <c r="G1255" s="40"/>
      <c r="H1255" s="628" t="s">
        <v>1092</v>
      </c>
      <c r="I1255" s="256">
        <v>1</v>
      </c>
      <c r="J1255" s="256">
        <v>6671.3987351534788</v>
      </c>
      <c r="K1255" s="614">
        <f t="shared" si="95"/>
        <v>6671</v>
      </c>
      <c r="L1255" s="39" t="s">
        <v>159</v>
      </c>
      <c r="M1255" s="39" t="s">
        <v>157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94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>
        <f t="shared" si="93"/>
        <v>7</v>
      </c>
      <c r="C1256" s="37">
        <f t="shared" si="94"/>
        <v>40747</v>
      </c>
      <c r="D1256" s="37" t="s">
        <v>1118</v>
      </c>
      <c r="E1256" s="37">
        <v>40747</v>
      </c>
      <c r="F1256" s="40" t="s">
        <v>745</v>
      </c>
      <c r="G1256" s="40"/>
      <c r="H1256" s="628" t="s">
        <v>1092</v>
      </c>
      <c r="I1256" s="256">
        <v>2</v>
      </c>
      <c r="J1256" s="256">
        <v>8248.3987351534779</v>
      </c>
      <c r="K1256" s="614">
        <f t="shared" si="95"/>
        <v>16497</v>
      </c>
      <c r="L1256" s="39" t="s">
        <v>159</v>
      </c>
      <c r="M1256" s="39" t="s">
        <v>157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94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>
        <f t="shared" si="93"/>
        <v>7</v>
      </c>
      <c r="C1257" s="37">
        <f t="shared" si="94"/>
        <v>40747</v>
      </c>
      <c r="D1257" s="37" t="s">
        <v>1118</v>
      </c>
      <c r="E1257" s="37">
        <v>40747</v>
      </c>
      <c r="F1257" s="40" t="s">
        <v>747</v>
      </c>
      <c r="G1257" s="40"/>
      <c r="H1257" s="628" t="s">
        <v>1092</v>
      </c>
      <c r="I1257" s="256">
        <v>2</v>
      </c>
      <c r="J1257" s="256">
        <v>10373.898735153478</v>
      </c>
      <c r="K1257" s="614">
        <f t="shared" si="95"/>
        <v>20748</v>
      </c>
      <c r="L1257" s="39" t="s">
        <v>159</v>
      </c>
      <c r="M1257" s="39" t="s">
        <v>157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94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>
        <f t="shared" si="93"/>
        <v>7</v>
      </c>
      <c r="C1258" s="37">
        <f t="shared" si="94"/>
        <v>40747</v>
      </c>
      <c r="D1258" s="37" t="s">
        <v>965</v>
      </c>
      <c r="E1258" s="37">
        <v>40747</v>
      </c>
      <c r="F1258" s="40" t="s">
        <v>1005</v>
      </c>
      <c r="G1258" s="40" t="s">
        <v>1181</v>
      </c>
      <c r="H1258" s="628" t="s">
        <v>733</v>
      </c>
      <c r="I1258" s="256">
        <v>10</v>
      </c>
      <c r="J1258" s="256">
        <v>13625.39873515348</v>
      </c>
      <c r="K1258" s="614">
        <f t="shared" si="95"/>
        <v>136254</v>
      </c>
      <c r="L1258" s="39" t="s">
        <v>165</v>
      </c>
      <c r="M1258" s="39" t="s">
        <v>159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94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>
        <f t="shared" si="93"/>
        <v>7</v>
      </c>
      <c r="C1259" s="37">
        <f t="shared" si="94"/>
        <v>40747</v>
      </c>
      <c r="D1259" s="37" t="s">
        <v>965</v>
      </c>
      <c r="E1259" s="37">
        <v>40747</v>
      </c>
      <c r="F1259" s="40" t="s">
        <v>993</v>
      </c>
      <c r="G1259" s="40" t="s">
        <v>1181</v>
      </c>
      <c r="H1259" s="628" t="s">
        <v>733</v>
      </c>
      <c r="I1259" s="256">
        <v>160</v>
      </c>
      <c r="J1259" s="256">
        <v>18925.398735153474</v>
      </c>
      <c r="K1259" s="614">
        <f t="shared" si="95"/>
        <v>3028064</v>
      </c>
      <c r="L1259" s="39" t="s">
        <v>165</v>
      </c>
      <c r="M1259" s="39" t="s">
        <v>159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94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>
        <f t="shared" si="93"/>
        <v>7</v>
      </c>
      <c r="C1260" s="37">
        <f t="shared" si="94"/>
        <v>40747</v>
      </c>
      <c r="D1260" s="37" t="s">
        <v>965</v>
      </c>
      <c r="E1260" s="37">
        <v>40747</v>
      </c>
      <c r="F1260" s="192" t="s">
        <v>756</v>
      </c>
      <c r="G1260" s="40" t="s">
        <v>1181</v>
      </c>
      <c r="H1260" s="628" t="s">
        <v>733</v>
      </c>
      <c r="I1260" s="256">
        <v>55</v>
      </c>
      <c r="J1260" s="256">
        <v>4487.3441896989325</v>
      </c>
      <c r="K1260" s="614">
        <f t="shared" si="95"/>
        <v>246804</v>
      </c>
      <c r="L1260" s="39" t="s">
        <v>165</v>
      </c>
      <c r="M1260" s="39" t="s">
        <v>159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94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>
        <f t="shared" si="93"/>
        <v>7</v>
      </c>
      <c r="C1261" s="37">
        <f t="shared" si="94"/>
        <v>40747</v>
      </c>
      <c r="D1261" s="37" t="s">
        <v>965</v>
      </c>
      <c r="E1261" s="37">
        <v>40747</v>
      </c>
      <c r="F1261" s="40" t="s">
        <v>749</v>
      </c>
      <c r="G1261" s="40" t="s">
        <v>1181</v>
      </c>
      <c r="H1261" s="628" t="s">
        <v>733</v>
      </c>
      <c r="I1261" s="256">
        <v>8</v>
      </c>
      <c r="J1261" s="256">
        <v>10373.648735153478</v>
      </c>
      <c r="K1261" s="614">
        <f t="shared" si="95"/>
        <v>82989</v>
      </c>
      <c r="L1261" s="39" t="s">
        <v>165</v>
      </c>
      <c r="M1261" s="39" t="s">
        <v>159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94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>
        <f t="shared" si="93"/>
        <v>7</v>
      </c>
      <c r="C1262" s="37">
        <f t="shared" si="94"/>
        <v>40747</v>
      </c>
      <c r="D1262" s="37" t="s">
        <v>965</v>
      </c>
      <c r="E1262" s="37">
        <v>40747</v>
      </c>
      <c r="F1262" s="40" t="s">
        <v>757</v>
      </c>
      <c r="G1262" s="40" t="s">
        <v>1181</v>
      </c>
      <c r="H1262" s="628" t="s">
        <v>733</v>
      </c>
      <c r="I1262" s="256">
        <v>1</v>
      </c>
      <c r="J1262" s="256">
        <v>4447.3987351534788</v>
      </c>
      <c r="K1262" s="614">
        <f t="shared" si="95"/>
        <v>4447</v>
      </c>
      <c r="L1262" s="39" t="s">
        <v>165</v>
      </c>
      <c r="M1262" s="39" t="s">
        <v>159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94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>
        <f t="shared" si="93"/>
        <v>7</v>
      </c>
      <c r="C1263" s="37">
        <f t="shared" si="94"/>
        <v>40747</v>
      </c>
      <c r="D1263" s="37" t="s">
        <v>965</v>
      </c>
      <c r="E1263" s="37">
        <v>40747</v>
      </c>
      <c r="F1263" s="189" t="s">
        <v>924</v>
      </c>
      <c r="G1263" s="40" t="s">
        <v>1181</v>
      </c>
      <c r="H1263" s="628" t="s">
        <v>733</v>
      </c>
      <c r="I1263" s="256">
        <v>1</v>
      </c>
      <c r="J1263" s="256">
        <v>6671.3987351534788</v>
      </c>
      <c r="K1263" s="614">
        <f t="shared" si="95"/>
        <v>6671</v>
      </c>
      <c r="L1263" s="39" t="s">
        <v>165</v>
      </c>
      <c r="M1263" s="39" t="s">
        <v>159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94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>
        <f t="shared" si="93"/>
        <v>7</v>
      </c>
      <c r="C1264" s="37">
        <f t="shared" si="94"/>
        <v>40747</v>
      </c>
      <c r="D1264" s="37" t="s">
        <v>965</v>
      </c>
      <c r="E1264" s="37">
        <v>40747</v>
      </c>
      <c r="F1264" s="40" t="s">
        <v>745</v>
      </c>
      <c r="G1264" s="40" t="s">
        <v>1181</v>
      </c>
      <c r="H1264" s="628" t="s">
        <v>733</v>
      </c>
      <c r="I1264" s="256">
        <v>2</v>
      </c>
      <c r="J1264" s="256">
        <v>8248.3987351534779</v>
      </c>
      <c r="K1264" s="614">
        <f t="shared" si="95"/>
        <v>16497</v>
      </c>
      <c r="L1264" s="39" t="s">
        <v>165</v>
      </c>
      <c r="M1264" s="39" t="s">
        <v>159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94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>
        <f t="shared" si="93"/>
        <v>7</v>
      </c>
      <c r="C1265" s="37">
        <f t="shared" si="94"/>
        <v>40747</v>
      </c>
      <c r="D1265" s="37" t="s">
        <v>965</v>
      </c>
      <c r="E1265" s="37">
        <v>40747</v>
      </c>
      <c r="F1265" s="40" t="s">
        <v>747</v>
      </c>
      <c r="G1265" s="40" t="s">
        <v>1181</v>
      </c>
      <c r="H1265" s="628" t="s">
        <v>733</v>
      </c>
      <c r="I1265" s="256">
        <v>2</v>
      </c>
      <c r="J1265" s="256">
        <v>10373.898735153478</v>
      </c>
      <c r="K1265" s="614">
        <f t="shared" si="95"/>
        <v>20748</v>
      </c>
      <c r="L1265" s="39" t="s">
        <v>165</v>
      </c>
      <c r="M1265" s="39" t="s">
        <v>159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94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>
        <f t="shared" si="93"/>
        <v>7</v>
      </c>
      <c r="C1266" s="191">
        <v>40748</v>
      </c>
      <c r="D1266" s="191" t="s">
        <v>966</v>
      </c>
      <c r="E1266" s="191">
        <v>40748</v>
      </c>
      <c r="F1266" s="192" t="s">
        <v>758</v>
      </c>
      <c r="G1266" s="498" t="s">
        <v>1182</v>
      </c>
      <c r="H1266" s="193" t="s">
        <v>733</v>
      </c>
      <c r="I1266" s="256">
        <v>11</v>
      </c>
      <c r="J1266" s="256">
        <v>7348</v>
      </c>
      <c r="K1266" s="614">
        <v>80828</v>
      </c>
      <c r="L1266" s="194" t="s">
        <v>259</v>
      </c>
      <c r="M1266" s="194" t="s">
        <v>167</v>
      </c>
      <c r="N1266" s="52" t="str">
        <f>IF(AND('331-CT'!$E$7=TH!H1266,OR(L1266="331",M1266="331")),"331",IF(AND(OR(L1266="131",M1266="131"),H1266='131-CT'!$E$7),"131",""))</f>
        <v>131</v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94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>
        <f t="shared" si="93"/>
        <v>7</v>
      </c>
      <c r="C1267" s="191">
        <v>40748</v>
      </c>
      <c r="D1267" s="191" t="s">
        <v>966</v>
      </c>
      <c r="E1267" s="191">
        <v>40748</v>
      </c>
      <c r="F1267" s="192" t="s">
        <v>759</v>
      </c>
      <c r="G1267" s="498" t="s">
        <v>1182</v>
      </c>
      <c r="H1267" s="193" t="s">
        <v>733</v>
      </c>
      <c r="I1267" s="256">
        <v>1</v>
      </c>
      <c r="J1267" s="256">
        <v>15136</v>
      </c>
      <c r="K1267" s="614">
        <v>15136</v>
      </c>
      <c r="L1267" s="194" t="s">
        <v>259</v>
      </c>
      <c r="M1267" s="194" t="s">
        <v>167</v>
      </c>
      <c r="N1267" s="52" t="str">
        <f>IF(AND('331-CT'!$E$7=TH!H1267,OR(L1267="331",M1267="331")),"331",IF(AND(OR(L1267="131",M1267="131"),H1267='131-CT'!$E$7),"131",""))</f>
        <v>131</v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94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>
        <f t="shared" si="93"/>
        <v>7</v>
      </c>
      <c r="C1268" s="191">
        <v>40748</v>
      </c>
      <c r="D1268" s="191" t="s">
        <v>966</v>
      </c>
      <c r="E1268" s="191">
        <v>40748</v>
      </c>
      <c r="F1268" s="192" t="s">
        <v>1011</v>
      </c>
      <c r="G1268" s="498" t="s">
        <v>1182</v>
      </c>
      <c r="H1268" s="193" t="s">
        <v>733</v>
      </c>
      <c r="I1268" s="256">
        <v>5</v>
      </c>
      <c r="J1268" s="256">
        <v>17837</v>
      </c>
      <c r="K1268" s="614">
        <v>89185</v>
      </c>
      <c r="L1268" s="194" t="s">
        <v>259</v>
      </c>
      <c r="M1268" s="194" t="s">
        <v>167</v>
      </c>
      <c r="N1268" s="52" t="str">
        <f>IF(AND('331-CT'!$E$7=TH!H1268,OR(L1268="331",M1268="331")),"331",IF(AND(OR(L1268="131",M1268="131"),H1268='131-CT'!$E$7),"131",""))</f>
        <v>131</v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94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>
        <f t="shared" si="93"/>
        <v>7</v>
      </c>
      <c r="C1269" s="191">
        <v>40748</v>
      </c>
      <c r="D1269" s="191" t="s">
        <v>966</v>
      </c>
      <c r="E1269" s="191">
        <v>40748</v>
      </c>
      <c r="F1269" s="192" t="s">
        <v>1297</v>
      </c>
      <c r="G1269" s="498" t="s">
        <v>1182</v>
      </c>
      <c r="H1269" s="193" t="s">
        <v>733</v>
      </c>
      <c r="I1269" s="256">
        <v>1</v>
      </c>
      <c r="J1269" s="256">
        <v>10026</v>
      </c>
      <c r="K1269" s="614">
        <v>10026</v>
      </c>
      <c r="L1269" s="194" t="s">
        <v>259</v>
      </c>
      <c r="M1269" s="194" t="s">
        <v>167</v>
      </c>
      <c r="N1269" s="52" t="str">
        <f>IF(AND('331-CT'!$E$7=TH!H1269,OR(L1269="331",M1269="331")),"331",IF(AND(OR(L1269="131",M1269="131"),H1269='131-CT'!$E$7),"131",""))</f>
        <v>131</v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94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>
        <f t="shared" si="93"/>
        <v>7</v>
      </c>
      <c r="C1270" s="191">
        <v>40748</v>
      </c>
      <c r="D1270" s="191" t="s">
        <v>966</v>
      </c>
      <c r="E1270" s="883">
        <v>40748</v>
      </c>
      <c r="F1270" s="192" t="s">
        <v>1004</v>
      </c>
      <c r="G1270" s="498" t="s">
        <v>1182</v>
      </c>
      <c r="H1270" s="193" t="s">
        <v>733</v>
      </c>
      <c r="I1270" s="256">
        <v>1</v>
      </c>
      <c r="J1270" s="256">
        <v>10723</v>
      </c>
      <c r="K1270" s="614">
        <v>10723</v>
      </c>
      <c r="L1270" s="194" t="s">
        <v>259</v>
      </c>
      <c r="M1270" s="194" t="s">
        <v>167</v>
      </c>
      <c r="N1270" s="52" t="str">
        <f>IF(AND('331-CT'!$E$7=TH!H1270,OR(L1270="331",M1270="331")),"331",IF(AND(OR(L1270="131",M1270="131"),H1270='131-CT'!$E$7),"131",""))</f>
        <v>131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94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>
        <f t="shared" si="93"/>
        <v>7</v>
      </c>
      <c r="C1271" s="191">
        <v>40748</v>
      </c>
      <c r="D1271" s="191" t="s">
        <v>966</v>
      </c>
      <c r="E1271" s="883">
        <v>40748</v>
      </c>
      <c r="F1271" s="192" t="s">
        <v>1176</v>
      </c>
      <c r="G1271" s="498" t="s">
        <v>1182</v>
      </c>
      <c r="H1271" s="193" t="s">
        <v>733</v>
      </c>
      <c r="I1271" s="256"/>
      <c r="J1271" s="256"/>
      <c r="K1271" s="614">
        <v>20590</v>
      </c>
      <c r="L1271" s="194" t="s">
        <v>259</v>
      </c>
      <c r="M1271" s="194" t="s">
        <v>731</v>
      </c>
      <c r="N1271" s="52" t="str">
        <f>IF(AND('331-CT'!$E$7=TH!H1271,OR(L1271="331",M1271="331")),"331",IF(AND(OR(L1271="131",M1271="131"),H1271='131-CT'!$E$7),"131",""))</f>
        <v>131</v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94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>
        <f t="shared" si="93"/>
        <v>7</v>
      </c>
      <c r="C1272" s="37">
        <f t="shared" ref="C1272:C1282" si="96">E1272</f>
        <v>40748</v>
      </c>
      <c r="D1272" s="37" t="s">
        <v>1101</v>
      </c>
      <c r="E1272" s="792">
        <v>40748</v>
      </c>
      <c r="F1272" s="189" t="s">
        <v>578</v>
      </c>
      <c r="G1272" s="40"/>
      <c r="H1272" s="628" t="s">
        <v>1092</v>
      </c>
      <c r="I1272" s="256">
        <v>249.5</v>
      </c>
      <c r="J1272" s="256">
        <v>10344</v>
      </c>
      <c r="K1272" s="614">
        <f t="shared" ref="K1272:K1282" si="97">ROUND(I1272*J1272,0)</f>
        <v>2580828</v>
      </c>
      <c r="L1272" s="39" t="s">
        <v>157</v>
      </c>
      <c r="M1272" s="39" t="s">
        <v>151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94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>
        <f t="shared" si="93"/>
        <v>7</v>
      </c>
      <c r="C1273" s="37">
        <f t="shared" si="96"/>
        <v>40748</v>
      </c>
      <c r="D1273" s="37" t="s">
        <v>1119</v>
      </c>
      <c r="E1273" s="882">
        <v>40748</v>
      </c>
      <c r="F1273" s="40" t="s">
        <v>758</v>
      </c>
      <c r="G1273" s="40"/>
      <c r="H1273" s="628" t="s">
        <v>1092</v>
      </c>
      <c r="I1273" s="256">
        <v>11</v>
      </c>
      <c r="J1273" s="256">
        <v>6671.398735153477</v>
      </c>
      <c r="K1273" s="614">
        <f t="shared" si="97"/>
        <v>73385</v>
      </c>
      <c r="L1273" s="39" t="s">
        <v>159</v>
      </c>
      <c r="M1273" s="39" t="s">
        <v>157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94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>
        <f t="shared" si="93"/>
        <v>7</v>
      </c>
      <c r="C1274" s="37">
        <f t="shared" si="96"/>
        <v>40748</v>
      </c>
      <c r="D1274" s="37" t="s">
        <v>1119</v>
      </c>
      <c r="E1274" s="882">
        <v>40748</v>
      </c>
      <c r="F1274" s="40" t="s">
        <v>759</v>
      </c>
      <c r="G1274" s="40"/>
      <c r="H1274" s="628" t="s">
        <v>1092</v>
      </c>
      <c r="I1274" s="256">
        <v>1</v>
      </c>
      <c r="J1274" s="256">
        <v>14080.398735153478</v>
      </c>
      <c r="K1274" s="614">
        <f t="shared" si="97"/>
        <v>14080</v>
      </c>
      <c r="L1274" s="39" t="s">
        <v>159</v>
      </c>
      <c r="M1274" s="39" t="s">
        <v>157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94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>
        <f t="shared" si="93"/>
        <v>7</v>
      </c>
      <c r="C1275" s="37">
        <f t="shared" si="96"/>
        <v>40748</v>
      </c>
      <c r="D1275" s="37" t="s">
        <v>1119</v>
      </c>
      <c r="E1275" s="882">
        <v>40748</v>
      </c>
      <c r="F1275" s="40" t="s">
        <v>1011</v>
      </c>
      <c r="G1275" s="40"/>
      <c r="H1275" s="628" t="s">
        <v>1092</v>
      </c>
      <c r="I1275" s="256">
        <v>5</v>
      </c>
      <c r="J1275" s="256">
        <v>16607.398735153474</v>
      </c>
      <c r="K1275" s="614">
        <f t="shared" si="97"/>
        <v>83037</v>
      </c>
      <c r="L1275" s="39" t="s">
        <v>159</v>
      </c>
      <c r="M1275" s="39" t="s">
        <v>157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94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>
        <f t="shared" si="93"/>
        <v>7</v>
      </c>
      <c r="C1276" s="37">
        <f t="shared" si="96"/>
        <v>40748</v>
      </c>
      <c r="D1276" s="37" t="s">
        <v>1119</v>
      </c>
      <c r="E1276" s="882">
        <v>40748</v>
      </c>
      <c r="F1276" s="192" t="s">
        <v>1297</v>
      </c>
      <c r="G1276" s="40"/>
      <c r="H1276" s="628" t="s">
        <v>1092</v>
      </c>
      <c r="I1276" s="256">
        <v>1</v>
      </c>
      <c r="J1276" s="256">
        <v>9490.3987351534779</v>
      </c>
      <c r="K1276" s="614">
        <f t="shared" si="97"/>
        <v>9490</v>
      </c>
      <c r="L1276" s="39" t="s">
        <v>159</v>
      </c>
      <c r="M1276" s="39" t="s">
        <v>157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94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>
        <f t="shared" si="93"/>
        <v>7</v>
      </c>
      <c r="C1277" s="37">
        <f t="shared" si="96"/>
        <v>40748</v>
      </c>
      <c r="D1277" s="37" t="s">
        <v>1119</v>
      </c>
      <c r="E1277" s="882">
        <v>40748</v>
      </c>
      <c r="F1277" s="40" t="s">
        <v>1004</v>
      </c>
      <c r="G1277" s="40"/>
      <c r="H1277" s="628" t="s">
        <v>1092</v>
      </c>
      <c r="I1277" s="256">
        <v>1</v>
      </c>
      <c r="J1277" s="256">
        <v>10374.398735153478</v>
      </c>
      <c r="K1277" s="614">
        <f t="shared" si="97"/>
        <v>10374</v>
      </c>
      <c r="L1277" s="39" t="s">
        <v>159</v>
      </c>
      <c r="M1277" s="39" t="s">
        <v>157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94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>
        <f t="shared" si="93"/>
        <v>7</v>
      </c>
      <c r="C1278" s="37">
        <f t="shared" si="96"/>
        <v>40748</v>
      </c>
      <c r="D1278" s="37" t="s">
        <v>966</v>
      </c>
      <c r="E1278" s="37">
        <v>40748</v>
      </c>
      <c r="F1278" s="40" t="s">
        <v>758</v>
      </c>
      <c r="G1278" s="40" t="s">
        <v>1182</v>
      </c>
      <c r="H1278" s="628" t="s">
        <v>733</v>
      </c>
      <c r="I1278" s="256">
        <v>11</v>
      </c>
      <c r="J1278" s="256">
        <v>6671.398735153477</v>
      </c>
      <c r="K1278" s="614">
        <f t="shared" si="97"/>
        <v>73385</v>
      </c>
      <c r="L1278" s="39" t="s">
        <v>165</v>
      </c>
      <c r="M1278" s="39" t="s">
        <v>159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94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>
        <f t="shared" si="93"/>
        <v>7</v>
      </c>
      <c r="C1279" s="37">
        <f t="shared" si="96"/>
        <v>40748</v>
      </c>
      <c r="D1279" s="37" t="s">
        <v>966</v>
      </c>
      <c r="E1279" s="37">
        <v>40748</v>
      </c>
      <c r="F1279" s="40" t="s">
        <v>759</v>
      </c>
      <c r="G1279" s="40" t="s">
        <v>1182</v>
      </c>
      <c r="H1279" s="628" t="s">
        <v>733</v>
      </c>
      <c r="I1279" s="256">
        <v>1</v>
      </c>
      <c r="J1279" s="256">
        <v>14080.398735153478</v>
      </c>
      <c r="K1279" s="614">
        <f t="shared" si="97"/>
        <v>14080</v>
      </c>
      <c r="L1279" s="39" t="s">
        <v>165</v>
      </c>
      <c r="M1279" s="39" t="s">
        <v>159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94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>
        <f t="shared" si="93"/>
        <v>7</v>
      </c>
      <c r="C1280" s="37">
        <f t="shared" si="96"/>
        <v>40748</v>
      </c>
      <c r="D1280" s="37" t="s">
        <v>966</v>
      </c>
      <c r="E1280" s="37">
        <v>40748</v>
      </c>
      <c r="F1280" s="40" t="s">
        <v>1011</v>
      </c>
      <c r="G1280" s="40" t="s">
        <v>1182</v>
      </c>
      <c r="H1280" s="628" t="s">
        <v>733</v>
      </c>
      <c r="I1280" s="256">
        <v>5</v>
      </c>
      <c r="J1280" s="256">
        <v>16607.398735153474</v>
      </c>
      <c r="K1280" s="614">
        <f t="shared" si="97"/>
        <v>83037</v>
      </c>
      <c r="L1280" s="39" t="s">
        <v>165</v>
      </c>
      <c r="M1280" s="39" t="s">
        <v>159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94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>
        <f t="shared" si="93"/>
        <v>7</v>
      </c>
      <c r="C1281" s="37">
        <f t="shared" si="96"/>
        <v>40748</v>
      </c>
      <c r="D1281" s="37" t="s">
        <v>966</v>
      </c>
      <c r="E1281" s="37">
        <v>40748</v>
      </c>
      <c r="F1281" s="192" t="s">
        <v>1297</v>
      </c>
      <c r="G1281" s="40" t="s">
        <v>1182</v>
      </c>
      <c r="H1281" s="628" t="s">
        <v>733</v>
      </c>
      <c r="I1281" s="256">
        <v>1</v>
      </c>
      <c r="J1281" s="256">
        <v>9490.3987351534779</v>
      </c>
      <c r="K1281" s="614">
        <f t="shared" si="97"/>
        <v>9490</v>
      </c>
      <c r="L1281" s="39" t="s">
        <v>165</v>
      </c>
      <c r="M1281" s="39" t="s">
        <v>159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94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>
        <f t="shared" si="93"/>
        <v>7</v>
      </c>
      <c r="C1282" s="37">
        <f t="shared" si="96"/>
        <v>40748</v>
      </c>
      <c r="D1282" s="37" t="s">
        <v>966</v>
      </c>
      <c r="E1282" s="37">
        <v>40748</v>
      </c>
      <c r="F1282" s="40" t="s">
        <v>1004</v>
      </c>
      <c r="G1282" s="40" t="s">
        <v>1182</v>
      </c>
      <c r="H1282" s="628" t="s">
        <v>733</v>
      </c>
      <c r="I1282" s="256">
        <v>1</v>
      </c>
      <c r="J1282" s="256">
        <v>10374.398735153478</v>
      </c>
      <c r="K1282" s="614">
        <f t="shared" si="97"/>
        <v>10374</v>
      </c>
      <c r="L1282" s="39" t="s">
        <v>165</v>
      </c>
      <c r="M1282" s="39" t="s">
        <v>159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94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>
        <f t="shared" si="93"/>
        <v>7</v>
      </c>
      <c r="C1283" s="184">
        <v>40749</v>
      </c>
      <c r="D1283" s="184" t="s">
        <v>333</v>
      </c>
      <c r="E1283" s="184">
        <v>40749</v>
      </c>
      <c r="F1283" s="189" t="s">
        <v>364</v>
      </c>
      <c r="G1283" s="616" t="s">
        <v>330</v>
      </c>
      <c r="H1283" s="193"/>
      <c r="I1283" s="256"/>
      <c r="J1283" s="256"/>
      <c r="K1283" s="614">
        <v>32191</v>
      </c>
      <c r="L1283" s="615" t="s">
        <v>23</v>
      </c>
      <c r="M1283" s="615" t="s">
        <v>39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94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>
        <f t="shared" si="93"/>
        <v>7</v>
      </c>
      <c r="C1284" s="191">
        <v>40749</v>
      </c>
      <c r="D1284" s="191" t="s">
        <v>967</v>
      </c>
      <c r="E1284" s="191">
        <v>40749</v>
      </c>
      <c r="F1284" s="192" t="s">
        <v>1012</v>
      </c>
      <c r="G1284" s="498" t="s">
        <v>1183</v>
      </c>
      <c r="H1284" s="193" t="s">
        <v>734</v>
      </c>
      <c r="I1284" s="256">
        <v>108</v>
      </c>
      <c r="J1284" s="256">
        <v>17100</v>
      </c>
      <c r="K1284" s="614">
        <v>1846800</v>
      </c>
      <c r="L1284" s="194" t="s">
        <v>259</v>
      </c>
      <c r="M1284" s="194" t="s">
        <v>167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94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>
        <f t="shared" si="93"/>
        <v>7</v>
      </c>
      <c r="C1285" s="191">
        <v>40749</v>
      </c>
      <c r="D1285" s="191" t="s">
        <v>967</v>
      </c>
      <c r="E1285" s="191">
        <v>40749</v>
      </c>
      <c r="F1285" s="192" t="s">
        <v>1013</v>
      </c>
      <c r="G1285" s="498" t="s">
        <v>1183</v>
      </c>
      <c r="H1285" s="193" t="s">
        <v>734</v>
      </c>
      <c r="I1285" s="256">
        <v>97</v>
      </c>
      <c r="J1285" s="256">
        <v>19690</v>
      </c>
      <c r="K1285" s="614">
        <v>1909930</v>
      </c>
      <c r="L1285" s="194" t="s">
        <v>259</v>
      </c>
      <c r="M1285" s="194" t="s">
        <v>167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94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>
        <f t="shared" si="93"/>
        <v>7</v>
      </c>
      <c r="C1286" s="191">
        <v>40749</v>
      </c>
      <c r="D1286" s="191" t="s">
        <v>967</v>
      </c>
      <c r="E1286" s="191">
        <v>40749</v>
      </c>
      <c r="F1286" s="192" t="s">
        <v>1014</v>
      </c>
      <c r="G1286" s="498" t="s">
        <v>1183</v>
      </c>
      <c r="H1286" s="193" t="s">
        <v>734</v>
      </c>
      <c r="I1286" s="256">
        <v>55</v>
      </c>
      <c r="J1286" s="256">
        <v>23100</v>
      </c>
      <c r="K1286" s="614">
        <v>1270500</v>
      </c>
      <c r="L1286" s="194" t="s">
        <v>259</v>
      </c>
      <c r="M1286" s="194" t="s">
        <v>167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94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>
        <f t="shared" si="93"/>
        <v>7</v>
      </c>
      <c r="C1287" s="191">
        <v>40749</v>
      </c>
      <c r="D1287" s="191" t="s">
        <v>967</v>
      </c>
      <c r="E1287" s="191">
        <v>40749</v>
      </c>
      <c r="F1287" s="192" t="s">
        <v>1176</v>
      </c>
      <c r="G1287" s="498" t="s">
        <v>1183</v>
      </c>
      <c r="H1287" s="193" t="s">
        <v>734</v>
      </c>
      <c r="I1287" s="256"/>
      <c r="J1287" s="256"/>
      <c r="K1287" s="614">
        <v>502723</v>
      </c>
      <c r="L1287" s="194" t="s">
        <v>259</v>
      </c>
      <c r="M1287" s="194" t="s">
        <v>731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94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>
        <f t="shared" si="93"/>
        <v>7</v>
      </c>
      <c r="C1288" s="37">
        <f t="shared" ref="C1288:C1293" si="98">E1288</f>
        <v>40749</v>
      </c>
      <c r="D1288" s="37" t="s">
        <v>1120</v>
      </c>
      <c r="E1288" s="37">
        <v>40749</v>
      </c>
      <c r="F1288" s="40" t="s">
        <v>1012</v>
      </c>
      <c r="G1288" s="40"/>
      <c r="H1288" s="628" t="s">
        <v>1092</v>
      </c>
      <c r="I1288" s="256">
        <v>108</v>
      </c>
      <c r="J1288" s="256">
        <v>14585.176512931257</v>
      </c>
      <c r="K1288" s="614">
        <f t="shared" ref="K1288:K1293" si="99">ROUND(I1288*J1288,0)</f>
        <v>1575199</v>
      </c>
      <c r="L1288" s="39" t="s">
        <v>159</v>
      </c>
      <c r="M1288" s="39" t="s">
        <v>157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94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>
        <f t="shared" si="93"/>
        <v>7</v>
      </c>
      <c r="C1289" s="37">
        <f t="shared" si="98"/>
        <v>40749</v>
      </c>
      <c r="D1289" s="37" t="s">
        <v>1120</v>
      </c>
      <c r="E1289" s="37">
        <v>40749</v>
      </c>
      <c r="F1289" s="40" t="s">
        <v>1013</v>
      </c>
      <c r="G1289" s="40"/>
      <c r="H1289" s="628" t="s">
        <v>1092</v>
      </c>
      <c r="I1289" s="256">
        <v>97</v>
      </c>
      <c r="J1289" s="256">
        <v>18714.903889792655</v>
      </c>
      <c r="K1289" s="614">
        <f t="shared" si="99"/>
        <v>1815346</v>
      </c>
      <c r="L1289" s="39" t="s">
        <v>159</v>
      </c>
      <c r="M1289" s="39" t="s">
        <v>157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94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>
        <f t="shared" si="93"/>
        <v>7</v>
      </c>
      <c r="C1290" s="37">
        <f t="shared" si="98"/>
        <v>40749</v>
      </c>
      <c r="D1290" s="37" t="s">
        <v>1120</v>
      </c>
      <c r="E1290" s="37">
        <v>40749</v>
      </c>
      <c r="F1290" s="40" t="s">
        <v>1014</v>
      </c>
      <c r="G1290" s="40"/>
      <c r="H1290" s="628" t="s">
        <v>1092</v>
      </c>
      <c r="I1290" s="256">
        <v>55</v>
      </c>
      <c r="J1290" s="256">
        <v>20128.398735153482</v>
      </c>
      <c r="K1290" s="614">
        <f t="shared" si="99"/>
        <v>1107062</v>
      </c>
      <c r="L1290" s="39" t="s">
        <v>159</v>
      </c>
      <c r="M1290" s="39" t="s">
        <v>157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94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>
        <f t="shared" si="93"/>
        <v>7</v>
      </c>
      <c r="C1291" s="37">
        <f t="shared" si="98"/>
        <v>40749</v>
      </c>
      <c r="D1291" s="37" t="s">
        <v>967</v>
      </c>
      <c r="E1291" s="37">
        <v>40749</v>
      </c>
      <c r="F1291" s="40" t="s">
        <v>1012</v>
      </c>
      <c r="G1291" s="40" t="s">
        <v>1183</v>
      </c>
      <c r="H1291" s="628" t="s">
        <v>734</v>
      </c>
      <c r="I1291" s="256">
        <v>108</v>
      </c>
      <c r="J1291" s="256">
        <v>14585.176512931257</v>
      </c>
      <c r="K1291" s="614">
        <f t="shared" si="99"/>
        <v>1575199</v>
      </c>
      <c r="L1291" s="39" t="s">
        <v>165</v>
      </c>
      <c r="M1291" s="39" t="s">
        <v>159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94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>
        <f t="shared" si="93"/>
        <v>7</v>
      </c>
      <c r="C1292" s="37">
        <f t="shared" si="98"/>
        <v>40749</v>
      </c>
      <c r="D1292" s="37" t="s">
        <v>967</v>
      </c>
      <c r="E1292" s="37">
        <v>40749</v>
      </c>
      <c r="F1292" s="40" t="s">
        <v>1013</v>
      </c>
      <c r="G1292" s="40" t="s">
        <v>1183</v>
      </c>
      <c r="H1292" s="628" t="s">
        <v>734</v>
      </c>
      <c r="I1292" s="256">
        <v>97</v>
      </c>
      <c r="J1292" s="256">
        <v>18714.903889792655</v>
      </c>
      <c r="K1292" s="614">
        <f t="shared" si="99"/>
        <v>1815346</v>
      </c>
      <c r="L1292" s="39" t="s">
        <v>165</v>
      </c>
      <c r="M1292" s="39" t="s">
        <v>159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94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>
        <f t="shared" si="93"/>
        <v>7</v>
      </c>
      <c r="C1293" s="37">
        <f t="shared" si="98"/>
        <v>40749</v>
      </c>
      <c r="D1293" s="37" t="s">
        <v>967</v>
      </c>
      <c r="E1293" s="37">
        <v>40749</v>
      </c>
      <c r="F1293" s="40" t="s">
        <v>1014</v>
      </c>
      <c r="G1293" s="40" t="s">
        <v>1183</v>
      </c>
      <c r="H1293" s="628" t="s">
        <v>734</v>
      </c>
      <c r="I1293" s="256">
        <v>55</v>
      </c>
      <c r="J1293" s="256">
        <v>20128.398735153482</v>
      </c>
      <c r="K1293" s="614">
        <f t="shared" si="99"/>
        <v>1107062</v>
      </c>
      <c r="L1293" s="39" t="s">
        <v>165</v>
      </c>
      <c r="M1293" s="39" t="s">
        <v>159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94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>
        <f t="shared" si="93"/>
        <v>7</v>
      </c>
      <c r="C1294" s="191">
        <v>40750</v>
      </c>
      <c r="D1294" s="191" t="s">
        <v>968</v>
      </c>
      <c r="E1294" s="191">
        <v>40750</v>
      </c>
      <c r="F1294" s="192" t="s">
        <v>1015</v>
      </c>
      <c r="G1294" s="498" t="s">
        <v>1184</v>
      </c>
      <c r="H1294" s="193" t="s">
        <v>734</v>
      </c>
      <c r="I1294" s="256">
        <v>499</v>
      </c>
      <c r="J1294" s="256">
        <v>8100</v>
      </c>
      <c r="K1294" s="614">
        <v>4041900</v>
      </c>
      <c r="L1294" s="194" t="s">
        <v>259</v>
      </c>
      <c r="M1294" s="194" t="s">
        <v>167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94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>
        <f t="shared" si="93"/>
        <v>7</v>
      </c>
      <c r="C1295" s="191">
        <v>40750</v>
      </c>
      <c r="D1295" s="191" t="s">
        <v>968</v>
      </c>
      <c r="E1295" s="191">
        <v>40750</v>
      </c>
      <c r="F1295" s="192" t="s">
        <v>1176</v>
      </c>
      <c r="G1295" s="498" t="s">
        <v>1184</v>
      </c>
      <c r="H1295" s="193" t="s">
        <v>734</v>
      </c>
      <c r="I1295" s="258"/>
      <c r="J1295" s="258"/>
      <c r="K1295" s="614">
        <v>404190</v>
      </c>
      <c r="L1295" s="194" t="s">
        <v>259</v>
      </c>
      <c r="M1295" s="194" t="s">
        <v>731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94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>
        <f t="shared" si="93"/>
        <v>7</v>
      </c>
      <c r="C1296" s="37">
        <f>E1296</f>
        <v>40750</v>
      </c>
      <c r="D1296" s="37" t="s">
        <v>1121</v>
      </c>
      <c r="E1296" s="37">
        <v>40750</v>
      </c>
      <c r="F1296" s="40" t="s">
        <v>1015</v>
      </c>
      <c r="G1296" s="40"/>
      <c r="H1296" s="628" t="s">
        <v>1092</v>
      </c>
      <c r="I1296" s="256">
        <v>499</v>
      </c>
      <c r="J1296" s="256">
        <v>7394.3987351534797</v>
      </c>
      <c r="K1296" s="614">
        <f>ROUND(I1296*J1296,0)</f>
        <v>3689805</v>
      </c>
      <c r="L1296" s="39" t="s">
        <v>159</v>
      </c>
      <c r="M1296" s="39" t="s">
        <v>157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94"/>
    </row>
    <row r="1297" spans="1:28" ht="15.75" customHeight="1">
      <c r="A1297" s="204" t="str">
        <f>IF(B1297&lt;&gt;"",IF(AND(B1297&gt;=_TM1,B1297&lt;=_TM2,OR(TH!L1297="1111",TH!M1297="1111")),TH!D1297,""),"")</f>
        <v/>
      </c>
      <c r="B1297" s="36">
        <f t="shared" si="93"/>
        <v>7</v>
      </c>
      <c r="C1297" s="37">
        <f>E1297</f>
        <v>40750</v>
      </c>
      <c r="D1297" s="37" t="s">
        <v>968</v>
      </c>
      <c r="E1297" s="37">
        <v>40750</v>
      </c>
      <c r="F1297" s="40" t="s">
        <v>1015</v>
      </c>
      <c r="G1297" s="40" t="s">
        <v>1184</v>
      </c>
      <c r="H1297" s="628" t="s">
        <v>734</v>
      </c>
      <c r="I1297" s="256">
        <v>499</v>
      </c>
      <c r="J1297" s="256">
        <v>7394.3987351534797</v>
      </c>
      <c r="K1297" s="614">
        <f>ROUND(I1297*J1297,0)</f>
        <v>3689805</v>
      </c>
      <c r="L1297" s="39" t="s">
        <v>165</v>
      </c>
      <c r="M1297" s="39" t="s">
        <v>159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94"/>
    </row>
    <row r="1298" spans="1:28" ht="15.75" customHeight="1">
      <c r="A1298" s="204" t="str">
        <f>IF(B1298&lt;&gt;"",IF(AND(B1298&gt;=_TM1,B1298&lt;=_TM2,OR(TH!L1298="1111",TH!M1298="1111")),TH!D1298,""),"")</f>
        <v/>
      </c>
      <c r="B1298" s="36">
        <f t="shared" si="93"/>
        <v>7</v>
      </c>
      <c r="C1298" s="720">
        <v>40755</v>
      </c>
      <c r="D1298" s="720" t="s">
        <v>439</v>
      </c>
      <c r="E1298" s="835">
        <v>40755</v>
      </c>
      <c r="F1298" s="721" t="s">
        <v>1133</v>
      </c>
      <c r="G1298" s="722"/>
      <c r="H1298" s="628" t="s">
        <v>363</v>
      </c>
      <c r="I1298" s="494"/>
      <c r="J1298" s="494"/>
      <c r="K1298" s="723">
        <v>13340000</v>
      </c>
      <c r="L1298" s="724" t="s">
        <v>262</v>
      </c>
      <c r="M1298" s="724" t="s">
        <v>46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>x</v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894"/>
    </row>
    <row r="1299" spans="1:28" ht="15.75" customHeight="1">
      <c r="A1299" s="204" t="str">
        <f>IF(B1299&lt;&gt;"",IF(AND(B1299&gt;=_TM1,B1299&lt;=_TM2,OR(TH!L1299="1111",TH!M1299="1111")),TH!D1299,""),"")</f>
        <v/>
      </c>
      <c r="B1299" s="36">
        <f t="shared" si="93"/>
        <v>7</v>
      </c>
      <c r="C1299" s="191">
        <v>40755</v>
      </c>
      <c r="D1299" s="720" t="s">
        <v>440</v>
      </c>
      <c r="E1299" s="191">
        <v>40755</v>
      </c>
      <c r="F1299" s="192" t="s">
        <v>1144</v>
      </c>
      <c r="G1299" s="498" t="s">
        <v>1145</v>
      </c>
      <c r="H1299" s="193" t="s">
        <v>1146</v>
      </c>
      <c r="I1299" s="256"/>
      <c r="J1299" s="256"/>
      <c r="K1299" s="38">
        <v>455629</v>
      </c>
      <c r="L1299" s="194" t="s">
        <v>261</v>
      </c>
      <c r="M1299" s="194" t="s">
        <v>46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>x</v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>641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894"/>
    </row>
    <row r="1300" spans="1:28" ht="15.75" customHeight="1">
      <c r="A1300" s="204" t="str">
        <f>IF(B1300&lt;&gt;"",IF(AND(B1300&gt;=_TM1,B1300&lt;=_TM2,OR(TH!L1300="1111",TH!M1300="1111")),TH!D1300,""),"")</f>
        <v/>
      </c>
      <c r="B1300" s="36">
        <f t="shared" si="93"/>
        <v>7</v>
      </c>
      <c r="C1300" s="191">
        <v>40755</v>
      </c>
      <c r="D1300" s="720" t="s">
        <v>440</v>
      </c>
      <c r="E1300" s="191">
        <v>40755</v>
      </c>
      <c r="F1300" s="192" t="s">
        <v>1147</v>
      </c>
      <c r="G1300" s="498" t="s">
        <v>1145</v>
      </c>
      <c r="H1300" s="193" t="s">
        <v>1146</v>
      </c>
      <c r="I1300" s="256"/>
      <c r="J1300" s="256"/>
      <c r="K1300" s="38">
        <v>44378</v>
      </c>
      <c r="L1300" s="194" t="s">
        <v>9</v>
      </c>
      <c r="M1300" s="194" t="s">
        <v>46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>x</v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894"/>
      <c r="AB1300" s="198">
        <v>7</v>
      </c>
    </row>
    <row r="1301" spans="1:28" ht="15.75" customHeight="1">
      <c r="A1301" s="204" t="str">
        <f>IF(B1301&lt;&gt;"",IF(AND(B1301&gt;=_TM1,B1301&lt;=_TM2,OR(TH!L1301="1111",TH!M1301="1111")),TH!D1301,""),"")</f>
        <v/>
      </c>
      <c r="B1301" s="36">
        <f t="shared" si="93"/>
        <v>7</v>
      </c>
      <c r="C1301" s="720">
        <v>40755</v>
      </c>
      <c r="D1301" s="720" t="s">
        <v>337</v>
      </c>
      <c r="E1301" s="835">
        <v>40755</v>
      </c>
      <c r="F1301" s="721" t="s">
        <v>947</v>
      </c>
      <c r="G1301" s="722"/>
      <c r="H1301" s="628"/>
      <c r="I1301" s="494"/>
      <c r="J1301" s="494"/>
      <c r="K1301" s="723">
        <v>7070000</v>
      </c>
      <c r="L1301" s="724" t="s">
        <v>75</v>
      </c>
      <c r="M1301" s="724" t="s">
        <v>262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>x</v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894"/>
    </row>
    <row r="1302" spans="1:28" ht="15.75" customHeight="1">
      <c r="A1302" s="204" t="str">
        <f>IF(B1302&lt;&gt;"",IF(AND(B1302&gt;=_TM1,B1302&lt;=_TM2,OR(TH!L1302="1111",TH!M1302="1111")),TH!D1302,""),"")</f>
        <v/>
      </c>
      <c r="B1302" s="36">
        <f t="shared" si="93"/>
        <v>7</v>
      </c>
      <c r="C1302" s="720">
        <v>40755</v>
      </c>
      <c r="D1302" s="720" t="s">
        <v>337</v>
      </c>
      <c r="E1302" s="835">
        <v>40755</v>
      </c>
      <c r="F1302" s="721" t="s">
        <v>785</v>
      </c>
      <c r="G1302" s="722"/>
      <c r="H1302" s="628"/>
      <c r="I1302" s="494"/>
      <c r="J1302" s="494"/>
      <c r="K1302" s="614">
        <v>6270000</v>
      </c>
      <c r="L1302" s="724" t="s">
        <v>157</v>
      </c>
      <c r="M1302" s="724" t="s">
        <v>262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894"/>
    </row>
    <row r="1303" spans="1:28" ht="15.75" customHeight="1">
      <c r="A1303" s="204" t="str">
        <f>IF(B1303&lt;&gt;"",IF(AND(B1303&gt;=_TM1,B1303&lt;=_TM2,OR(TH!L1303="1111",TH!M1303="1111")),TH!D1303,""),"")</f>
        <v/>
      </c>
      <c r="B1303" s="36">
        <f t="shared" si="93"/>
        <v>8</v>
      </c>
      <c r="C1303" s="37">
        <f>E1303</f>
        <v>40756</v>
      </c>
      <c r="D1303" s="37" t="s">
        <v>1102</v>
      </c>
      <c r="E1303" s="794">
        <v>40756</v>
      </c>
      <c r="F1303" s="40" t="s">
        <v>589</v>
      </c>
      <c r="G1303" s="40"/>
      <c r="H1303" s="628" t="s">
        <v>1092</v>
      </c>
      <c r="I1303" s="256">
        <v>330</v>
      </c>
      <c r="J1303" s="256">
        <v>22961</v>
      </c>
      <c r="K1303" s="614">
        <f>ROUND(I1303*J1303,0)</f>
        <v>7577130</v>
      </c>
      <c r="L1303" s="39" t="s">
        <v>157</v>
      </c>
      <c r="M1303" s="39" t="s">
        <v>151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894"/>
    </row>
    <row r="1304" spans="1:28" ht="15.75" customHeight="1">
      <c r="A1304" s="204" t="str">
        <f>IF(B1304&lt;&gt;"",IF(AND(B1304&gt;=_TM1,B1304&lt;=_TM2,OR(TH!L1304="1111",TH!M1304="1111")),TH!D1304,""),"")</f>
        <v/>
      </c>
      <c r="B1304" s="36">
        <f t="shared" si="93"/>
        <v>8</v>
      </c>
      <c r="C1304" s="191">
        <v>40758</v>
      </c>
      <c r="D1304" s="720" t="s">
        <v>441</v>
      </c>
      <c r="E1304" s="813">
        <v>40758</v>
      </c>
      <c r="F1304" s="192" t="s">
        <v>1144</v>
      </c>
      <c r="G1304" s="498" t="s">
        <v>1148</v>
      </c>
      <c r="H1304" s="193" t="s">
        <v>1146</v>
      </c>
      <c r="I1304" s="256"/>
      <c r="J1304" s="256"/>
      <c r="K1304" s="38">
        <v>384545</v>
      </c>
      <c r="L1304" s="194" t="s">
        <v>261</v>
      </c>
      <c r="M1304" s="194" t="s">
        <v>46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>x</v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>641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894"/>
    </row>
    <row r="1305" spans="1:28" ht="15.75" customHeight="1">
      <c r="A1305" s="204" t="str">
        <f>IF(B1305&lt;&gt;"",IF(AND(B1305&gt;=_TM1,B1305&lt;=_TM2,OR(TH!L1305="1111",TH!M1305="1111")),TH!D1305,""),"")</f>
        <v/>
      </c>
      <c r="B1305" s="36">
        <f t="shared" ref="B1305:B1368" si="100">IF(C1305&lt;&gt;"",MONTH(C1305),"")</f>
        <v>8</v>
      </c>
      <c r="C1305" s="191">
        <v>40758</v>
      </c>
      <c r="D1305" s="720" t="s">
        <v>441</v>
      </c>
      <c r="E1305" s="813">
        <v>40758</v>
      </c>
      <c r="F1305" s="192" t="s">
        <v>1147</v>
      </c>
      <c r="G1305" s="498" t="s">
        <v>1148</v>
      </c>
      <c r="H1305" s="193" t="s">
        <v>1146</v>
      </c>
      <c r="I1305" s="256"/>
      <c r="J1305" s="256"/>
      <c r="K1305" s="38">
        <v>37455</v>
      </c>
      <c r="L1305" s="194" t="s">
        <v>9</v>
      </c>
      <c r="M1305" s="194" t="s">
        <v>46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>x</v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894"/>
      <c r="AB1305" s="198">
        <v>8</v>
      </c>
    </row>
    <row r="1306" spans="1:28" ht="15.75" customHeight="1">
      <c r="A1306" s="204" t="str">
        <f>IF(B1306&lt;&gt;"",IF(AND(B1306&gt;=_TM1,B1306&lt;=_TM2,OR(TH!L1306="1111",TH!M1306="1111")),TH!D1306,""),"")</f>
        <v/>
      </c>
      <c r="B1306" s="36">
        <f t="shared" si="100"/>
        <v>8</v>
      </c>
      <c r="C1306" s="191">
        <v>40758</v>
      </c>
      <c r="D1306" s="720" t="s">
        <v>442</v>
      </c>
      <c r="E1306" s="191">
        <v>40758</v>
      </c>
      <c r="F1306" s="298" t="s">
        <v>372</v>
      </c>
      <c r="G1306" s="498" t="s">
        <v>1149</v>
      </c>
      <c r="H1306" s="7" t="s">
        <v>371</v>
      </c>
      <c r="I1306" s="256">
        <v>40</v>
      </c>
      <c r="J1306" s="256">
        <v>40000</v>
      </c>
      <c r="K1306" s="614">
        <v>1600000</v>
      </c>
      <c r="L1306" s="194" t="s">
        <v>157</v>
      </c>
      <c r="M1306" s="194" t="s">
        <v>46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>x</v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894"/>
    </row>
    <row r="1307" spans="1:28" ht="15.75" customHeight="1">
      <c r="A1307" s="204" t="str">
        <f>IF(B1307&lt;&gt;"",IF(AND(B1307&gt;=_TM1,B1307&lt;=_TM2,OR(TH!L1307="1111",TH!M1307="1111")),TH!D1307,""),"")</f>
        <v/>
      </c>
      <c r="B1307" s="36">
        <f t="shared" si="100"/>
        <v>8</v>
      </c>
      <c r="C1307" s="191">
        <v>40758</v>
      </c>
      <c r="D1307" s="720" t="s">
        <v>442</v>
      </c>
      <c r="E1307" s="191">
        <v>40758</v>
      </c>
      <c r="F1307" s="298" t="s">
        <v>1150</v>
      </c>
      <c r="G1307" s="498" t="s">
        <v>1149</v>
      </c>
      <c r="H1307" s="7" t="s">
        <v>371</v>
      </c>
      <c r="I1307" s="256"/>
      <c r="J1307" s="256"/>
      <c r="K1307" s="38">
        <v>160000</v>
      </c>
      <c r="L1307" s="194" t="s">
        <v>9</v>
      </c>
      <c r="M1307" s="194" t="s">
        <v>46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>x</v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894"/>
      <c r="AB1307" s="198">
        <v>8</v>
      </c>
    </row>
    <row r="1308" spans="1:28" ht="15.75" customHeight="1">
      <c r="A1308" s="204" t="str">
        <f>IF(B1308&lt;&gt;"",IF(AND(B1308&gt;=_TM1,B1308&lt;=_TM2,OR(TH!L1308="1111",TH!M1308="1111")),TH!D1308,""),"")</f>
        <v/>
      </c>
      <c r="B1308" s="36">
        <f t="shared" si="100"/>
        <v>8</v>
      </c>
      <c r="C1308" s="184">
        <v>40760</v>
      </c>
      <c r="D1308" s="184" t="s">
        <v>333</v>
      </c>
      <c r="E1308" s="184">
        <v>40760</v>
      </c>
      <c r="F1308" s="189" t="s">
        <v>335</v>
      </c>
      <c r="G1308" s="616" t="s">
        <v>330</v>
      </c>
      <c r="H1308" s="193" t="s">
        <v>733</v>
      </c>
      <c r="I1308" s="256"/>
      <c r="J1308" s="256"/>
      <c r="K1308" s="614">
        <v>72527558</v>
      </c>
      <c r="L1308" s="615" t="s">
        <v>23</v>
      </c>
      <c r="M1308" s="615" t="s">
        <v>259</v>
      </c>
      <c r="N1308" s="52" t="str">
        <f>IF(AND('331-CT'!$E$7=TH!H1308,OR(L1308="331",M1308="331")),"331",IF(AND(OR(L1308="131",M1308="131"),H1308='131-CT'!$E$7),"131",""))</f>
        <v>131</v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894"/>
    </row>
    <row r="1309" spans="1:28" ht="15.75" customHeight="1">
      <c r="A1309" s="204" t="str">
        <f>IF(B1309&lt;&gt;"",IF(AND(B1309&gt;=_TM1,B1309&lt;=_TM2,OR(TH!L1309="1111",TH!M1309="1111")),TH!D1309,""),"")</f>
        <v/>
      </c>
      <c r="B1309" s="36">
        <f t="shared" si="100"/>
        <v>8</v>
      </c>
      <c r="C1309" s="37">
        <f t="shared" ref="C1309:C1317" si="101">E1309</f>
        <v>40760</v>
      </c>
      <c r="D1309" s="37" t="s">
        <v>1103</v>
      </c>
      <c r="E1309" s="794">
        <v>40760</v>
      </c>
      <c r="F1309" s="189" t="s">
        <v>544</v>
      </c>
      <c r="G1309" s="40"/>
      <c r="H1309" s="628" t="s">
        <v>1092</v>
      </c>
      <c r="I1309" s="256">
        <v>200</v>
      </c>
      <c r="J1309" s="256">
        <v>26854</v>
      </c>
      <c r="K1309" s="614">
        <f t="shared" ref="K1309:K1317" si="102">ROUND(I1309*J1309,0)</f>
        <v>5370800</v>
      </c>
      <c r="L1309" s="39" t="s">
        <v>157</v>
      </c>
      <c r="M1309" s="39" t="s">
        <v>151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894"/>
    </row>
    <row r="1310" spans="1:28" ht="15.75" customHeight="1">
      <c r="A1310" s="204" t="str">
        <f>IF(B1310&lt;&gt;"",IF(AND(B1310&gt;=_TM1,B1310&lt;=_TM2,OR(TH!L1310="1111",TH!M1310="1111")),TH!D1310,""),"")</f>
        <v/>
      </c>
      <c r="B1310" s="36">
        <f t="shared" si="100"/>
        <v>8</v>
      </c>
      <c r="C1310" s="37">
        <f t="shared" si="101"/>
        <v>40760</v>
      </c>
      <c r="D1310" s="37" t="s">
        <v>1103</v>
      </c>
      <c r="E1310" s="794">
        <v>40760</v>
      </c>
      <c r="F1310" s="40" t="s">
        <v>614</v>
      </c>
      <c r="G1310" s="40"/>
      <c r="H1310" s="628" t="s">
        <v>1092</v>
      </c>
      <c r="I1310" s="256">
        <v>2</v>
      </c>
      <c r="J1310" s="256">
        <v>31360</v>
      </c>
      <c r="K1310" s="614">
        <f t="shared" si="102"/>
        <v>62720</v>
      </c>
      <c r="L1310" s="39" t="s">
        <v>157</v>
      </c>
      <c r="M1310" s="39" t="s">
        <v>151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894"/>
    </row>
    <row r="1311" spans="1:28" ht="15.75" customHeight="1">
      <c r="A1311" s="204" t="str">
        <f>IF(B1311&lt;&gt;"",IF(AND(B1311&gt;=_TM1,B1311&lt;=_TM2,OR(TH!L1311="1111",TH!M1311="1111")),TH!D1311,""),"")</f>
        <v/>
      </c>
      <c r="B1311" s="36">
        <f t="shared" si="100"/>
        <v>8</v>
      </c>
      <c r="C1311" s="37">
        <f t="shared" si="101"/>
        <v>40760</v>
      </c>
      <c r="D1311" s="37" t="s">
        <v>1103</v>
      </c>
      <c r="E1311" s="794">
        <v>40760</v>
      </c>
      <c r="F1311" s="189" t="s">
        <v>387</v>
      </c>
      <c r="G1311" s="40"/>
      <c r="H1311" s="628" t="s">
        <v>1092</v>
      </c>
      <c r="I1311" s="839">
        <v>1</v>
      </c>
      <c r="J1311" s="256">
        <v>4449</v>
      </c>
      <c r="K1311" s="614">
        <f t="shared" si="102"/>
        <v>4449</v>
      </c>
      <c r="L1311" s="39" t="s">
        <v>157</v>
      </c>
      <c r="M1311" s="39" t="s">
        <v>151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>x</v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894"/>
    </row>
    <row r="1312" spans="1:28" ht="15.75" customHeight="1">
      <c r="A1312" s="204" t="str">
        <f>IF(B1312&lt;&gt;"",IF(AND(B1312&gt;=_TM1,B1312&lt;=_TM2,OR(TH!L1312="1111",TH!M1312="1111")),TH!D1312,""),"")</f>
        <v/>
      </c>
      <c r="B1312" s="36">
        <f t="shared" si="100"/>
        <v>8</v>
      </c>
      <c r="C1312" s="37">
        <f t="shared" si="101"/>
        <v>40760</v>
      </c>
      <c r="D1312" s="37" t="s">
        <v>1103</v>
      </c>
      <c r="E1312" s="794">
        <v>40760</v>
      </c>
      <c r="F1312" s="40" t="s">
        <v>599</v>
      </c>
      <c r="G1312" s="40"/>
      <c r="H1312" s="628" t="s">
        <v>1092</v>
      </c>
      <c r="I1312" s="256">
        <v>1</v>
      </c>
      <c r="J1312" s="256">
        <v>26894</v>
      </c>
      <c r="K1312" s="614">
        <f t="shared" si="102"/>
        <v>26894</v>
      </c>
      <c r="L1312" s="39" t="s">
        <v>157</v>
      </c>
      <c r="M1312" s="39" t="s">
        <v>151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894"/>
    </row>
    <row r="1313" spans="1:28" ht="15.75" customHeight="1">
      <c r="A1313" s="204" t="str">
        <f>IF(B1313&lt;&gt;"",IF(AND(B1313&gt;=_TM1,B1313&lt;=_TM2,OR(TH!L1313="1111",TH!M1313="1111")),TH!D1313,""),"")</f>
        <v/>
      </c>
      <c r="B1313" s="36">
        <f t="shared" si="100"/>
        <v>8</v>
      </c>
      <c r="C1313" s="37">
        <f t="shared" si="101"/>
        <v>40760</v>
      </c>
      <c r="D1313" s="37" t="s">
        <v>1103</v>
      </c>
      <c r="E1313" s="794">
        <v>40760</v>
      </c>
      <c r="F1313" s="189" t="s">
        <v>488</v>
      </c>
      <c r="G1313" s="40"/>
      <c r="H1313" s="628" t="s">
        <v>1092</v>
      </c>
      <c r="I1313" s="256">
        <v>1</v>
      </c>
      <c r="J1313" s="256">
        <v>16173</v>
      </c>
      <c r="K1313" s="614">
        <f t="shared" si="102"/>
        <v>16173</v>
      </c>
      <c r="L1313" s="39" t="s">
        <v>157</v>
      </c>
      <c r="M1313" s="39" t="s">
        <v>151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894"/>
    </row>
    <row r="1314" spans="1:28" ht="15.75" customHeight="1">
      <c r="A1314" s="204" t="str">
        <f>IF(B1314&lt;&gt;"",IF(AND(B1314&gt;=_TM1,B1314&lt;=_TM2,OR(TH!L1314="1111",TH!M1314="1111")),TH!D1314,""),"")</f>
        <v/>
      </c>
      <c r="B1314" s="36">
        <f t="shared" si="100"/>
        <v>8</v>
      </c>
      <c r="C1314" s="37">
        <f t="shared" si="101"/>
        <v>40760</v>
      </c>
      <c r="D1314" s="37" t="s">
        <v>1103</v>
      </c>
      <c r="E1314" s="794">
        <v>40760</v>
      </c>
      <c r="F1314" s="189" t="s">
        <v>488</v>
      </c>
      <c r="G1314" s="40"/>
      <c r="H1314" s="628" t="s">
        <v>1092</v>
      </c>
      <c r="I1314" s="256">
        <v>0.5</v>
      </c>
      <c r="J1314" s="256">
        <v>16173</v>
      </c>
      <c r="K1314" s="614">
        <f t="shared" si="102"/>
        <v>8087</v>
      </c>
      <c r="L1314" s="39" t="s">
        <v>157</v>
      </c>
      <c r="M1314" s="39" t="s">
        <v>151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894"/>
    </row>
    <row r="1315" spans="1:28" ht="15.75" customHeight="1">
      <c r="A1315" s="204" t="str">
        <f>IF(B1315&lt;&gt;"",IF(AND(B1315&gt;=_TM1,B1315&lt;=_TM2,OR(TH!L1315="1111",TH!M1315="1111")),TH!D1315,""),"")</f>
        <v/>
      </c>
      <c r="B1315" s="36">
        <f t="shared" si="100"/>
        <v>8</v>
      </c>
      <c r="C1315" s="37">
        <f t="shared" si="101"/>
        <v>40760</v>
      </c>
      <c r="D1315" s="37" t="s">
        <v>1103</v>
      </c>
      <c r="E1315" s="794">
        <v>40760</v>
      </c>
      <c r="F1315" s="189" t="s">
        <v>523</v>
      </c>
      <c r="G1315" s="40"/>
      <c r="H1315" s="628" t="s">
        <v>1092</v>
      </c>
      <c r="I1315" s="256">
        <v>1</v>
      </c>
      <c r="J1315" s="256">
        <v>7268</v>
      </c>
      <c r="K1315" s="614">
        <f t="shared" si="102"/>
        <v>7268</v>
      </c>
      <c r="L1315" s="39" t="s">
        <v>157</v>
      </c>
      <c r="M1315" s="39" t="s">
        <v>151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894"/>
    </row>
    <row r="1316" spans="1:28" ht="15.75" customHeight="1">
      <c r="A1316" s="204" t="str">
        <f>IF(B1316&lt;&gt;"",IF(AND(B1316&gt;=_TM1,B1316&lt;=_TM2,OR(TH!L1316="1111",TH!M1316="1111")),TH!D1316,""),"")</f>
        <v/>
      </c>
      <c r="B1316" s="36">
        <f t="shared" si="100"/>
        <v>8</v>
      </c>
      <c r="C1316" s="37">
        <f t="shared" si="101"/>
        <v>40760</v>
      </c>
      <c r="D1316" s="37" t="s">
        <v>1103</v>
      </c>
      <c r="E1316" s="794">
        <v>40760</v>
      </c>
      <c r="F1316" s="189" t="s">
        <v>488</v>
      </c>
      <c r="G1316" s="40"/>
      <c r="H1316" s="628" t="s">
        <v>1092</v>
      </c>
      <c r="I1316" s="256">
        <v>1</v>
      </c>
      <c r="J1316" s="256">
        <v>16173</v>
      </c>
      <c r="K1316" s="614">
        <f t="shared" si="102"/>
        <v>16173</v>
      </c>
      <c r="L1316" s="39" t="s">
        <v>157</v>
      </c>
      <c r="M1316" s="39" t="s">
        <v>151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894"/>
    </row>
    <row r="1317" spans="1:28" ht="15.75" customHeight="1">
      <c r="A1317" s="204" t="str">
        <f>IF(B1317&lt;&gt;"",IF(AND(B1317&gt;=_TM1,B1317&lt;=_TM2,OR(TH!L1317="1111",TH!M1317="1111")),TH!D1317,""),"")</f>
        <v/>
      </c>
      <c r="B1317" s="36">
        <f t="shared" si="100"/>
        <v>8</v>
      </c>
      <c r="C1317" s="37">
        <f t="shared" si="101"/>
        <v>40760</v>
      </c>
      <c r="D1317" s="37" t="s">
        <v>1103</v>
      </c>
      <c r="E1317" s="794">
        <v>40760</v>
      </c>
      <c r="F1317" s="189" t="s">
        <v>631</v>
      </c>
      <c r="G1317" s="40"/>
      <c r="H1317" s="628" t="s">
        <v>1092</v>
      </c>
      <c r="I1317" s="256">
        <v>350</v>
      </c>
      <c r="J1317" s="256">
        <v>21455</v>
      </c>
      <c r="K1317" s="614">
        <f t="shared" si="102"/>
        <v>7509250</v>
      </c>
      <c r="L1317" s="39" t="s">
        <v>157</v>
      </c>
      <c r="M1317" s="39" t="s">
        <v>151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894"/>
    </row>
    <row r="1318" spans="1:28" ht="15.75" customHeight="1">
      <c r="A1318" s="204" t="str">
        <f>IF(B1318&lt;&gt;"",IF(AND(B1318&gt;=_TM1,B1318&lt;=_TM2,OR(TH!L1318="1111",TH!M1318="1111")),TH!D1318,""),"")</f>
        <v/>
      </c>
      <c r="B1318" s="36">
        <f t="shared" si="100"/>
        <v>8</v>
      </c>
      <c r="C1318" s="191">
        <v>40762</v>
      </c>
      <c r="D1318" s="184" t="s">
        <v>657</v>
      </c>
      <c r="E1318" s="191">
        <v>40762</v>
      </c>
      <c r="F1318" s="192" t="s">
        <v>1144</v>
      </c>
      <c r="G1318" s="498" t="s">
        <v>1151</v>
      </c>
      <c r="H1318" s="193" t="s">
        <v>1146</v>
      </c>
      <c r="I1318" s="256"/>
      <c r="J1318" s="256"/>
      <c r="K1318" s="38">
        <v>455629</v>
      </c>
      <c r="L1318" s="194" t="s">
        <v>261</v>
      </c>
      <c r="M1318" s="194" t="s">
        <v>46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>x</v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>641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894"/>
    </row>
    <row r="1319" spans="1:28" ht="15.75" customHeight="1">
      <c r="A1319" s="204" t="str">
        <f>IF(B1319&lt;&gt;"",IF(AND(B1319&gt;=_TM1,B1319&lt;=_TM2,OR(TH!L1319="1111",TH!M1319="1111")),TH!D1319,""),"")</f>
        <v/>
      </c>
      <c r="B1319" s="36">
        <f t="shared" si="100"/>
        <v>8</v>
      </c>
      <c r="C1319" s="191">
        <v>40762</v>
      </c>
      <c r="D1319" s="184" t="s">
        <v>657</v>
      </c>
      <c r="E1319" s="191">
        <v>40762</v>
      </c>
      <c r="F1319" s="192" t="s">
        <v>1147</v>
      </c>
      <c r="G1319" s="498" t="s">
        <v>1151</v>
      </c>
      <c r="H1319" s="193" t="s">
        <v>1146</v>
      </c>
      <c r="I1319" s="256"/>
      <c r="J1319" s="256"/>
      <c r="K1319" s="38">
        <v>44378</v>
      </c>
      <c r="L1319" s="194" t="s">
        <v>9</v>
      </c>
      <c r="M1319" s="194" t="s">
        <v>46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>x</v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894"/>
      <c r="AB1319" s="198">
        <v>8</v>
      </c>
    </row>
    <row r="1320" spans="1:28" ht="15.75" customHeight="1">
      <c r="A1320" s="204" t="str">
        <f>IF(B1320&lt;&gt;"",IF(AND(B1320&gt;=_TM1,B1320&lt;=_TM2,OR(TH!L1320="1111",TH!M1320="1111")),TH!D1320,""),"")</f>
        <v/>
      </c>
      <c r="B1320" s="36">
        <f t="shared" si="100"/>
        <v>8</v>
      </c>
      <c r="C1320" s="37">
        <f t="shared" ref="C1320:C1327" si="103">E1320</f>
        <v>40763</v>
      </c>
      <c r="D1320" s="37" t="s">
        <v>1104</v>
      </c>
      <c r="E1320" s="794">
        <v>40763</v>
      </c>
      <c r="F1320" s="40" t="s">
        <v>556</v>
      </c>
      <c r="G1320" s="40"/>
      <c r="H1320" s="628" t="s">
        <v>1092</v>
      </c>
      <c r="I1320" s="256">
        <v>33</v>
      </c>
      <c r="J1320" s="256">
        <v>22372</v>
      </c>
      <c r="K1320" s="614">
        <f t="shared" ref="K1320:K1327" si="104">ROUND(I1320*J1320,0)</f>
        <v>738276</v>
      </c>
      <c r="L1320" s="39" t="s">
        <v>157</v>
      </c>
      <c r="M1320" s="39" t="s">
        <v>151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894"/>
    </row>
    <row r="1321" spans="1:28" ht="15.75" customHeight="1">
      <c r="A1321" s="204" t="str">
        <f>IF(B1321&lt;&gt;"",IF(AND(B1321&gt;=_TM1,B1321&lt;=_TM2,OR(TH!L1321="1111",TH!M1321="1111")),TH!D1321,""),"")</f>
        <v/>
      </c>
      <c r="B1321" s="36">
        <f t="shared" si="100"/>
        <v>8</v>
      </c>
      <c r="C1321" s="37">
        <f t="shared" si="103"/>
        <v>40763</v>
      </c>
      <c r="D1321" s="37" t="s">
        <v>1104</v>
      </c>
      <c r="E1321" s="794">
        <v>40763</v>
      </c>
      <c r="F1321" s="189" t="s">
        <v>578</v>
      </c>
      <c r="G1321" s="40"/>
      <c r="H1321" s="628" t="s">
        <v>1092</v>
      </c>
      <c r="I1321" s="256">
        <v>69</v>
      </c>
      <c r="J1321" s="256">
        <v>10344</v>
      </c>
      <c r="K1321" s="614">
        <f t="shared" si="104"/>
        <v>713736</v>
      </c>
      <c r="L1321" s="39" t="s">
        <v>157</v>
      </c>
      <c r="M1321" s="39" t="s">
        <v>151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894"/>
    </row>
    <row r="1322" spans="1:28" ht="15.75" customHeight="1">
      <c r="A1322" s="204" t="str">
        <f>IF(B1322&lt;&gt;"",IF(AND(B1322&gt;=_TM1,B1322&lt;=_TM2,OR(TH!L1322="1111",TH!M1322="1111")),TH!D1322,""),"")</f>
        <v/>
      </c>
      <c r="B1322" s="36">
        <f t="shared" si="100"/>
        <v>8</v>
      </c>
      <c r="C1322" s="37">
        <f t="shared" si="103"/>
        <v>40763</v>
      </c>
      <c r="D1322" s="37" t="s">
        <v>1104</v>
      </c>
      <c r="E1322" s="794">
        <v>40763</v>
      </c>
      <c r="F1322" s="189" t="s">
        <v>385</v>
      </c>
      <c r="G1322" s="40"/>
      <c r="H1322" s="628" t="s">
        <v>1092</v>
      </c>
      <c r="I1322" s="256">
        <v>279</v>
      </c>
      <c r="J1322" s="256">
        <v>6124</v>
      </c>
      <c r="K1322" s="614">
        <f t="shared" si="104"/>
        <v>1708596</v>
      </c>
      <c r="L1322" s="39" t="s">
        <v>157</v>
      </c>
      <c r="M1322" s="39" t="s">
        <v>151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894"/>
    </row>
    <row r="1323" spans="1:28" ht="15.75" customHeight="1">
      <c r="A1323" s="204" t="str">
        <f>IF(B1323&lt;&gt;"",IF(AND(B1323&gt;=_TM1,B1323&lt;=_TM2,OR(TH!L1323="1111",TH!M1323="1111")),TH!D1323,""),"")</f>
        <v/>
      </c>
      <c r="B1323" s="36">
        <f t="shared" si="100"/>
        <v>8</v>
      </c>
      <c r="C1323" s="37">
        <f t="shared" si="103"/>
        <v>40763</v>
      </c>
      <c r="D1323" s="37" t="s">
        <v>1104</v>
      </c>
      <c r="E1323" s="794">
        <v>40763</v>
      </c>
      <c r="F1323" s="189" t="s">
        <v>551</v>
      </c>
      <c r="G1323" s="40"/>
      <c r="H1323" s="628" t="s">
        <v>1092</v>
      </c>
      <c r="I1323" s="256">
        <v>20</v>
      </c>
      <c r="J1323" s="256">
        <v>16973</v>
      </c>
      <c r="K1323" s="614">
        <f t="shared" si="104"/>
        <v>339460</v>
      </c>
      <c r="L1323" s="39" t="s">
        <v>157</v>
      </c>
      <c r="M1323" s="39" t="s">
        <v>151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894"/>
    </row>
    <row r="1324" spans="1:28" ht="15.75" customHeight="1">
      <c r="A1324" s="204" t="str">
        <f>IF(B1324&lt;&gt;"",IF(AND(B1324&gt;=_TM1,B1324&lt;=_TM2,OR(TH!L1324="1111",TH!M1324="1111")),TH!D1324,""),"")</f>
        <v/>
      </c>
      <c r="B1324" s="36">
        <f t="shared" si="100"/>
        <v>8</v>
      </c>
      <c r="C1324" s="37">
        <f t="shared" si="103"/>
        <v>40763</v>
      </c>
      <c r="D1324" s="37" t="s">
        <v>1104</v>
      </c>
      <c r="E1324" s="794">
        <v>40763</v>
      </c>
      <c r="F1324" s="189" t="s">
        <v>584</v>
      </c>
      <c r="G1324" s="40"/>
      <c r="H1324" s="628" t="s">
        <v>1092</v>
      </c>
      <c r="I1324" s="256">
        <v>40</v>
      </c>
      <c r="J1324" s="256">
        <v>32686</v>
      </c>
      <c r="K1324" s="614">
        <f t="shared" si="104"/>
        <v>1307440</v>
      </c>
      <c r="L1324" s="39" t="s">
        <v>157</v>
      </c>
      <c r="M1324" s="39" t="s">
        <v>151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894"/>
    </row>
    <row r="1325" spans="1:28" ht="15.75" customHeight="1">
      <c r="A1325" s="204" t="str">
        <f>IF(B1325&lt;&gt;"",IF(AND(B1325&gt;=_TM1,B1325&lt;=_TM2,OR(TH!L1325="1111",TH!M1325="1111")),TH!D1325,""),"")</f>
        <v/>
      </c>
      <c r="B1325" s="36">
        <f t="shared" si="100"/>
        <v>8</v>
      </c>
      <c r="C1325" s="37">
        <f t="shared" si="103"/>
        <v>40763</v>
      </c>
      <c r="D1325" s="37" t="s">
        <v>1104</v>
      </c>
      <c r="E1325" s="794">
        <v>40763</v>
      </c>
      <c r="F1325" s="189" t="s">
        <v>569</v>
      </c>
      <c r="G1325" s="40"/>
      <c r="H1325" s="628" t="s">
        <v>1092</v>
      </c>
      <c r="I1325" s="256">
        <v>104</v>
      </c>
      <c r="J1325" s="256">
        <v>25524</v>
      </c>
      <c r="K1325" s="614">
        <f t="shared" si="104"/>
        <v>2654496</v>
      </c>
      <c r="L1325" s="39" t="s">
        <v>157</v>
      </c>
      <c r="M1325" s="39" t="s">
        <v>151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894"/>
    </row>
    <row r="1326" spans="1:28" ht="15.75" customHeight="1">
      <c r="A1326" s="204" t="str">
        <f>IF(B1326&lt;&gt;"",IF(AND(B1326&gt;=_TM1,B1326&lt;=_TM2,OR(TH!L1326="1111",TH!M1326="1111")),TH!D1326,""),"")</f>
        <v/>
      </c>
      <c r="B1326" s="36">
        <f t="shared" si="100"/>
        <v>8</v>
      </c>
      <c r="C1326" s="37">
        <f t="shared" si="103"/>
        <v>40763</v>
      </c>
      <c r="D1326" s="37" t="s">
        <v>1104</v>
      </c>
      <c r="E1326" s="794">
        <v>40763</v>
      </c>
      <c r="F1326" s="189" t="s">
        <v>631</v>
      </c>
      <c r="G1326" s="40"/>
      <c r="H1326" s="628" t="s">
        <v>1092</v>
      </c>
      <c r="I1326" s="256">
        <v>82</v>
      </c>
      <c r="J1326" s="256">
        <v>21455</v>
      </c>
      <c r="K1326" s="614">
        <f t="shared" si="104"/>
        <v>1759310</v>
      </c>
      <c r="L1326" s="39" t="s">
        <v>157</v>
      </c>
      <c r="M1326" s="39" t="s">
        <v>151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894"/>
    </row>
    <row r="1327" spans="1:28" ht="15.75" customHeight="1">
      <c r="A1327" s="204" t="str">
        <f>IF(B1327&lt;&gt;"",IF(AND(B1327&gt;=_TM1,B1327&lt;=_TM2,OR(TH!L1327="1111",TH!M1327="1111")),TH!D1327,""),"")</f>
        <v/>
      </c>
      <c r="B1327" s="36">
        <f t="shared" si="100"/>
        <v>8</v>
      </c>
      <c r="C1327" s="37">
        <f t="shared" si="103"/>
        <v>40763</v>
      </c>
      <c r="D1327" s="37" t="s">
        <v>1104</v>
      </c>
      <c r="E1327" s="794">
        <v>40763</v>
      </c>
      <c r="F1327" s="189" t="s">
        <v>387</v>
      </c>
      <c r="G1327" s="40"/>
      <c r="H1327" s="628" t="s">
        <v>1092</v>
      </c>
      <c r="I1327" s="839">
        <v>22.5</v>
      </c>
      <c r="J1327" s="256">
        <v>4449</v>
      </c>
      <c r="K1327" s="614">
        <f t="shared" si="104"/>
        <v>100103</v>
      </c>
      <c r="L1327" s="39" t="s">
        <v>157</v>
      </c>
      <c r="M1327" s="39" t="s">
        <v>151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>x</v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894"/>
    </row>
    <row r="1328" spans="1:28" ht="15.75" customHeight="1">
      <c r="A1328" s="204" t="str">
        <f>IF(B1328&lt;&gt;"",IF(AND(B1328&gt;=_TM1,B1328&lt;=_TM2,OR(TH!L1328="1111",TH!M1328="1111")),TH!D1328,""),"")</f>
        <v/>
      </c>
      <c r="B1328" s="36">
        <f t="shared" si="100"/>
        <v>8</v>
      </c>
      <c r="C1328" s="191">
        <v>40764</v>
      </c>
      <c r="D1328" s="191" t="s">
        <v>433</v>
      </c>
      <c r="E1328" s="191">
        <v>40764</v>
      </c>
      <c r="F1328" s="192" t="s">
        <v>1016</v>
      </c>
      <c r="G1328" s="498" t="s">
        <v>1185</v>
      </c>
      <c r="H1328" s="193" t="s">
        <v>760</v>
      </c>
      <c r="I1328" s="256"/>
      <c r="J1328" s="256"/>
      <c r="K1328" s="614">
        <v>11858000</v>
      </c>
      <c r="L1328" s="194" t="s">
        <v>46</v>
      </c>
      <c r="M1328" s="194" t="s">
        <v>259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>x</v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894"/>
    </row>
    <row r="1329" spans="1:28" ht="15.75" customHeight="1">
      <c r="A1329" s="204" t="str">
        <f>IF(B1329&lt;&gt;"",IF(AND(B1329&gt;=_TM1,B1329&lt;=_TM2,OR(TH!L1329="1111",TH!M1329="1111")),TH!D1329,""),"")</f>
        <v/>
      </c>
      <c r="B1329" s="36">
        <f t="shared" si="100"/>
        <v>8</v>
      </c>
      <c r="C1329" s="191">
        <v>40764</v>
      </c>
      <c r="D1329" s="191" t="s">
        <v>969</v>
      </c>
      <c r="E1329" s="191">
        <v>40764</v>
      </c>
      <c r="F1329" s="192" t="s">
        <v>1016</v>
      </c>
      <c r="G1329" s="498" t="s">
        <v>1185</v>
      </c>
      <c r="H1329" s="193" t="s">
        <v>760</v>
      </c>
      <c r="I1329" s="256">
        <v>980</v>
      </c>
      <c r="J1329" s="256">
        <v>11000</v>
      </c>
      <c r="K1329" s="614">
        <v>10780000</v>
      </c>
      <c r="L1329" s="194" t="s">
        <v>259</v>
      </c>
      <c r="M1329" s="194" t="s">
        <v>167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894"/>
    </row>
    <row r="1330" spans="1:28" ht="15.75" customHeight="1">
      <c r="A1330" s="204" t="str">
        <f>IF(B1330&lt;&gt;"",IF(AND(B1330&gt;=_TM1,B1330&lt;=_TM2,OR(TH!L1330="1111",TH!M1330="1111")),TH!D1330,""),"")</f>
        <v/>
      </c>
      <c r="B1330" s="36">
        <f t="shared" si="100"/>
        <v>8</v>
      </c>
      <c r="C1330" s="191">
        <v>40764</v>
      </c>
      <c r="D1330" s="191" t="s">
        <v>969</v>
      </c>
      <c r="E1330" s="191">
        <v>40764</v>
      </c>
      <c r="F1330" s="192" t="s">
        <v>1176</v>
      </c>
      <c r="G1330" s="498" t="s">
        <v>1185</v>
      </c>
      <c r="H1330" s="193" t="s">
        <v>760</v>
      </c>
      <c r="I1330" s="256"/>
      <c r="J1330" s="256"/>
      <c r="K1330" s="614">
        <v>1078000</v>
      </c>
      <c r="L1330" s="194" t="s">
        <v>259</v>
      </c>
      <c r="M1330" s="194" t="s">
        <v>731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894"/>
    </row>
    <row r="1331" spans="1:28" ht="15.75" customHeight="1">
      <c r="A1331" s="204" t="str">
        <f>IF(B1331&lt;&gt;"",IF(AND(B1331&gt;=_TM1,B1331&lt;=_TM2,OR(TH!L1331="1111",TH!M1331="1111")),TH!D1331,""),"")</f>
        <v/>
      </c>
      <c r="B1331" s="36">
        <f t="shared" si="100"/>
        <v>8</v>
      </c>
      <c r="C1331" s="37">
        <f>E1331</f>
        <v>40764</v>
      </c>
      <c r="D1331" s="37" t="s">
        <v>1122</v>
      </c>
      <c r="E1331" s="37">
        <v>40764</v>
      </c>
      <c r="F1331" s="40" t="s">
        <v>1016</v>
      </c>
      <c r="G1331" s="40"/>
      <c r="H1331" s="628" t="s">
        <v>1092</v>
      </c>
      <c r="I1331" s="256">
        <v>980</v>
      </c>
      <c r="J1331" s="256">
        <v>9954.164041275928</v>
      </c>
      <c r="K1331" s="614">
        <f>ROUND(I1331*J1331,0)</f>
        <v>9755081</v>
      </c>
      <c r="L1331" s="39" t="s">
        <v>159</v>
      </c>
      <c r="M1331" s="39" t="s">
        <v>157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894"/>
    </row>
    <row r="1332" spans="1:28" ht="15.75" customHeight="1">
      <c r="A1332" s="204" t="str">
        <f>IF(B1332&lt;&gt;"",IF(AND(B1332&gt;=_TM1,B1332&lt;=_TM2,OR(TH!L1332="1111",TH!M1332="1111")),TH!D1332,""),"")</f>
        <v/>
      </c>
      <c r="B1332" s="36">
        <f t="shared" si="100"/>
        <v>8</v>
      </c>
      <c r="C1332" s="37">
        <f>E1332</f>
        <v>40764</v>
      </c>
      <c r="D1332" s="37" t="s">
        <v>969</v>
      </c>
      <c r="E1332" s="37">
        <v>40764</v>
      </c>
      <c r="F1332" s="40" t="s">
        <v>1016</v>
      </c>
      <c r="G1332" s="40" t="s">
        <v>1185</v>
      </c>
      <c r="H1332" s="628" t="s">
        <v>760</v>
      </c>
      <c r="I1332" s="256">
        <v>980</v>
      </c>
      <c r="J1332" s="256">
        <v>9954.164041275928</v>
      </c>
      <c r="K1332" s="614">
        <f>ROUND(I1332*J1332,0)</f>
        <v>9755081</v>
      </c>
      <c r="L1332" s="39" t="s">
        <v>165</v>
      </c>
      <c r="M1332" s="39" t="s">
        <v>159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894"/>
    </row>
    <row r="1333" spans="1:28" ht="15.75" customHeight="1">
      <c r="A1333" s="204" t="str">
        <f>IF(B1333&lt;&gt;"",IF(AND(B1333&gt;=_TM1,B1333&lt;=_TM2,OR(TH!L1333="1111",TH!M1333="1111")),TH!D1333,""),"")</f>
        <v/>
      </c>
      <c r="B1333" s="36">
        <f t="shared" si="100"/>
        <v>8</v>
      </c>
      <c r="C1333" s="184">
        <v>40766</v>
      </c>
      <c r="D1333" s="184" t="s">
        <v>334</v>
      </c>
      <c r="E1333" s="184">
        <v>40766</v>
      </c>
      <c r="F1333" s="189" t="s">
        <v>367</v>
      </c>
      <c r="G1333" s="616" t="s">
        <v>330</v>
      </c>
      <c r="H1333" s="7" t="s">
        <v>559</v>
      </c>
      <c r="I1333" s="256"/>
      <c r="J1333" s="256"/>
      <c r="K1333" s="614">
        <v>10000000</v>
      </c>
      <c r="L1333" s="615" t="s">
        <v>8</v>
      </c>
      <c r="M1333" s="615" t="s">
        <v>23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894"/>
    </row>
    <row r="1334" spans="1:28" ht="15.75" customHeight="1">
      <c r="A1334" s="204" t="str">
        <f>IF(B1334&lt;&gt;"",IF(AND(B1334&gt;=_TM1,B1334&lt;=_TM2,OR(TH!L1334="1111",TH!M1334="1111")),TH!D1334,""),"")</f>
        <v/>
      </c>
      <c r="B1334" s="36">
        <f t="shared" si="100"/>
        <v>8</v>
      </c>
      <c r="C1334" s="184">
        <v>40766</v>
      </c>
      <c r="D1334" s="184" t="s">
        <v>334</v>
      </c>
      <c r="E1334" s="184">
        <v>40766</v>
      </c>
      <c r="F1334" s="189" t="s">
        <v>367</v>
      </c>
      <c r="G1334" s="616" t="s">
        <v>330</v>
      </c>
      <c r="H1334" s="7" t="s">
        <v>548</v>
      </c>
      <c r="I1334" s="256"/>
      <c r="J1334" s="256"/>
      <c r="K1334" s="614">
        <v>23410000</v>
      </c>
      <c r="L1334" s="615" t="s">
        <v>8</v>
      </c>
      <c r="M1334" s="615" t="s">
        <v>23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894"/>
    </row>
    <row r="1335" spans="1:28" ht="15.75" customHeight="1">
      <c r="A1335" s="204" t="str">
        <f>IF(B1335&lt;&gt;"",IF(AND(B1335&gt;=_TM1,B1335&lt;=_TM2,OR(TH!L1335="1111",TH!M1335="1111")),TH!D1335,""),"")</f>
        <v/>
      </c>
      <c r="B1335" s="36">
        <f t="shared" si="100"/>
        <v>8</v>
      </c>
      <c r="C1335" s="184">
        <v>40766</v>
      </c>
      <c r="D1335" s="184" t="s">
        <v>334</v>
      </c>
      <c r="E1335" s="184">
        <v>40766</v>
      </c>
      <c r="F1335" s="189" t="s">
        <v>336</v>
      </c>
      <c r="G1335" s="616" t="s">
        <v>330</v>
      </c>
      <c r="H1335" s="7"/>
      <c r="I1335" s="256"/>
      <c r="J1335" s="256"/>
      <c r="K1335" s="614">
        <v>9091</v>
      </c>
      <c r="L1335" s="615" t="s">
        <v>75</v>
      </c>
      <c r="M1335" s="615" t="s">
        <v>23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>x</v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894"/>
    </row>
    <row r="1336" spans="1:28" ht="15.75" customHeight="1">
      <c r="A1336" s="204" t="str">
        <f>IF(B1336&lt;&gt;"",IF(AND(B1336&gt;=_TM1,B1336&lt;=_TM2,OR(TH!L1336="1111",TH!M1336="1111")),TH!D1336,""),"")</f>
        <v/>
      </c>
      <c r="B1336" s="36">
        <f t="shared" si="100"/>
        <v>8</v>
      </c>
      <c r="C1336" s="184">
        <v>40766</v>
      </c>
      <c r="D1336" s="184" t="s">
        <v>334</v>
      </c>
      <c r="E1336" s="184">
        <v>40766</v>
      </c>
      <c r="F1336" s="189" t="s">
        <v>336</v>
      </c>
      <c r="G1336" s="616" t="s">
        <v>330</v>
      </c>
      <c r="H1336" s="7"/>
      <c r="I1336" s="256"/>
      <c r="J1336" s="256"/>
      <c r="K1336" s="614">
        <v>909</v>
      </c>
      <c r="L1336" s="615" t="s">
        <v>9</v>
      </c>
      <c r="M1336" s="615" t="s">
        <v>23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894"/>
      <c r="AB1336" s="198">
        <v>8</v>
      </c>
    </row>
    <row r="1337" spans="1:28" ht="15.75" customHeight="1">
      <c r="A1337" s="204" t="str">
        <f>IF(B1337&lt;&gt;"",IF(AND(B1337&gt;=_TM1,B1337&lt;=_TM2,OR(TH!L1337="1111",TH!M1337="1111")),TH!D1337,""),"")</f>
        <v/>
      </c>
      <c r="B1337" s="36">
        <f t="shared" si="100"/>
        <v>8</v>
      </c>
      <c r="C1337" s="184">
        <v>40766</v>
      </c>
      <c r="D1337" s="184" t="s">
        <v>660</v>
      </c>
      <c r="E1337" s="184">
        <v>40766</v>
      </c>
      <c r="F1337" s="189" t="s">
        <v>366</v>
      </c>
      <c r="G1337" s="616" t="s">
        <v>330</v>
      </c>
      <c r="H1337" s="193" t="s">
        <v>363</v>
      </c>
      <c r="I1337" s="256"/>
      <c r="J1337" s="256"/>
      <c r="K1337" s="614">
        <v>35000000</v>
      </c>
      <c r="L1337" s="615" t="s">
        <v>46</v>
      </c>
      <c r="M1337" s="615" t="s">
        <v>23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>x</v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894"/>
    </row>
    <row r="1338" spans="1:28" ht="15.75" customHeight="1">
      <c r="A1338" s="204" t="str">
        <f>IF(B1338&lt;&gt;"",IF(AND(B1338&gt;=_TM1,B1338&lt;=_TM2,OR(TH!L1338="1111",TH!M1338="1111")),TH!D1338,""),"")</f>
        <v/>
      </c>
      <c r="B1338" s="36">
        <f t="shared" si="100"/>
        <v>8</v>
      </c>
      <c r="C1338" s="37">
        <f t="shared" ref="C1338:C1353" si="105">E1338</f>
        <v>40768</v>
      </c>
      <c r="D1338" s="37" t="s">
        <v>1105</v>
      </c>
      <c r="E1338" s="794">
        <v>40768</v>
      </c>
      <c r="F1338" s="189" t="s">
        <v>385</v>
      </c>
      <c r="G1338" s="40"/>
      <c r="H1338" s="628" t="s">
        <v>1092</v>
      </c>
      <c r="I1338" s="256">
        <v>989</v>
      </c>
      <c r="J1338" s="256">
        <v>6124</v>
      </c>
      <c r="K1338" s="614">
        <f t="shared" ref="K1338:K1353" si="106">ROUND(I1338*J1338,0)</f>
        <v>6056636</v>
      </c>
      <c r="L1338" s="39" t="s">
        <v>157</v>
      </c>
      <c r="M1338" s="39" t="s">
        <v>151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894"/>
    </row>
    <row r="1339" spans="1:28" ht="15.75" customHeight="1">
      <c r="A1339" s="204" t="str">
        <f>IF(B1339&lt;&gt;"",IF(AND(B1339&gt;=_TM1,B1339&lt;=_TM2,OR(TH!L1339="1111",TH!M1339="1111")),TH!D1339,""),"")</f>
        <v/>
      </c>
      <c r="B1339" s="36">
        <f t="shared" si="100"/>
        <v>8</v>
      </c>
      <c r="C1339" s="37">
        <f t="shared" si="105"/>
        <v>40768</v>
      </c>
      <c r="D1339" s="37" t="s">
        <v>1105</v>
      </c>
      <c r="E1339" s="794">
        <v>40768</v>
      </c>
      <c r="F1339" s="189" t="s">
        <v>519</v>
      </c>
      <c r="G1339" s="40"/>
      <c r="H1339" s="628" t="s">
        <v>1092</v>
      </c>
      <c r="I1339" s="256">
        <v>97</v>
      </c>
      <c r="J1339" s="256">
        <v>10603</v>
      </c>
      <c r="K1339" s="614">
        <f t="shared" si="106"/>
        <v>1028491</v>
      </c>
      <c r="L1339" s="39" t="s">
        <v>157</v>
      </c>
      <c r="M1339" s="39" t="s">
        <v>151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894"/>
    </row>
    <row r="1340" spans="1:28" ht="15.75" customHeight="1">
      <c r="A1340" s="204" t="str">
        <f>IF(B1340&lt;&gt;"",IF(AND(B1340&gt;=_TM1,B1340&lt;=_TM2,OR(TH!L1340="1111",TH!M1340="1111")),TH!D1340,""),"")</f>
        <v/>
      </c>
      <c r="B1340" s="36">
        <f t="shared" si="100"/>
        <v>8</v>
      </c>
      <c r="C1340" s="37">
        <f t="shared" si="105"/>
        <v>40768</v>
      </c>
      <c r="D1340" s="37" t="s">
        <v>1105</v>
      </c>
      <c r="E1340" s="794">
        <v>40768</v>
      </c>
      <c r="F1340" s="189" t="s">
        <v>578</v>
      </c>
      <c r="G1340" s="40"/>
      <c r="H1340" s="628" t="s">
        <v>1092</v>
      </c>
      <c r="I1340" s="256">
        <v>53</v>
      </c>
      <c r="J1340" s="256">
        <v>10344</v>
      </c>
      <c r="K1340" s="614">
        <f t="shared" si="106"/>
        <v>548232</v>
      </c>
      <c r="L1340" s="39" t="s">
        <v>157</v>
      </c>
      <c r="M1340" s="39" t="s">
        <v>151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894"/>
    </row>
    <row r="1341" spans="1:28" ht="15.75" customHeight="1">
      <c r="A1341" s="204" t="str">
        <f>IF(B1341&lt;&gt;"",IF(AND(B1341&gt;=_TM1,B1341&lt;=_TM2,OR(TH!L1341="1111",TH!M1341="1111")),TH!D1341,""),"")</f>
        <v/>
      </c>
      <c r="B1341" s="36">
        <f t="shared" si="100"/>
        <v>8</v>
      </c>
      <c r="C1341" s="37">
        <f t="shared" si="105"/>
        <v>40768</v>
      </c>
      <c r="D1341" s="37" t="s">
        <v>1105</v>
      </c>
      <c r="E1341" s="794">
        <v>40768</v>
      </c>
      <c r="F1341" s="189" t="s">
        <v>387</v>
      </c>
      <c r="G1341" s="40"/>
      <c r="H1341" s="628" t="s">
        <v>1092</v>
      </c>
      <c r="I1341" s="839">
        <v>75</v>
      </c>
      <c r="J1341" s="256">
        <v>4449</v>
      </c>
      <c r="K1341" s="614">
        <f t="shared" si="106"/>
        <v>333675</v>
      </c>
      <c r="L1341" s="39" t="s">
        <v>157</v>
      </c>
      <c r="M1341" s="39" t="s">
        <v>151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>x</v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894"/>
    </row>
    <row r="1342" spans="1:28" ht="15.75" customHeight="1">
      <c r="A1342" s="204" t="str">
        <f>IF(B1342&lt;&gt;"",IF(AND(B1342&gt;=_TM1,B1342&lt;=_TM2,OR(TH!L1342="1111",TH!M1342="1111")),TH!D1342,""),"")</f>
        <v/>
      </c>
      <c r="B1342" s="36">
        <f t="shared" si="100"/>
        <v>8</v>
      </c>
      <c r="C1342" s="37">
        <f t="shared" si="105"/>
        <v>40768</v>
      </c>
      <c r="D1342" s="37" t="s">
        <v>1105</v>
      </c>
      <c r="E1342" s="794">
        <v>40768</v>
      </c>
      <c r="F1342" s="189" t="s">
        <v>387</v>
      </c>
      <c r="G1342" s="40"/>
      <c r="H1342" s="628" t="s">
        <v>1092</v>
      </c>
      <c r="I1342" s="839">
        <v>0.5</v>
      </c>
      <c r="J1342" s="256">
        <v>4449</v>
      </c>
      <c r="K1342" s="614">
        <f t="shared" si="106"/>
        <v>2225</v>
      </c>
      <c r="L1342" s="39" t="s">
        <v>157</v>
      </c>
      <c r="M1342" s="39" t="s">
        <v>151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>x</v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894"/>
    </row>
    <row r="1343" spans="1:28" ht="15.75" customHeight="1">
      <c r="A1343" s="204" t="str">
        <f>IF(B1343&lt;&gt;"",IF(AND(B1343&gt;=_TM1,B1343&lt;=_TM2,OR(TH!L1343="1111",TH!M1343="1111")),TH!D1343,""),"")</f>
        <v/>
      </c>
      <c r="B1343" s="36">
        <f t="shared" si="100"/>
        <v>8</v>
      </c>
      <c r="C1343" s="37">
        <f t="shared" si="105"/>
        <v>40768</v>
      </c>
      <c r="D1343" s="37" t="s">
        <v>1105</v>
      </c>
      <c r="E1343" s="794">
        <v>40768</v>
      </c>
      <c r="F1343" s="189" t="s">
        <v>578</v>
      </c>
      <c r="G1343" s="40"/>
      <c r="H1343" s="628" t="s">
        <v>1092</v>
      </c>
      <c r="I1343" s="256">
        <v>66.5</v>
      </c>
      <c r="J1343" s="256">
        <v>10344</v>
      </c>
      <c r="K1343" s="614">
        <f t="shared" si="106"/>
        <v>687876</v>
      </c>
      <c r="L1343" s="39" t="s">
        <v>157</v>
      </c>
      <c r="M1343" s="39" t="s">
        <v>151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894"/>
    </row>
    <row r="1344" spans="1:28" ht="15.75" customHeight="1">
      <c r="A1344" s="204" t="str">
        <f>IF(B1344&lt;&gt;"",IF(AND(B1344&gt;=_TM1,B1344&lt;=_TM2,OR(TH!L1344="1111",TH!M1344="1111")),TH!D1344,""),"")</f>
        <v/>
      </c>
      <c r="B1344" s="36">
        <f t="shared" si="100"/>
        <v>8</v>
      </c>
      <c r="C1344" s="37">
        <f t="shared" si="105"/>
        <v>40768</v>
      </c>
      <c r="D1344" s="37" t="s">
        <v>1105</v>
      </c>
      <c r="E1344" s="794">
        <v>40768</v>
      </c>
      <c r="F1344" s="189" t="s">
        <v>385</v>
      </c>
      <c r="G1344" s="40"/>
      <c r="H1344" s="628" t="s">
        <v>1092</v>
      </c>
      <c r="I1344" s="256">
        <v>141</v>
      </c>
      <c r="J1344" s="256">
        <v>6124</v>
      </c>
      <c r="K1344" s="614">
        <f t="shared" si="106"/>
        <v>863484</v>
      </c>
      <c r="L1344" s="39" t="s">
        <v>157</v>
      </c>
      <c r="M1344" s="39" t="s">
        <v>151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894"/>
    </row>
    <row r="1345" spans="1:28" ht="15.75" customHeight="1">
      <c r="A1345" s="204" t="str">
        <f>IF(B1345&lt;&gt;"",IF(AND(B1345&gt;=_TM1,B1345&lt;=_TM2,OR(TH!L1345="1111",TH!M1345="1111")),TH!D1345,""),"")</f>
        <v/>
      </c>
      <c r="B1345" s="36">
        <f t="shared" si="100"/>
        <v>8</v>
      </c>
      <c r="C1345" s="37">
        <f t="shared" si="105"/>
        <v>40768</v>
      </c>
      <c r="D1345" s="37" t="s">
        <v>1105</v>
      </c>
      <c r="E1345" s="794">
        <v>40768</v>
      </c>
      <c r="F1345" s="298" t="s">
        <v>479</v>
      </c>
      <c r="G1345" s="40"/>
      <c r="H1345" s="628" t="s">
        <v>1092</v>
      </c>
      <c r="I1345" s="256">
        <v>291</v>
      </c>
      <c r="J1345" s="256">
        <v>6026</v>
      </c>
      <c r="K1345" s="614">
        <f t="shared" si="106"/>
        <v>1753566</v>
      </c>
      <c r="L1345" s="39" t="s">
        <v>157</v>
      </c>
      <c r="M1345" s="39" t="s">
        <v>151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894"/>
    </row>
    <row r="1346" spans="1:28" ht="15.75" customHeight="1">
      <c r="A1346" s="204" t="str">
        <f>IF(B1346&lt;&gt;"",IF(AND(B1346&gt;=_TM1,B1346&lt;=_TM2,OR(TH!L1346="1111",TH!M1346="1111")),TH!D1346,""),"")</f>
        <v/>
      </c>
      <c r="B1346" s="36">
        <f t="shared" si="100"/>
        <v>8</v>
      </c>
      <c r="C1346" s="37">
        <f t="shared" si="105"/>
        <v>40768</v>
      </c>
      <c r="D1346" s="37" t="s">
        <v>1105</v>
      </c>
      <c r="E1346" s="794">
        <v>40768</v>
      </c>
      <c r="F1346" s="40" t="s">
        <v>601</v>
      </c>
      <c r="G1346" s="40"/>
      <c r="H1346" s="628" t="s">
        <v>1092</v>
      </c>
      <c r="I1346" s="256">
        <v>0.5</v>
      </c>
      <c r="J1346" s="256">
        <v>16303</v>
      </c>
      <c r="K1346" s="614">
        <f t="shared" si="106"/>
        <v>8152</v>
      </c>
      <c r="L1346" s="39" t="s">
        <v>157</v>
      </c>
      <c r="M1346" s="39" t="s">
        <v>151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894"/>
    </row>
    <row r="1347" spans="1:28" ht="15.75" customHeight="1">
      <c r="A1347" s="204" t="str">
        <f>IF(B1347&lt;&gt;"",IF(AND(B1347&gt;=_TM1,B1347&lt;=_TM2,OR(TH!L1347="1111",TH!M1347="1111")),TH!D1347,""),"")</f>
        <v/>
      </c>
      <c r="B1347" s="36">
        <f t="shared" si="100"/>
        <v>8</v>
      </c>
      <c r="C1347" s="37">
        <f t="shared" si="105"/>
        <v>40771</v>
      </c>
      <c r="D1347" s="37" t="s">
        <v>1106</v>
      </c>
      <c r="E1347" s="794">
        <v>40771</v>
      </c>
      <c r="F1347" s="189" t="s">
        <v>523</v>
      </c>
      <c r="G1347" s="40"/>
      <c r="H1347" s="628" t="s">
        <v>1092</v>
      </c>
      <c r="I1347" s="256">
        <v>1</v>
      </c>
      <c r="J1347" s="256">
        <v>7268</v>
      </c>
      <c r="K1347" s="614">
        <f t="shared" si="106"/>
        <v>7268</v>
      </c>
      <c r="L1347" s="39" t="s">
        <v>157</v>
      </c>
      <c r="M1347" s="39" t="s">
        <v>151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894"/>
    </row>
    <row r="1348" spans="1:28" ht="15.75" customHeight="1">
      <c r="A1348" s="204" t="str">
        <f>IF(B1348&lt;&gt;"",IF(AND(B1348&gt;=_TM1,B1348&lt;=_TM2,OR(TH!L1348="1111",TH!M1348="1111")),TH!D1348,""),"")</f>
        <v/>
      </c>
      <c r="B1348" s="36">
        <f t="shared" si="100"/>
        <v>8</v>
      </c>
      <c r="C1348" s="37">
        <f t="shared" si="105"/>
        <v>40771</v>
      </c>
      <c r="D1348" s="37" t="s">
        <v>1106</v>
      </c>
      <c r="E1348" s="794">
        <v>40771</v>
      </c>
      <c r="F1348" s="189" t="s">
        <v>488</v>
      </c>
      <c r="G1348" s="40"/>
      <c r="H1348" s="628" t="s">
        <v>1092</v>
      </c>
      <c r="I1348" s="256">
        <v>0.5</v>
      </c>
      <c r="J1348" s="256">
        <v>16173</v>
      </c>
      <c r="K1348" s="614">
        <f t="shared" si="106"/>
        <v>8087</v>
      </c>
      <c r="L1348" s="39" t="s">
        <v>157</v>
      </c>
      <c r="M1348" s="39" t="s">
        <v>151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894"/>
    </row>
    <row r="1349" spans="1:28" ht="15.75" customHeight="1">
      <c r="A1349" s="204" t="str">
        <f>IF(B1349&lt;&gt;"",IF(AND(B1349&gt;=_TM1,B1349&lt;=_TM2,OR(TH!L1349="1111",TH!M1349="1111")),TH!D1349,""),"")</f>
        <v/>
      </c>
      <c r="B1349" s="36">
        <f t="shared" si="100"/>
        <v>8</v>
      </c>
      <c r="C1349" s="37">
        <f t="shared" si="105"/>
        <v>40771</v>
      </c>
      <c r="D1349" s="37" t="s">
        <v>1106</v>
      </c>
      <c r="E1349" s="794">
        <v>40771</v>
      </c>
      <c r="F1349" s="189" t="s">
        <v>631</v>
      </c>
      <c r="G1349" s="40"/>
      <c r="H1349" s="628" t="s">
        <v>1092</v>
      </c>
      <c r="I1349" s="256">
        <v>412</v>
      </c>
      <c r="J1349" s="256">
        <v>21455</v>
      </c>
      <c r="K1349" s="614">
        <f t="shared" si="106"/>
        <v>8839460</v>
      </c>
      <c r="L1349" s="39" t="s">
        <v>157</v>
      </c>
      <c r="M1349" s="39" t="s">
        <v>151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894"/>
    </row>
    <row r="1350" spans="1:28" ht="15.75" customHeight="1">
      <c r="A1350" s="204" t="str">
        <f>IF(B1350&lt;&gt;"",IF(AND(B1350&gt;=_TM1,B1350&lt;=_TM2,OR(TH!L1350="1111",TH!M1350="1111")),TH!D1350,""),"")</f>
        <v/>
      </c>
      <c r="B1350" s="36">
        <f t="shared" si="100"/>
        <v>8</v>
      </c>
      <c r="C1350" s="37">
        <f t="shared" si="105"/>
        <v>40771</v>
      </c>
      <c r="D1350" s="37" t="s">
        <v>1106</v>
      </c>
      <c r="E1350" s="794">
        <v>40771</v>
      </c>
      <c r="F1350" s="189" t="s">
        <v>385</v>
      </c>
      <c r="G1350" s="40"/>
      <c r="H1350" s="628" t="s">
        <v>1092</v>
      </c>
      <c r="I1350" s="256">
        <v>2</v>
      </c>
      <c r="J1350" s="256">
        <v>6124</v>
      </c>
      <c r="K1350" s="614">
        <f t="shared" si="106"/>
        <v>12248</v>
      </c>
      <c r="L1350" s="39" t="s">
        <v>157</v>
      </c>
      <c r="M1350" s="39" t="s">
        <v>151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894"/>
    </row>
    <row r="1351" spans="1:28" ht="15.75" customHeight="1">
      <c r="A1351" s="204" t="str">
        <f>IF(B1351&lt;&gt;"",IF(AND(B1351&gt;=_TM1,B1351&lt;=_TM2,OR(TH!L1351="1111",TH!M1351="1111")),TH!D1351,""),"")</f>
        <v/>
      </c>
      <c r="B1351" s="36">
        <f t="shared" si="100"/>
        <v>8</v>
      </c>
      <c r="C1351" s="37">
        <f t="shared" si="105"/>
        <v>40771</v>
      </c>
      <c r="D1351" s="37" t="s">
        <v>1106</v>
      </c>
      <c r="E1351" s="794">
        <v>40771</v>
      </c>
      <c r="F1351" s="40" t="s">
        <v>601</v>
      </c>
      <c r="G1351" s="40"/>
      <c r="H1351" s="628" t="s">
        <v>1092</v>
      </c>
      <c r="I1351" s="256">
        <v>0.5</v>
      </c>
      <c r="J1351" s="256">
        <v>16303</v>
      </c>
      <c r="K1351" s="614">
        <f t="shared" si="106"/>
        <v>8152</v>
      </c>
      <c r="L1351" s="39" t="s">
        <v>157</v>
      </c>
      <c r="M1351" s="39" t="s">
        <v>151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894"/>
    </row>
    <row r="1352" spans="1:28" ht="15.75" customHeight="1">
      <c r="A1352" s="204" t="str">
        <f>IF(B1352&lt;&gt;"",IF(AND(B1352&gt;=_TM1,B1352&lt;=_TM2,OR(TH!L1352="1111",TH!M1352="1111")),TH!D1352,""),"")</f>
        <v/>
      </c>
      <c r="B1352" s="36">
        <f t="shared" si="100"/>
        <v>8</v>
      </c>
      <c r="C1352" s="37">
        <f t="shared" si="105"/>
        <v>40771</v>
      </c>
      <c r="D1352" s="37" t="s">
        <v>1106</v>
      </c>
      <c r="E1352" s="794">
        <v>40771</v>
      </c>
      <c r="F1352" s="40" t="s">
        <v>613</v>
      </c>
      <c r="G1352" s="40"/>
      <c r="H1352" s="628" t="s">
        <v>1092</v>
      </c>
      <c r="I1352" s="256">
        <v>375</v>
      </c>
      <c r="J1352" s="256">
        <v>19180</v>
      </c>
      <c r="K1352" s="614">
        <f t="shared" si="106"/>
        <v>7192500</v>
      </c>
      <c r="L1352" s="39" t="s">
        <v>157</v>
      </c>
      <c r="M1352" s="39" t="s">
        <v>151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894"/>
    </row>
    <row r="1353" spans="1:28" ht="15.75" customHeight="1">
      <c r="A1353" s="204" t="str">
        <f>IF(B1353&lt;&gt;"",IF(AND(B1353&gt;=_TM1,B1353&lt;=_TM2,OR(TH!L1353="1111",TH!M1353="1111")),TH!D1353,""),"")</f>
        <v/>
      </c>
      <c r="B1353" s="36">
        <f t="shared" si="100"/>
        <v>8</v>
      </c>
      <c r="C1353" s="37">
        <f t="shared" si="105"/>
        <v>40771</v>
      </c>
      <c r="D1353" s="37" t="s">
        <v>1106</v>
      </c>
      <c r="E1353" s="794">
        <v>40771</v>
      </c>
      <c r="F1353" s="189" t="s">
        <v>493</v>
      </c>
      <c r="G1353" s="40"/>
      <c r="H1353" s="628" t="s">
        <v>1092</v>
      </c>
      <c r="I1353" s="256">
        <v>35</v>
      </c>
      <c r="J1353" s="256">
        <v>22806</v>
      </c>
      <c r="K1353" s="614">
        <f t="shared" si="106"/>
        <v>798210</v>
      </c>
      <c r="L1353" s="39" t="s">
        <v>157</v>
      </c>
      <c r="M1353" s="39" t="s">
        <v>151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894"/>
    </row>
    <row r="1354" spans="1:28" ht="15.75" customHeight="1">
      <c r="A1354" s="204" t="str">
        <f>IF(B1354&lt;&gt;"",IF(AND(B1354&gt;=_TM1,B1354&lt;=_TM2,OR(TH!L1354="1111",TH!M1354="1111")),TH!D1354,""),"")</f>
        <v/>
      </c>
      <c r="B1354" s="36">
        <f t="shared" si="100"/>
        <v>8</v>
      </c>
      <c r="C1354" s="191">
        <v>40772</v>
      </c>
      <c r="D1354" s="184" t="s">
        <v>658</v>
      </c>
      <c r="E1354" s="191">
        <v>40772</v>
      </c>
      <c r="F1354" s="192" t="s">
        <v>504</v>
      </c>
      <c r="G1354" s="498" t="s">
        <v>1152</v>
      </c>
      <c r="H1354" s="7" t="s">
        <v>371</v>
      </c>
      <c r="I1354" s="256">
        <v>20</v>
      </c>
      <c r="J1354" s="256">
        <v>68000</v>
      </c>
      <c r="K1354" s="614">
        <v>1360000</v>
      </c>
      <c r="L1354" s="194" t="s">
        <v>157</v>
      </c>
      <c r="M1354" s="194" t="s">
        <v>46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>x</v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894"/>
    </row>
    <row r="1355" spans="1:28" ht="15.75" customHeight="1">
      <c r="A1355" s="204" t="str">
        <f>IF(B1355&lt;&gt;"",IF(AND(B1355&gt;=_TM1,B1355&lt;=_TM2,OR(TH!L1355="1111",TH!M1355="1111")),TH!D1355,""),"")</f>
        <v/>
      </c>
      <c r="B1355" s="36">
        <f t="shared" si="100"/>
        <v>8</v>
      </c>
      <c r="C1355" s="191">
        <v>40772</v>
      </c>
      <c r="D1355" s="184" t="s">
        <v>658</v>
      </c>
      <c r="E1355" s="191">
        <v>40772</v>
      </c>
      <c r="F1355" s="192" t="s">
        <v>1153</v>
      </c>
      <c r="G1355" s="498" t="s">
        <v>1152</v>
      </c>
      <c r="H1355" s="7" t="s">
        <v>371</v>
      </c>
      <c r="I1355" s="256"/>
      <c r="J1355" s="256"/>
      <c r="K1355" s="38">
        <v>136000</v>
      </c>
      <c r="L1355" s="194" t="s">
        <v>9</v>
      </c>
      <c r="M1355" s="194" t="s">
        <v>46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>x</v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894"/>
      <c r="AB1355" s="198">
        <v>8</v>
      </c>
    </row>
    <row r="1356" spans="1:28" ht="15.75" customHeight="1">
      <c r="A1356" s="204" t="str">
        <f>IF(B1356&lt;&gt;"",IF(AND(B1356&gt;=_TM1,B1356&lt;=_TM2,OR(TH!L1356="1111",TH!M1356="1111")),TH!D1356,""),"")</f>
        <v/>
      </c>
      <c r="B1356" s="36">
        <f t="shared" si="100"/>
        <v>8</v>
      </c>
      <c r="C1356" s="184">
        <v>40772</v>
      </c>
      <c r="D1356" s="184" t="s">
        <v>333</v>
      </c>
      <c r="E1356" s="184">
        <v>40772</v>
      </c>
      <c r="F1356" s="189" t="s">
        <v>335</v>
      </c>
      <c r="G1356" s="616" t="s">
        <v>330</v>
      </c>
      <c r="H1356" s="193" t="s">
        <v>734</v>
      </c>
      <c r="I1356" s="256"/>
      <c r="J1356" s="256"/>
      <c r="K1356" s="614">
        <v>9976043</v>
      </c>
      <c r="L1356" s="615" t="s">
        <v>23</v>
      </c>
      <c r="M1356" s="615" t="s">
        <v>259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894"/>
    </row>
    <row r="1357" spans="1:28" ht="15.75" customHeight="1">
      <c r="A1357" s="204" t="str">
        <f>IF(B1357&lt;&gt;"",IF(AND(B1357&gt;=_TM1,B1357&lt;=_TM2,OR(TH!L1357="1111",TH!M1357="1111")),TH!D1357,""),"")</f>
        <v/>
      </c>
      <c r="B1357" s="36">
        <f t="shared" si="100"/>
        <v>8</v>
      </c>
      <c r="C1357" s="191">
        <v>40772</v>
      </c>
      <c r="D1357" s="191" t="s">
        <v>666</v>
      </c>
      <c r="E1357" s="191">
        <v>40772</v>
      </c>
      <c r="F1357" s="192" t="s">
        <v>335</v>
      </c>
      <c r="G1357" s="498" t="s">
        <v>1186</v>
      </c>
      <c r="H1357" s="193" t="s">
        <v>760</v>
      </c>
      <c r="I1357" s="256"/>
      <c r="J1357" s="256"/>
      <c r="K1357" s="614">
        <v>12100000</v>
      </c>
      <c r="L1357" s="194" t="s">
        <v>46</v>
      </c>
      <c r="M1357" s="194" t="s">
        <v>259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>x</v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894"/>
    </row>
    <row r="1358" spans="1:28" ht="15.75" customHeight="1">
      <c r="A1358" s="204" t="str">
        <f>IF(B1358&lt;&gt;"",IF(AND(B1358&gt;=_TM1,B1358&lt;=_TM2,OR(TH!L1358="1111",TH!M1358="1111")),TH!D1358,""),"")</f>
        <v/>
      </c>
      <c r="B1358" s="36">
        <f t="shared" si="100"/>
        <v>8</v>
      </c>
      <c r="C1358" s="191">
        <v>40772</v>
      </c>
      <c r="D1358" s="191" t="s">
        <v>970</v>
      </c>
      <c r="E1358" s="191">
        <v>40772</v>
      </c>
      <c r="F1358" s="192" t="s">
        <v>1017</v>
      </c>
      <c r="G1358" s="498" t="s">
        <v>1186</v>
      </c>
      <c r="H1358" s="193" t="s">
        <v>760</v>
      </c>
      <c r="I1358" s="256">
        <v>1000</v>
      </c>
      <c r="J1358" s="256">
        <v>11000</v>
      </c>
      <c r="K1358" s="614">
        <v>11000000</v>
      </c>
      <c r="L1358" s="194" t="s">
        <v>259</v>
      </c>
      <c r="M1358" s="194" t="s">
        <v>167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894"/>
    </row>
    <row r="1359" spans="1:28" ht="15.75" customHeight="1">
      <c r="A1359" s="204" t="str">
        <f>IF(B1359&lt;&gt;"",IF(AND(B1359&gt;=_TM1,B1359&lt;=_TM2,OR(TH!L1359="1111",TH!M1359="1111")),TH!D1359,""),"")</f>
        <v/>
      </c>
      <c r="B1359" s="36">
        <f t="shared" si="100"/>
        <v>8</v>
      </c>
      <c r="C1359" s="191">
        <v>40772</v>
      </c>
      <c r="D1359" s="191" t="s">
        <v>970</v>
      </c>
      <c r="E1359" s="191">
        <v>40772</v>
      </c>
      <c r="F1359" s="192" t="s">
        <v>1176</v>
      </c>
      <c r="G1359" s="498" t="s">
        <v>1186</v>
      </c>
      <c r="H1359" s="193" t="s">
        <v>760</v>
      </c>
      <c r="I1359" s="256"/>
      <c r="J1359" s="256"/>
      <c r="K1359" s="614">
        <v>1100000</v>
      </c>
      <c r="L1359" s="194" t="s">
        <v>259</v>
      </c>
      <c r="M1359" s="194" t="s">
        <v>731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894"/>
    </row>
    <row r="1360" spans="1:28" ht="15.75" customHeight="1">
      <c r="A1360" s="204" t="str">
        <f>IF(B1360&lt;&gt;"",IF(AND(B1360&gt;=_TM1,B1360&lt;=_TM2,OR(TH!L1360="1111",TH!M1360="1111")),TH!D1360,""),"")</f>
        <v/>
      </c>
      <c r="B1360" s="36">
        <f t="shared" si="100"/>
        <v>8</v>
      </c>
      <c r="C1360" s="191">
        <v>40772</v>
      </c>
      <c r="D1360" s="191" t="s">
        <v>971</v>
      </c>
      <c r="E1360" s="191">
        <v>40772</v>
      </c>
      <c r="F1360" s="192" t="s">
        <v>1040</v>
      </c>
      <c r="G1360" s="498" t="s">
        <v>1187</v>
      </c>
      <c r="H1360" s="7" t="s">
        <v>733</v>
      </c>
      <c r="I1360" s="256">
        <v>4</v>
      </c>
      <c r="J1360" s="256">
        <v>17837</v>
      </c>
      <c r="K1360" s="614">
        <v>71348</v>
      </c>
      <c r="L1360" s="194" t="s">
        <v>259</v>
      </c>
      <c r="M1360" s="194" t="s">
        <v>167</v>
      </c>
      <c r="N1360" s="52" t="str">
        <f>IF(AND('331-CT'!$E$7=TH!H1360,OR(L1360="331",M1360="331")),"331",IF(AND(OR(L1360="131",M1360="131"),H1360='131-CT'!$E$7),"131",""))</f>
        <v>131</v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894"/>
    </row>
    <row r="1361" spans="1:27" ht="15.75" customHeight="1">
      <c r="A1361" s="204" t="str">
        <f>IF(B1361&lt;&gt;"",IF(AND(B1361&gt;=_TM1,B1361&lt;=_TM2,OR(TH!L1361="1111",TH!M1361="1111")),TH!D1361,""),"")</f>
        <v/>
      </c>
      <c r="B1361" s="36">
        <f t="shared" si="100"/>
        <v>8</v>
      </c>
      <c r="C1361" s="191">
        <v>40772</v>
      </c>
      <c r="D1361" s="191" t="s">
        <v>971</v>
      </c>
      <c r="E1361" s="191">
        <v>40772</v>
      </c>
      <c r="F1361" s="192" t="s">
        <v>1041</v>
      </c>
      <c r="G1361" s="498" t="s">
        <v>1187</v>
      </c>
      <c r="H1361" s="7" t="s">
        <v>733</v>
      </c>
      <c r="I1361" s="256">
        <v>1</v>
      </c>
      <c r="J1361" s="256">
        <v>7093</v>
      </c>
      <c r="K1361" s="614">
        <v>7093</v>
      </c>
      <c r="L1361" s="194" t="s">
        <v>259</v>
      </c>
      <c r="M1361" s="194" t="s">
        <v>167</v>
      </c>
      <c r="N1361" s="52" t="str">
        <f>IF(AND('331-CT'!$E$7=TH!H1361,OR(L1361="331",M1361="331")),"331",IF(AND(OR(L1361="131",M1361="131"),H1361='131-CT'!$E$7),"131",""))</f>
        <v>131</v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894"/>
    </row>
    <row r="1362" spans="1:27" ht="15.75" customHeight="1">
      <c r="A1362" s="204" t="str">
        <f>IF(B1362&lt;&gt;"",IF(AND(B1362&gt;=_TM1,B1362&lt;=_TM2,OR(TH!L1362="1111",TH!M1362="1111")),TH!D1362,""),"")</f>
        <v/>
      </c>
      <c r="B1362" s="36">
        <f t="shared" si="100"/>
        <v>8</v>
      </c>
      <c r="C1362" s="191">
        <v>40772</v>
      </c>
      <c r="D1362" s="191" t="s">
        <v>971</v>
      </c>
      <c r="E1362" s="191">
        <v>40772</v>
      </c>
      <c r="F1362" s="192" t="s">
        <v>1042</v>
      </c>
      <c r="G1362" s="498" t="s">
        <v>1187</v>
      </c>
      <c r="H1362" s="7" t="s">
        <v>733</v>
      </c>
      <c r="I1362" s="256">
        <v>3</v>
      </c>
      <c r="J1362" s="256">
        <v>10253</v>
      </c>
      <c r="K1362" s="614">
        <v>30759</v>
      </c>
      <c r="L1362" s="194" t="s">
        <v>259</v>
      </c>
      <c r="M1362" s="194" t="s">
        <v>167</v>
      </c>
      <c r="N1362" s="52" t="str">
        <f>IF(AND('331-CT'!$E$7=TH!H1362,OR(L1362="331",M1362="331")),"331",IF(AND(OR(L1362="131",M1362="131"),H1362='131-CT'!$E$7),"131",""))</f>
        <v>131</v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894"/>
    </row>
    <row r="1363" spans="1:27" ht="15.75" customHeight="1">
      <c r="A1363" s="204" t="str">
        <f>IF(B1363&lt;&gt;"",IF(AND(B1363&gt;=_TM1,B1363&lt;=_TM2,OR(TH!L1363="1111",TH!M1363="1111")),TH!D1363,""),"")</f>
        <v/>
      </c>
      <c r="B1363" s="36">
        <f t="shared" si="100"/>
        <v>8</v>
      </c>
      <c r="C1363" s="191">
        <v>40772</v>
      </c>
      <c r="D1363" s="191" t="s">
        <v>971</v>
      </c>
      <c r="E1363" s="191">
        <v>40772</v>
      </c>
      <c r="F1363" s="192" t="s">
        <v>1043</v>
      </c>
      <c r="G1363" s="498" t="s">
        <v>1187</v>
      </c>
      <c r="H1363" s="7" t="s">
        <v>733</v>
      </c>
      <c r="I1363" s="256">
        <v>2</v>
      </c>
      <c r="J1363" s="256">
        <v>14881</v>
      </c>
      <c r="K1363" s="614">
        <v>29762</v>
      </c>
      <c r="L1363" s="194" t="s">
        <v>259</v>
      </c>
      <c r="M1363" s="194" t="s">
        <v>167</v>
      </c>
      <c r="N1363" s="52" t="str">
        <f>IF(AND('331-CT'!$E$7=TH!H1363,OR(L1363="331",M1363="331")),"331",IF(AND(OR(L1363="131",M1363="131"),H1363='131-CT'!$E$7),"131",""))</f>
        <v>131</v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894"/>
    </row>
    <row r="1364" spans="1:27" ht="15.75" customHeight="1">
      <c r="A1364" s="204" t="str">
        <f>IF(B1364&lt;&gt;"",IF(AND(B1364&gt;=_TM1,B1364&lt;=_TM2,OR(TH!L1364="1111",TH!M1364="1111")),TH!D1364,""),"")</f>
        <v/>
      </c>
      <c r="B1364" s="36">
        <f t="shared" si="100"/>
        <v>8</v>
      </c>
      <c r="C1364" s="191">
        <v>40772</v>
      </c>
      <c r="D1364" s="191" t="s">
        <v>971</v>
      </c>
      <c r="E1364" s="191">
        <v>40772</v>
      </c>
      <c r="F1364" s="192" t="s">
        <v>1044</v>
      </c>
      <c r="G1364" s="498" t="s">
        <v>1187</v>
      </c>
      <c r="H1364" s="7" t="s">
        <v>733</v>
      </c>
      <c r="I1364" s="258">
        <v>1</v>
      </c>
      <c r="J1364" s="258">
        <v>12207</v>
      </c>
      <c r="K1364" s="614">
        <v>12207</v>
      </c>
      <c r="L1364" s="194" t="s">
        <v>259</v>
      </c>
      <c r="M1364" s="194" t="s">
        <v>167</v>
      </c>
      <c r="N1364" s="52" t="str">
        <f>IF(AND('331-CT'!$E$7=TH!H1364,OR(L1364="331",M1364="331")),"331",IF(AND(OR(L1364="131",M1364="131"),H1364='131-CT'!$E$7),"131",""))</f>
        <v>131</v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894"/>
    </row>
    <row r="1365" spans="1:27" ht="15.75" customHeight="1">
      <c r="A1365" s="204" t="str">
        <f>IF(B1365&lt;&gt;"",IF(AND(B1365&gt;=_TM1,B1365&lt;=_TM2,OR(TH!L1365="1111",TH!M1365="1111")),TH!D1365,""),"")</f>
        <v/>
      </c>
      <c r="B1365" s="36">
        <f t="shared" si="100"/>
        <v>8</v>
      </c>
      <c r="C1365" s="191">
        <v>40772</v>
      </c>
      <c r="D1365" s="191" t="s">
        <v>971</v>
      </c>
      <c r="E1365" s="191">
        <v>40772</v>
      </c>
      <c r="F1365" s="192" t="s">
        <v>1045</v>
      </c>
      <c r="G1365" s="498" t="s">
        <v>1187</v>
      </c>
      <c r="H1365" s="7" t="s">
        <v>733</v>
      </c>
      <c r="I1365" s="256">
        <v>1</v>
      </c>
      <c r="J1365" s="256">
        <v>10110</v>
      </c>
      <c r="K1365" s="614">
        <v>10110</v>
      </c>
      <c r="L1365" s="194" t="s">
        <v>259</v>
      </c>
      <c r="M1365" s="194" t="s">
        <v>167</v>
      </c>
      <c r="N1365" s="52" t="str">
        <f>IF(AND('331-CT'!$E$7=TH!H1365,OR(L1365="331",M1365="331")),"331",IF(AND(OR(L1365="131",M1365="131"),H1365='131-CT'!$E$7),"131",""))</f>
        <v>131</v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894"/>
    </row>
    <row r="1366" spans="1:27" ht="15.75" customHeight="1">
      <c r="A1366" s="204" t="str">
        <f>IF(B1366&lt;&gt;"",IF(AND(B1366&gt;=_TM1,B1366&lt;=_TM2,OR(TH!L1366="1111",TH!M1366="1111")),TH!D1366,""),"")</f>
        <v/>
      </c>
      <c r="B1366" s="36">
        <f t="shared" si="100"/>
        <v>8</v>
      </c>
      <c r="C1366" s="191">
        <v>40772</v>
      </c>
      <c r="D1366" s="191" t="s">
        <v>971</v>
      </c>
      <c r="E1366" s="191">
        <v>40772</v>
      </c>
      <c r="F1366" s="192" t="s">
        <v>1046</v>
      </c>
      <c r="G1366" s="498" t="s">
        <v>1187</v>
      </c>
      <c r="H1366" s="7" t="s">
        <v>733</v>
      </c>
      <c r="I1366" s="256">
        <v>2</v>
      </c>
      <c r="J1366" s="256">
        <v>15053</v>
      </c>
      <c r="K1366" s="614">
        <v>30106</v>
      </c>
      <c r="L1366" s="194" t="s">
        <v>259</v>
      </c>
      <c r="M1366" s="194" t="s">
        <v>167</v>
      </c>
      <c r="N1366" s="52" t="str">
        <f>IF(AND('331-CT'!$E$7=TH!H1366,OR(L1366="331",M1366="331")),"331",IF(AND(OR(L1366="131",M1366="131"),H1366='131-CT'!$E$7),"131",""))</f>
        <v>131</v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894"/>
    </row>
    <row r="1367" spans="1:27" ht="15.75" customHeight="1">
      <c r="A1367" s="204" t="str">
        <f>IF(B1367&lt;&gt;"",IF(AND(B1367&gt;=_TM1,B1367&lt;=_TM2,OR(TH!L1367="1111",TH!M1367="1111")),TH!D1367,""),"")</f>
        <v/>
      </c>
      <c r="B1367" s="36">
        <f t="shared" si="100"/>
        <v>8</v>
      </c>
      <c r="C1367" s="191">
        <v>40772</v>
      </c>
      <c r="D1367" s="191" t="s">
        <v>971</v>
      </c>
      <c r="E1367" s="191">
        <v>40772</v>
      </c>
      <c r="F1367" s="192" t="s">
        <v>1047</v>
      </c>
      <c r="G1367" s="498" t="s">
        <v>1187</v>
      </c>
      <c r="H1367" s="7" t="s">
        <v>733</v>
      </c>
      <c r="I1367" s="256">
        <v>700</v>
      </c>
      <c r="J1367" s="256">
        <v>14438</v>
      </c>
      <c r="K1367" s="614">
        <v>10106600</v>
      </c>
      <c r="L1367" s="194" t="s">
        <v>259</v>
      </c>
      <c r="M1367" s="194" t="s">
        <v>167</v>
      </c>
      <c r="N1367" s="52" t="str">
        <f>IF(AND('331-CT'!$E$7=TH!H1367,OR(L1367="331",M1367="331")),"331",IF(AND(OR(L1367="131",M1367="131"),H1367='131-CT'!$E$7),"131",""))</f>
        <v>131</v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894"/>
    </row>
    <row r="1368" spans="1:27" ht="15.75" customHeight="1">
      <c r="A1368" s="204" t="str">
        <f>IF(B1368&lt;&gt;"",IF(AND(B1368&gt;=_TM1,B1368&lt;=_TM2,OR(TH!L1368="1111",TH!M1368="1111")),TH!D1368,""),"")</f>
        <v/>
      </c>
      <c r="B1368" s="36">
        <f t="shared" si="100"/>
        <v>8</v>
      </c>
      <c r="C1368" s="191">
        <v>40772</v>
      </c>
      <c r="D1368" s="191" t="s">
        <v>971</v>
      </c>
      <c r="E1368" s="191">
        <v>40772</v>
      </c>
      <c r="F1368" s="192" t="s">
        <v>835</v>
      </c>
      <c r="G1368" s="498" t="s">
        <v>1187</v>
      </c>
      <c r="H1368" s="7" t="s">
        <v>733</v>
      </c>
      <c r="I1368" s="256"/>
      <c r="J1368" s="256"/>
      <c r="K1368" s="38">
        <v>1029799</v>
      </c>
      <c r="L1368" s="194" t="s">
        <v>259</v>
      </c>
      <c r="M1368" s="194" t="s">
        <v>731</v>
      </c>
      <c r="N1368" s="52" t="str">
        <f>IF(AND('331-CT'!$E$7=TH!H1368,OR(L1368="331",M1368="331")),"331",IF(AND(OR(L1368="131",M1368="131"),H1368='131-CT'!$E$7),"131",""))</f>
        <v>131</v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894"/>
    </row>
    <row r="1369" spans="1:27" ht="15.75" customHeight="1">
      <c r="A1369" s="204" t="str">
        <f>IF(B1369&lt;&gt;"",IF(AND(B1369&gt;=_TM1,B1369&lt;=_TM2,OR(TH!L1369="1111",TH!M1369="1111")),TH!D1369,""),"")</f>
        <v/>
      </c>
      <c r="B1369" s="36">
        <f t="shared" ref="B1369:B1432" si="107">IF(C1369&lt;&gt;"",MONTH(C1369),"")</f>
        <v>8</v>
      </c>
      <c r="C1369" s="37">
        <f t="shared" ref="C1369:C1386" si="108">E1369</f>
        <v>40772</v>
      </c>
      <c r="D1369" s="37" t="s">
        <v>1123</v>
      </c>
      <c r="E1369" s="37">
        <v>40772</v>
      </c>
      <c r="F1369" s="40" t="s">
        <v>1017</v>
      </c>
      <c r="G1369" s="40"/>
      <c r="H1369" s="628" t="s">
        <v>1092</v>
      </c>
      <c r="I1369" s="256">
        <v>1000</v>
      </c>
      <c r="J1369" s="256">
        <v>7593.1987351534799</v>
      </c>
      <c r="K1369" s="614">
        <f t="shared" ref="K1369:K1386" si="109">ROUND(I1369*J1369,0)</f>
        <v>7593199</v>
      </c>
      <c r="L1369" s="39" t="s">
        <v>159</v>
      </c>
      <c r="M1369" s="39" t="s">
        <v>157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894"/>
    </row>
    <row r="1370" spans="1:27" ht="15.75" customHeight="1">
      <c r="A1370" s="204" t="str">
        <f>IF(B1370&lt;&gt;"",IF(AND(B1370&gt;=_TM1,B1370&lt;=_TM2,OR(TH!L1370="1111",TH!M1370="1111")),TH!D1370,""),"")</f>
        <v/>
      </c>
      <c r="B1370" s="36">
        <f t="shared" si="107"/>
        <v>8</v>
      </c>
      <c r="C1370" s="37">
        <f t="shared" si="108"/>
        <v>40772</v>
      </c>
      <c r="D1370" s="37" t="s">
        <v>1123</v>
      </c>
      <c r="E1370" s="37">
        <v>40772</v>
      </c>
      <c r="F1370" s="40" t="s">
        <v>1040</v>
      </c>
      <c r="G1370" s="40"/>
      <c r="H1370" s="628" t="s">
        <v>1092</v>
      </c>
      <c r="I1370" s="256">
        <v>4</v>
      </c>
      <c r="J1370" s="256">
        <v>17902.398735153478</v>
      </c>
      <c r="K1370" s="614">
        <f t="shared" si="109"/>
        <v>71610</v>
      </c>
      <c r="L1370" s="39" t="s">
        <v>159</v>
      </c>
      <c r="M1370" s="39" t="s">
        <v>157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894"/>
    </row>
    <row r="1371" spans="1:27" ht="15.75" customHeight="1">
      <c r="A1371" s="204" t="str">
        <f>IF(B1371&lt;&gt;"",IF(AND(B1371&gt;=_TM1,B1371&lt;=_TM2,OR(TH!L1371="1111",TH!M1371="1111")),TH!D1371,""),"")</f>
        <v/>
      </c>
      <c r="B1371" s="36">
        <f t="shared" si="107"/>
        <v>8</v>
      </c>
      <c r="C1371" s="37">
        <f t="shared" si="108"/>
        <v>40772</v>
      </c>
      <c r="D1371" s="37" t="s">
        <v>1123</v>
      </c>
      <c r="E1371" s="37">
        <v>40772</v>
      </c>
      <c r="F1371" s="40" t="s">
        <v>1041</v>
      </c>
      <c r="G1371" s="40"/>
      <c r="H1371" s="628" t="s">
        <v>1092</v>
      </c>
      <c r="I1371" s="256">
        <v>1</v>
      </c>
      <c r="J1371" s="256">
        <v>6671.3987351534788</v>
      </c>
      <c r="K1371" s="614">
        <f t="shared" si="109"/>
        <v>6671</v>
      </c>
      <c r="L1371" s="39" t="s">
        <v>159</v>
      </c>
      <c r="M1371" s="39" t="s">
        <v>157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894"/>
    </row>
    <row r="1372" spans="1:27" ht="15.75" customHeight="1">
      <c r="A1372" s="204" t="str">
        <f>IF(B1372&lt;&gt;"",IF(AND(B1372&gt;=_TM1,B1372&lt;=_TM2,OR(TH!L1372="1111",TH!M1372="1111")),TH!D1372,""),"")</f>
        <v/>
      </c>
      <c r="B1372" s="36">
        <f t="shared" si="107"/>
        <v>8</v>
      </c>
      <c r="C1372" s="37">
        <f t="shared" si="108"/>
        <v>40772</v>
      </c>
      <c r="D1372" s="37" t="s">
        <v>1123</v>
      </c>
      <c r="E1372" s="37">
        <v>40772</v>
      </c>
      <c r="F1372" s="40" t="s">
        <v>1042</v>
      </c>
      <c r="G1372" s="40"/>
      <c r="H1372" s="628" t="s">
        <v>1092</v>
      </c>
      <c r="I1372" s="256">
        <v>3</v>
      </c>
      <c r="J1372" s="256">
        <v>11187.065401820146</v>
      </c>
      <c r="K1372" s="614">
        <f t="shared" si="109"/>
        <v>33561</v>
      </c>
      <c r="L1372" s="39" t="s">
        <v>159</v>
      </c>
      <c r="M1372" s="39" t="s">
        <v>157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894"/>
    </row>
    <row r="1373" spans="1:27" ht="15.75" customHeight="1">
      <c r="A1373" s="204" t="str">
        <f>IF(B1373&lt;&gt;"",IF(AND(B1373&gt;=_TM1,B1373&lt;=_TM2,OR(TH!L1373="1111",TH!M1373="1111")),TH!D1373,""),"")</f>
        <v/>
      </c>
      <c r="B1373" s="36">
        <f t="shared" si="107"/>
        <v>8</v>
      </c>
      <c r="C1373" s="37">
        <f t="shared" si="108"/>
        <v>40772</v>
      </c>
      <c r="D1373" s="37" t="s">
        <v>1123</v>
      </c>
      <c r="E1373" s="37">
        <v>40772</v>
      </c>
      <c r="F1373" s="40" t="s">
        <v>1043</v>
      </c>
      <c r="G1373" s="40"/>
      <c r="H1373" s="628" t="s">
        <v>1092</v>
      </c>
      <c r="I1373" s="256">
        <v>2</v>
      </c>
      <c r="J1373" s="256">
        <v>10308.898735153478</v>
      </c>
      <c r="K1373" s="614">
        <f t="shared" si="109"/>
        <v>20618</v>
      </c>
      <c r="L1373" s="39" t="s">
        <v>159</v>
      </c>
      <c r="M1373" s="39" t="s">
        <v>157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894"/>
    </row>
    <row r="1374" spans="1:27" ht="15.75" customHeight="1">
      <c r="A1374" s="204" t="str">
        <f>IF(B1374&lt;&gt;"",IF(AND(B1374&gt;=_TM1,B1374&lt;=_TM2,OR(TH!L1374="1111",TH!M1374="1111")),TH!D1374,""),"")</f>
        <v/>
      </c>
      <c r="B1374" s="36">
        <f t="shared" si="107"/>
        <v>8</v>
      </c>
      <c r="C1374" s="37">
        <f t="shared" si="108"/>
        <v>40772</v>
      </c>
      <c r="D1374" s="37" t="s">
        <v>1123</v>
      </c>
      <c r="E1374" s="37">
        <v>40772</v>
      </c>
      <c r="F1374" s="40" t="s">
        <v>1044</v>
      </c>
      <c r="G1374" s="40"/>
      <c r="H1374" s="628" t="s">
        <v>1092</v>
      </c>
      <c r="I1374" s="256">
        <v>1</v>
      </c>
      <c r="J1374" s="256">
        <v>10309.398735153478</v>
      </c>
      <c r="K1374" s="614">
        <f t="shared" si="109"/>
        <v>10309</v>
      </c>
      <c r="L1374" s="39" t="s">
        <v>159</v>
      </c>
      <c r="M1374" s="39" t="s">
        <v>157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894"/>
    </row>
    <row r="1375" spans="1:27" ht="15.75" customHeight="1">
      <c r="A1375" s="204" t="str">
        <f>IF(B1375&lt;&gt;"",IF(AND(B1375&gt;=_TM1,B1375&lt;=_TM2,OR(TH!L1375="1111",TH!M1375="1111")),TH!D1375,""),"")</f>
        <v/>
      </c>
      <c r="B1375" s="36">
        <f t="shared" si="107"/>
        <v>8</v>
      </c>
      <c r="C1375" s="37">
        <f t="shared" si="108"/>
        <v>40772</v>
      </c>
      <c r="D1375" s="37" t="s">
        <v>1123</v>
      </c>
      <c r="E1375" s="37">
        <v>40772</v>
      </c>
      <c r="F1375" s="40" t="s">
        <v>1045</v>
      </c>
      <c r="G1375" s="40"/>
      <c r="H1375" s="628" t="s">
        <v>1092</v>
      </c>
      <c r="I1375" s="256">
        <v>1</v>
      </c>
      <c r="J1375" s="256">
        <v>9490.3987351534779</v>
      </c>
      <c r="K1375" s="614">
        <f t="shared" si="109"/>
        <v>9490</v>
      </c>
      <c r="L1375" s="39" t="s">
        <v>159</v>
      </c>
      <c r="M1375" s="39" t="s">
        <v>157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894"/>
    </row>
    <row r="1376" spans="1:27" ht="15.75" customHeight="1">
      <c r="A1376" s="204" t="str">
        <f>IF(B1376&lt;&gt;"",IF(AND(B1376&gt;=_TM1,B1376&lt;=_TM2,OR(TH!L1376="1111",TH!M1376="1111")),TH!D1376,""),"")</f>
        <v/>
      </c>
      <c r="B1376" s="36">
        <f t="shared" si="107"/>
        <v>8</v>
      </c>
      <c r="C1376" s="37">
        <f t="shared" si="108"/>
        <v>40772</v>
      </c>
      <c r="D1376" s="37" t="s">
        <v>1123</v>
      </c>
      <c r="E1376" s="37">
        <v>40772</v>
      </c>
      <c r="F1376" s="40" t="s">
        <v>1046</v>
      </c>
      <c r="G1376" s="40"/>
      <c r="H1376" s="628" t="s">
        <v>1092</v>
      </c>
      <c r="I1376" s="256">
        <v>2</v>
      </c>
      <c r="J1376" s="256">
        <v>10308.898735153478</v>
      </c>
      <c r="K1376" s="614">
        <f t="shared" si="109"/>
        <v>20618</v>
      </c>
      <c r="L1376" s="39" t="s">
        <v>159</v>
      </c>
      <c r="M1376" s="39" t="s">
        <v>157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894"/>
    </row>
    <row r="1377" spans="1:27" ht="15.75" customHeight="1">
      <c r="A1377" s="204" t="str">
        <f>IF(B1377&lt;&gt;"",IF(AND(B1377&gt;=_TM1,B1377&lt;=_TM2,OR(TH!L1377="1111",TH!M1377="1111")),TH!D1377,""),"")</f>
        <v/>
      </c>
      <c r="B1377" s="36">
        <f t="shared" si="107"/>
        <v>8</v>
      </c>
      <c r="C1377" s="37">
        <f t="shared" si="108"/>
        <v>40772</v>
      </c>
      <c r="D1377" s="37" t="s">
        <v>1123</v>
      </c>
      <c r="E1377" s="37">
        <v>40772</v>
      </c>
      <c r="F1377" s="40" t="s">
        <v>1047</v>
      </c>
      <c r="G1377" s="40"/>
      <c r="H1377" s="628" t="s">
        <v>1092</v>
      </c>
      <c r="I1377" s="256">
        <v>700</v>
      </c>
      <c r="J1377" s="256">
        <v>12949.898735153478</v>
      </c>
      <c r="K1377" s="614">
        <f t="shared" si="109"/>
        <v>9064929</v>
      </c>
      <c r="L1377" s="39" t="s">
        <v>159</v>
      </c>
      <c r="M1377" s="39" t="s">
        <v>157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894"/>
    </row>
    <row r="1378" spans="1:27" ht="15.75" customHeight="1">
      <c r="A1378" s="204" t="str">
        <f>IF(B1378&lt;&gt;"",IF(AND(B1378&gt;=_TM1,B1378&lt;=_TM2,OR(TH!L1378="1111",TH!M1378="1111")),TH!D1378,""),"")</f>
        <v/>
      </c>
      <c r="B1378" s="36">
        <f t="shared" si="107"/>
        <v>8</v>
      </c>
      <c r="C1378" s="37">
        <f t="shared" si="108"/>
        <v>40772</v>
      </c>
      <c r="D1378" s="37" t="s">
        <v>970</v>
      </c>
      <c r="E1378" s="37">
        <v>40772</v>
      </c>
      <c r="F1378" s="40" t="s">
        <v>1017</v>
      </c>
      <c r="G1378" s="40" t="s">
        <v>1186</v>
      </c>
      <c r="H1378" s="628" t="s">
        <v>760</v>
      </c>
      <c r="I1378" s="256">
        <v>1000</v>
      </c>
      <c r="J1378" s="256">
        <v>7593.1987351534799</v>
      </c>
      <c r="K1378" s="614">
        <f t="shared" si="109"/>
        <v>7593199</v>
      </c>
      <c r="L1378" s="39" t="s">
        <v>165</v>
      </c>
      <c r="M1378" s="39" t="s">
        <v>159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894"/>
    </row>
    <row r="1379" spans="1:27" ht="15.75" customHeight="1">
      <c r="A1379" s="204" t="str">
        <f>IF(B1379&lt;&gt;"",IF(AND(B1379&gt;=_TM1,B1379&lt;=_TM2,OR(TH!L1379="1111",TH!M1379="1111")),TH!D1379,""),"")</f>
        <v/>
      </c>
      <c r="B1379" s="36">
        <f t="shared" si="107"/>
        <v>8</v>
      </c>
      <c r="C1379" s="37">
        <f t="shared" si="108"/>
        <v>40772</v>
      </c>
      <c r="D1379" s="37" t="s">
        <v>971</v>
      </c>
      <c r="E1379" s="37">
        <v>40772</v>
      </c>
      <c r="F1379" s="40" t="s">
        <v>1040</v>
      </c>
      <c r="G1379" s="40" t="s">
        <v>1187</v>
      </c>
      <c r="H1379" s="628" t="s">
        <v>733</v>
      </c>
      <c r="I1379" s="256">
        <v>4</v>
      </c>
      <c r="J1379" s="256">
        <v>17902.398735153478</v>
      </c>
      <c r="K1379" s="614">
        <f t="shared" si="109"/>
        <v>71610</v>
      </c>
      <c r="L1379" s="39" t="s">
        <v>165</v>
      </c>
      <c r="M1379" s="39" t="s">
        <v>159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894"/>
    </row>
    <row r="1380" spans="1:27" ht="15.75" customHeight="1">
      <c r="A1380" s="204" t="str">
        <f>IF(B1380&lt;&gt;"",IF(AND(B1380&gt;=_TM1,B1380&lt;=_TM2,OR(TH!L1380="1111",TH!M1380="1111")),TH!D1380,""),"")</f>
        <v/>
      </c>
      <c r="B1380" s="36">
        <f t="shared" si="107"/>
        <v>8</v>
      </c>
      <c r="C1380" s="37">
        <f t="shared" si="108"/>
        <v>40772</v>
      </c>
      <c r="D1380" s="37" t="s">
        <v>971</v>
      </c>
      <c r="E1380" s="37">
        <v>40772</v>
      </c>
      <c r="F1380" s="40" t="s">
        <v>1041</v>
      </c>
      <c r="G1380" s="40" t="s">
        <v>1187</v>
      </c>
      <c r="H1380" s="628" t="s">
        <v>733</v>
      </c>
      <c r="I1380" s="256">
        <v>1</v>
      </c>
      <c r="J1380" s="256">
        <v>6671.3987351534788</v>
      </c>
      <c r="K1380" s="614">
        <f t="shared" si="109"/>
        <v>6671</v>
      </c>
      <c r="L1380" s="39" t="s">
        <v>165</v>
      </c>
      <c r="M1380" s="39" t="s">
        <v>159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894"/>
    </row>
    <row r="1381" spans="1:27" ht="15.75" customHeight="1">
      <c r="A1381" s="204" t="str">
        <f>IF(B1381&lt;&gt;"",IF(AND(B1381&gt;=_TM1,B1381&lt;=_TM2,OR(TH!L1381="1111",TH!M1381="1111")),TH!D1381,""),"")</f>
        <v/>
      </c>
      <c r="B1381" s="36">
        <f t="shared" si="107"/>
        <v>8</v>
      </c>
      <c r="C1381" s="37">
        <f t="shared" si="108"/>
        <v>40772</v>
      </c>
      <c r="D1381" s="37" t="s">
        <v>971</v>
      </c>
      <c r="E1381" s="37">
        <v>40772</v>
      </c>
      <c r="F1381" s="40" t="s">
        <v>1042</v>
      </c>
      <c r="G1381" s="40" t="s">
        <v>1187</v>
      </c>
      <c r="H1381" s="628" t="s">
        <v>733</v>
      </c>
      <c r="I1381" s="256">
        <v>3</v>
      </c>
      <c r="J1381" s="256">
        <v>11187.065401820146</v>
      </c>
      <c r="K1381" s="614">
        <f t="shared" si="109"/>
        <v>33561</v>
      </c>
      <c r="L1381" s="39" t="s">
        <v>165</v>
      </c>
      <c r="M1381" s="39" t="s">
        <v>159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894"/>
    </row>
    <row r="1382" spans="1:27" ht="15.75" customHeight="1">
      <c r="A1382" s="204" t="str">
        <f>IF(B1382&lt;&gt;"",IF(AND(B1382&gt;=_TM1,B1382&lt;=_TM2,OR(TH!L1382="1111",TH!M1382="1111")),TH!D1382,""),"")</f>
        <v/>
      </c>
      <c r="B1382" s="36">
        <f t="shared" si="107"/>
        <v>8</v>
      </c>
      <c r="C1382" s="37">
        <f t="shared" si="108"/>
        <v>40772</v>
      </c>
      <c r="D1382" s="37" t="s">
        <v>971</v>
      </c>
      <c r="E1382" s="37">
        <v>40772</v>
      </c>
      <c r="F1382" s="40" t="s">
        <v>1043</v>
      </c>
      <c r="G1382" s="40" t="s">
        <v>1187</v>
      </c>
      <c r="H1382" s="628" t="s">
        <v>733</v>
      </c>
      <c r="I1382" s="256">
        <v>2</v>
      </c>
      <c r="J1382" s="256">
        <v>10308.898735153478</v>
      </c>
      <c r="K1382" s="614">
        <f t="shared" si="109"/>
        <v>20618</v>
      </c>
      <c r="L1382" s="39" t="s">
        <v>165</v>
      </c>
      <c r="M1382" s="39" t="s">
        <v>159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894"/>
    </row>
    <row r="1383" spans="1:27" ht="15.75" customHeight="1">
      <c r="A1383" s="204" t="str">
        <f>IF(B1383&lt;&gt;"",IF(AND(B1383&gt;=_TM1,B1383&lt;=_TM2,OR(TH!L1383="1111",TH!M1383="1111")),TH!D1383,""),"")</f>
        <v/>
      </c>
      <c r="B1383" s="36">
        <f t="shared" si="107"/>
        <v>8</v>
      </c>
      <c r="C1383" s="37">
        <f t="shared" si="108"/>
        <v>40772</v>
      </c>
      <c r="D1383" s="37" t="s">
        <v>971</v>
      </c>
      <c r="E1383" s="37">
        <v>40772</v>
      </c>
      <c r="F1383" s="40" t="s">
        <v>1044</v>
      </c>
      <c r="G1383" s="40" t="s">
        <v>1187</v>
      </c>
      <c r="H1383" s="628" t="s">
        <v>733</v>
      </c>
      <c r="I1383" s="256">
        <v>1</v>
      </c>
      <c r="J1383" s="256">
        <v>10309.398735153478</v>
      </c>
      <c r="K1383" s="614">
        <f t="shared" si="109"/>
        <v>10309</v>
      </c>
      <c r="L1383" s="39" t="s">
        <v>165</v>
      </c>
      <c r="M1383" s="39" t="s">
        <v>159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894"/>
    </row>
    <row r="1384" spans="1:27" ht="15.75" customHeight="1">
      <c r="A1384" s="204" t="str">
        <f>IF(B1384&lt;&gt;"",IF(AND(B1384&gt;=_TM1,B1384&lt;=_TM2,OR(TH!L1384="1111",TH!M1384="1111")),TH!D1384,""),"")</f>
        <v/>
      </c>
      <c r="B1384" s="36">
        <f t="shared" si="107"/>
        <v>8</v>
      </c>
      <c r="C1384" s="37">
        <f t="shared" si="108"/>
        <v>40772</v>
      </c>
      <c r="D1384" s="37" t="s">
        <v>971</v>
      </c>
      <c r="E1384" s="37">
        <v>40772</v>
      </c>
      <c r="F1384" s="40" t="s">
        <v>1045</v>
      </c>
      <c r="G1384" s="40" t="s">
        <v>1187</v>
      </c>
      <c r="H1384" s="628" t="s">
        <v>733</v>
      </c>
      <c r="I1384" s="256">
        <v>1</v>
      </c>
      <c r="J1384" s="256">
        <v>9490.3987351534779</v>
      </c>
      <c r="K1384" s="614">
        <f t="shared" si="109"/>
        <v>9490</v>
      </c>
      <c r="L1384" s="39" t="s">
        <v>165</v>
      </c>
      <c r="M1384" s="39" t="s">
        <v>159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894"/>
    </row>
    <row r="1385" spans="1:27" ht="15.75" customHeight="1">
      <c r="A1385" s="204" t="str">
        <f>IF(B1385&lt;&gt;"",IF(AND(B1385&gt;=_TM1,B1385&lt;=_TM2,OR(TH!L1385="1111",TH!M1385="1111")),TH!D1385,""),"")</f>
        <v/>
      </c>
      <c r="B1385" s="36">
        <f t="shared" si="107"/>
        <v>8</v>
      </c>
      <c r="C1385" s="37">
        <f t="shared" si="108"/>
        <v>40772</v>
      </c>
      <c r="D1385" s="37" t="s">
        <v>971</v>
      </c>
      <c r="E1385" s="37">
        <v>40772</v>
      </c>
      <c r="F1385" s="40" t="s">
        <v>1046</v>
      </c>
      <c r="G1385" s="40" t="s">
        <v>1187</v>
      </c>
      <c r="H1385" s="628" t="s">
        <v>733</v>
      </c>
      <c r="I1385" s="256">
        <v>2</v>
      </c>
      <c r="J1385" s="256">
        <v>10308.898735153478</v>
      </c>
      <c r="K1385" s="614">
        <f t="shared" si="109"/>
        <v>20618</v>
      </c>
      <c r="L1385" s="39" t="s">
        <v>165</v>
      </c>
      <c r="M1385" s="39" t="s">
        <v>159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894"/>
    </row>
    <row r="1386" spans="1:27" ht="15.75" customHeight="1">
      <c r="A1386" s="204" t="str">
        <f>IF(B1386&lt;&gt;"",IF(AND(B1386&gt;=_TM1,B1386&lt;=_TM2,OR(TH!L1386="1111",TH!M1386="1111")),TH!D1386,""),"")</f>
        <v/>
      </c>
      <c r="B1386" s="36">
        <f t="shared" si="107"/>
        <v>8</v>
      </c>
      <c r="C1386" s="37">
        <f t="shared" si="108"/>
        <v>40772</v>
      </c>
      <c r="D1386" s="37" t="s">
        <v>971</v>
      </c>
      <c r="E1386" s="37">
        <v>40772</v>
      </c>
      <c r="F1386" s="40" t="s">
        <v>1047</v>
      </c>
      <c r="G1386" s="40" t="s">
        <v>1187</v>
      </c>
      <c r="H1386" s="628" t="s">
        <v>733</v>
      </c>
      <c r="I1386" s="256">
        <v>700</v>
      </c>
      <c r="J1386" s="256">
        <v>12949.898735153478</v>
      </c>
      <c r="K1386" s="614">
        <f t="shared" si="109"/>
        <v>9064929</v>
      </c>
      <c r="L1386" s="39" t="s">
        <v>165</v>
      </c>
      <c r="M1386" s="39" t="s">
        <v>159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894"/>
    </row>
    <row r="1387" spans="1:27" ht="15.75" customHeight="1">
      <c r="A1387" s="204" t="str">
        <f>IF(B1387&lt;&gt;"",IF(AND(B1387&gt;=_TM1,B1387&lt;=_TM2,OR(TH!L1387="1111",TH!M1387="1111")),TH!D1387,""),"")</f>
        <v/>
      </c>
      <c r="B1387" s="36">
        <f t="shared" si="107"/>
        <v>8</v>
      </c>
      <c r="C1387" s="191">
        <v>40774</v>
      </c>
      <c r="D1387" s="191" t="s">
        <v>972</v>
      </c>
      <c r="E1387" s="191">
        <v>40774</v>
      </c>
      <c r="F1387" s="192" t="s">
        <v>1048</v>
      </c>
      <c r="G1387" s="498" t="s">
        <v>1188</v>
      </c>
      <c r="H1387" s="7" t="s">
        <v>733</v>
      </c>
      <c r="I1387" s="256">
        <v>63</v>
      </c>
      <c r="J1387" s="256">
        <v>16713</v>
      </c>
      <c r="K1387" s="614">
        <v>1052919</v>
      </c>
      <c r="L1387" s="194" t="s">
        <v>259</v>
      </c>
      <c r="M1387" s="194" t="s">
        <v>167</v>
      </c>
      <c r="N1387" s="52" t="str">
        <f>IF(AND('331-CT'!$E$7=TH!H1387,OR(L1387="331",M1387="331")),"331",IF(AND(OR(L1387="131",M1387="131"),H1387='131-CT'!$E$7),"131",""))</f>
        <v>131</v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894"/>
    </row>
    <row r="1388" spans="1:27" ht="15.75" customHeight="1">
      <c r="A1388" s="204" t="str">
        <f>IF(B1388&lt;&gt;"",IF(AND(B1388&gt;=_TM1,B1388&lt;=_TM2,OR(TH!L1388="1111",TH!M1388="1111")),TH!D1388,""),"")</f>
        <v/>
      </c>
      <c r="B1388" s="36">
        <f t="shared" si="107"/>
        <v>8</v>
      </c>
      <c r="C1388" s="191">
        <v>40774</v>
      </c>
      <c r="D1388" s="191" t="s">
        <v>972</v>
      </c>
      <c r="E1388" s="191">
        <v>40774</v>
      </c>
      <c r="F1388" s="192" t="s">
        <v>1049</v>
      </c>
      <c r="G1388" s="498" t="s">
        <v>1188</v>
      </c>
      <c r="H1388" s="7" t="s">
        <v>733</v>
      </c>
      <c r="I1388" s="256">
        <v>138</v>
      </c>
      <c r="J1388" s="256">
        <v>8450</v>
      </c>
      <c r="K1388" s="614">
        <v>1166100</v>
      </c>
      <c r="L1388" s="194" t="s">
        <v>259</v>
      </c>
      <c r="M1388" s="194" t="s">
        <v>167</v>
      </c>
      <c r="N1388" s="52" t="str">
        <f>IF(AND('331-CT'!$E$7=TH!H1388,OR(L1388="331",M1388="331")),"331",IF(AND(OR(L1388="131",M1388="131"),H1388='131-CT'!$E$7),"131",""))</f>
        <v>131</v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894"/>
    </row>
    <row r="1389" spans="1:27" ht="15.75" customHeight="1">
      <c r="A1389" s="204" t="str">
        <f>IF(B1389&lt;&gt;"",IF(AND(B1389&gt;=_TM1,B1389&lt;=_TM2,OR(TH!L1389="1111",TH!M1389="1111")),TH!D1389,""),"")</f>
        <v/>
      </c>
      <c r="B1389" s="36">
        <f t="shared" si="107"/>
        <v>8</v>
      </c>
      <c r="C1389" s="191">
        <v>40774</v>
      </c>
      <c r="D1389" s="191" t="s">
        <v>972</v>
      </c>
      <c r="E1389" s="191">
        <v>40774</v>
      </c>
      <c r="F1389" s="192" t="s">
        <v>1050</v>
      </c>
      <c r="G1389" s="498" t="s">
        <v>1188</v>
      </c>
      <c r="H1389" s="7" t="s">
        <v>733</v>
      </c>
      <c r="I1389" s="256">
        <v>279</v>
      </c>
      <c r="J1389" s="256">
        <v>9594</v>
      </c>
      <c r="K1389" s="614">
        <v>2676726</v>
      </c>
      <c r="L1389" s="194" t="s">
        <v>259</v>
      </c>
      <c r="M1389" s="194" t="s">
        <v>167</v>
      </c>
      <c r="N1389" s="52" t="str">
        <f>IF(AND('331-CT'!$E$7=TH!H1389,OR(L1389="331",M1389="331")),"331",IF(AND(OR(L1389="131",M1389="131"),H1389='131-CT'!$E$7),"131",""))</f>
        <v>131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894"/>
    </row>
    <row r="1390" spans="1:27" ht="15.75" customHeight="1">
      <c r="A1390" s="204" t="str">
        <f>IF(B1390&lt;&gt;"",IF(AND(B1390&gt;=_TM1,B1390&lt;=_TM2,OR(TH!L1390="1111",TH!M1390="1111")),TH!D1390,""),"")</f>
        <v/>
      </c>
      <c r="B1390" s="36">
        <f t="shared" si="107"/>
        <v>8</v>
      </c>
      <c r="C1390" s="191">
        <v>40774</v>
      </c>
      <c r="D1390" s="191" t="s">
        <v>972</v>
      </c>
      <c r="E1390" s="191">
        <v>40774</v>
      </c>
      <c r="F1390" s="192" t="s">
        <v>1051</v>
      </c>
      <c r="G1390" s="498" t="s">
        <v>1188</v>
      </c>
      <c r="H1390" s="7" t="s">
        <v>733</v>
      </c>
      <c r="I1390" s="256">
        <v>41</v>
      </c>
      <c r="J1390" s="256">
        <v>11992</v>
      </c>
      <c r="K1390" s="614">
        <v>491672</v>
      </c>
      <c r="L1390" s="194" t="s">
        <v>259</v>
      </c>
      <c r="M1390" s="194" t="s">
        <v>167</v>
      </c>
      <c r="N1390" s="52" t="str">
        <f>IF(AND('331-CT'!$E$7=TH!H1390,OR(L1390="331",M1390="331")),"331",IF(AND(OR(L1390="131",M1390="131"),H1390='131-CT'!$E$7),"131",""))</f>
        <v>131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894"/>
    </row>
    <row r="1391" spans="1:27" ht="15.75" customHeight="1">
      <c r="A1391" s="204" t="str">
        <f>IF(B1391&lt;&gt;"",IF(AND(B1391&gt;=_TM1,B1391&lt;=_TM2,OR(TH!L1391="1111",TH!M1391="1111")),TH!D1391,""),"")</f>
        <v/>
      </c>
      <c r="B1391" s="36">
        <f t="shared" si="107"/>
        <v>8</v>
      </c>
      <c r="C1391" s="191">
        <v>40774</v>
      </c>
      <c r="D1391" s="191" t="s">
        <v>972</v>
      </c>
      <c r="E1391" s="191">
        <v>40774</v>
      </c>
      <c r="F1391" s="192" t="s">
        <v>1052</v>
      </c>
      <c r="G1391" s="498" t="s">
        <v>1188</v>
      </c>
      <c r="H1391" s="7" t="s">
        <v>733</v>
      </c>
      <c r="I1391" s="256">
        <v>151</v>
      </c>
      <c r="J1391" s="256">
        <v>11067</v>
      </c>
      <c r="K1391" s="614">
        <v>1671117</v>
      </c>
      <c r="L1391" s="194" t="s">
        <v>259</v>
      </c>
      <c r="M1391" s="194" t="s">
        <v>167</v>
      </c>
      <c r="N1391" s="52" t="str">
        <f>IF(AND('331-CT'!$E$7=TH!H1391,OR(L1391="331",M1391="331")),"331",IF(AND(OR(L1391="131",M1391="131"),H1391='131-CT'!$E$7),"131",""))</f>
        <v>131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894"/>
    </row>
    <row r="1392" spans="1:27" ht="15.75" customHeight="1">
      <c r="A1392" s="204" t="str">
        <f>IF(B1392&lt;&gt;"",IF(AND(B1392&gt;=_TM1,B1392&lt;=_TM2,OR(TH!L1392="1111",TH!M1392="1111")),TH!D1392,""),"")</f>
        <v/>
      </c>
      <c r="B1392" s="36">
        <f t="shared" si="107"/>
        <v>8</v>
      </c>
      <c r="C1392" s="191">
        <v>40774</v>
      </c>
      <c r="D1392" s="191" t="s">
        <v>972</v>
      </c>
      <c r="E1392" s="191">
        <v>40774</v>
      </c>
      <c r="F1392" s="192" t="s">
        <v>1053</v>
      </c>
      <c r="G1392" s="498" t="s">
        <v>1188</v>
      </c>
      <c r="H1392" s="7" t="s">
        <v>733</v>
      </c>
      <c r="I1392" s="256">
        <v>463</v>
      </c>
      <c r="J1392" s="256">
        <v>10594</v>
      </c>
      <c r="K1392" s="614">
        <v>4905022</v>
      </c>
      <c r="L1392" s="194" t="s">
        <v>259</v>
      </c>
      <c r="M1392" s="194" t="s">
        <v>167</v>
      </c>
      <c r="N1392" s="52" t="str">
        <f>IF(AND('331-CT'!$E$7=TH!H1392,OR(L1392="331",M1392="331")),"331",IF(AND(OR(L1392="131",M1392="131"),H1392='131-CT'!$E$7),"131",""))</f>
        <v>131</v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894"/>
    </row>
    <row r="1393" spans="1:27" ht="15.75" customHeight="1">
      <c r="A1393" s="204" t="str">
        <f>IF(B1393&lt;&gt;"",IF(AND(B1393&gt;=_TM1,B1393&lt;=_TM2,OR(TH!L1393="1111",TH!M1393="1111")),TH!D1393,""),"")</f>
        <v/>
      </c>
      <c r="B1393" s="36">
        <f t="shared" si="107"/>
        <v>8</v>
      </c>
      <c r="C1393" s="191">
        <v>40774</v>
      </c>
      <c r="D1393" s="191" t="s">
        <v>972</v>
      </c>
      <c r="E1393" s="191">
        <v>40774</v>
      </c>
      <c r="F1393" s="192" t="s">
        <v>1054</v>
      </c>
      <c r="G1393" s="498" t="s">
        <v>1188</v>
      </c>
      <c r="H1393" s="7" t="s">
        <v>733</v>
      </c>
      <c r="I1393" s="256">
        <v>163</v>
      </c>
      <c r="J1393" s="256">
        <v>14010</v>
      </c>
      <c r="K1393" s="614">
        <v>2283630</v>
      </c>
      <c r="L1393" s="194" t="s">
        <v>259</v>
      </c>
      <c r="M1393" s="194" t="s">
        <v>167</v>
      </c>
      <c r="N1393" s="52" t="str">
        <f>IF(AND('331-CT'!$E$7=TH!H1393,OR(L1393="331",M1393="331")),"331",IF(AND(OR(L1393="131",M1393="131"),H1393='131-CT'!$E$7),"131",""))</f>
        <v>131</v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894"/>
    </row>
    <row r="1394" spans="1:27" ht="15.75" customHeight="1">
      <c r="A1394" s="204" t="str">
        <f>IF(B1394&lt;&gt;"",IF(AND(B1394&gt;=_TM1,B1394&lt;=_TM2,OR(TH!L1394="1111",TH!M1394="1111")),TH!D1394,""),"")</f>
        <v/>
      </c>
      <c r="B1394" s="36">
        <f t="shared" si="107"/>
        <v>8</v>
      </c>
      <c r="C1394" s="191">
        <v>40774</v>
      </c>
      <c r="D1394" s="191" t="s">
        <v>972</v>
      </c>
      <c r="E1394" s="191">
        <v>40774</v>
      </c>
      <c r="F1394" s="189" t="s">
        <v>756</v>
      </c>
      <c r="G1394" s="498" t="s">
        <v>1188</v>
      </c>
      <c r="H1394" s="7" t="s">
        <v>733</v>
      </c>
      <c r="I1394" s="256">
        <v>45</v>
      </c>
      <c r="J1394" s="256">
        <v>4321</v>
      </c>
      <c r="K1394" s="614">
        <v>194445</v>
      </c>
      <c r="L1394" s="194" t="s">
        <v>259</v>
      </c>
      <c r="M1394" s="194" t="s">
        <v>167</v>
      </c>
      <c r="N1394" s="52" t="str">
        <f>IF(AND('331-CT'!$E$7=TH!H1394,OR(L1394="331",M1394="331")),"331",IF(AND(OR(L1394="131",M1394="131"),H1394='131-CT'!$E$7),"131",""))</f>
        <v>131</v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894"/>
    </row>
    <row r="1395" spans="1:27" ht="15.75" customHeight="1">
      <c r="A1395" s="204" t="str">
        <f>IF(B1395&lt;&gt;"",IF(AND(B1395&gt;=_TM1,B1395&lt;=_TM2,OR(TH!L1395="1111",TH!M1395="1111")),TH!D1395,""),"")</f>
        <v/>
      </c>
      <c r="B1395" s="36">
        <f t="shared" si="107"/>
        <v>8</v>
      </c>
      <c r="C1395" s="191">
        <v>40774</v>
      </c>
      <c r="D1395" s="191" t="s">
        <v>972</v>
      </c>
      <c r="E1395" s="191">
        <v>40774</v>
      </c>
      <c r="F1395" s="192" t="s">
        <v>835</v>
      </c>
      <c r="G1395" s="498" t="s">
        <v>1188</v>
      </c>
      <c r="H1395" s="7" t="s">
        <v>733</v>
      </c>
      <c r="I1395" s="256"/>
      <c r="J1395" s="256"/>
      <c r="K1395" s="38">
        <v>1444163</v>
      </c>
      <c r="L1395" s="194" t="s">
        <v>259</v>
      </c>
      <c r="M1395" s="194" t="s">
        <v>731</v>
      </c>
      <c r="N1395" s="52" t="str">
        <f>IF(AND('331-CT'!$E$7=TH!H1395,OR(L1395="331",M1395="331")),"331",IF(AND(OR(L1395="131",M1395="131"),H1395='131-CT'!$E$7),"131",""))</f>
        <v>131</v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894"/>
    </row>
    <row r="1396" spans="1:27" ht="15.75" customHeight="1">
      <c r="A1396" s="204" t="str">
        <f>IF(B1396&lt;&gt;"",IF(AND(B1396&gt;=_TM1,B1396&lt;=_TM2,OR(TH!L1396="1111",TH!M1396="1111")),TH!D1396,""),"")</f>
        <v/>
      </c>
      <c r="B1396" s="36">
        <f t="shared" si="107"/>
        <v>8</v>
      </c>
      <c r="C1396" s="37">
        <f t="shared" ref="C1396:C1411" si="110">E1396</f>
        <v>40774</v>
      </c>
      <c r="D1396" s="37" t="s">
        <v>1124</v>
      </c>
      <c r="E1396" s="37">
        <v>40774</v>
      </c>
      <c r="F1396" s="40" t="s">
        <v>1048</v>
      </c>
      <c r="G1396" s="40"/>
      <c r="H1396" s="628" t="s">
        <v>1092</v>
      </c>
      <c r="I1396" s="256">
        <v>63</v>
      </c>
      <c r="J1396" s="256">
        <v>13941.065401820146</v>
      </c>
      <c r="K1396" s="614">
        <f t="shared" ref="K1396:K1411" si="111">ROUND(I1396*J1396,0)</f>
        <v>878287</v>
      </c>
      <c r="L1396" s="39" t="s">
        <v>159</v>
      </c>
      <c r="M1396" s="39" t="s">
        <v>157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894"/>
    </row>
    <row r="1397" spans="1:27" ht="15.75" customHeight="1">
      <c r="A1397" s="204" t="str">
        <f>IF(B1397&lt;&gt;"",IF(AND(B1397&gt;=_TM1,B1397&lt;=_TM2,OR(TH!L1397="1111",TH!M1397="1111")),TH!D1397,""),"")</f>
        <v/>
      </c>
      <c r="B1397" s="36">
        <f t="shared" si="107"/>
        <v>8</v>
      </c>
      <c r="C1397" s="37">
        <f t="shared" si="110"/>
        <v>40774</v>
      </c>
      <c r="D1397" s="37" t="s">
        <v>1124</v>
      </c>
      <c r="E1397" s="37">
        <v>40774</v>
      </c>
      <c r="F1397" s="40" t="s">
        <v>1049</v>
      </c>
      <c r="G1397" s="40"/>
      <c r="H1397" s="628" t="s">
        <v>1092</v>
      </c>
      <c r="I1397" s="256">
        <v>138</v>
      </c>
      <c r="J1397" s="256">
        <v>7394.3987351534779</v>
      </c>
      <c r="K1397" s="614">
        <f t="shared" si="111"/>
        <v>1020427</v>
      </c>
      <c r="L1397" s="39" t="s">
        <v>159</v>
      </c>
      <c r="M1397" s="39" t="s">
        <v>157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894"/>
    </row>
    <row r="1398" spans="1:27" ht="15.75" customHeight="1">
      <c r="A1398" s="204" t="str">
        <f>IF(B1398&lt;&gt;"",IF(AND(B1398&gt;=_TM1,B1398&lt;=_TM2,OR(TH!L1398="1111",TH!M1398="1111")),TH!D1398,""),"")</f>
        <v/>
      </c>
      <c r="B1398" s="36">
        <f t="shared" si="107"/>
        <v>8</v>
      </c>
      <c r="C1398" s="37">
        <f t="shared" si="110"/>
        <v>40774</v>
      </c>
      <c r="D1398" s="37" t="s">
        <v>1124</v>
      </c>
      <c r="E1398" s="37">
        <v>40774</v>
      </c>
      <c r="F1398" s="40" t="s">
        <v>1050</v>
      </c>
      <c r="G1398" s="40"/>
      <c r="H1398" s="628" t="s">
        <v>1092</v>
      </c>
      <c r="I1398" s="256">
        <v>279</v>
      </c>
      <c r="J1398" s="256">
        <v>8346.3987351534779</v>
      </c>
      <c r="K1398" s="614">
        <f t="shared" si="111"/>
        <v>2328645</v>
      </c>
      <c r="L1398" s="39" t="s">
        <v>159</v>
      </c>
      <c r="M1398" s="39" t="s">
        <v>157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894"/>
    </row>
    <row r="1399" spans="1:27" ht="15.75" customHeight="1">
      <c r="A1399" s="204" t="str">
        <f>IF(B1399&lt;&gt;"",IF(AND(B1399&gt;=_TM1,B1399&lt;=_TM2,OR(TH!L1399="1111",TH!M1399="1111")),TH!D1399,""),"")</f>
        <v/>
      </c>
      <c r="B1399" s="36">
        <f t="shared" si="107"/>
        <v>8</v>
      </c>
      <c r="C1399" s="37">
        <f t="shared" si="110"/>
        <v>40774</v>
      </c>
      <c r="D1399" s="37" t="s">
        <v>1124</v>
      </c>
      <c r="E1399" s="37">
        <v>40774</v>
      </c>
      <c r="F1399" s="40" t="s">
        <v>1051</v>
      </c>
      <c r="G1399" s="40"/>
      <c r="H1399" s="628" t="s">
        <v>1092</v>
      </c>
      <c r="I1399" s="256">
        <v>41</v>
      </c>
      <c r="J1399" s="256">
        <v>10501.91093027543</v>
      </c>
      <c r="K1399" s="614">
        <f t="shared" si="111"/>
        <v>430578</v>
      </c>
      <c r="L1399" s="39" t="s">
        <v>159</v>
      </c>
      <c r="M1399" s="39" t="s">
        <v>157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894"/>
    </row>
    <row r="1400" spans="1:27" ht="15.75" customHeight="1">
      <c r="A1400" s="204" t="str">
        <f>IF(B1400&lt;&gt;"",IF(AND(B1400&gt;=_TM1,B1400&lt;=_TM2,OR(TH!L1400="1111",TH!M1400="1111")),TH!D1400,""),"")</f>
        <v/>
      </c>
      <c r="B1400" s="36">
        <f t="shared" si="107"/>
        <v>8</v>
      </c>
      <c r="C1400" s="37">
        <f t="shared" si="110"/>
        <v>40774</v>
      </c>
      <c r="D1400" s="37" t="s">
        <v>1124</v>
      </c>
      <c r="E1400" s="37">
        <v>40774</v>
      </c>
      <c r="F1400" s="40" t="s">
        <v>1052</v>
      </c>
      <c r="G1400" s="40"/>
      <c r="H1400" s="628" t="s">
        <v>1092</v>
      </c>
      <c r="I1400" s="256">
        <v>151</v>
      </c>
      <c r="J1400" s="256">
        <v>10880.941781511094</v>
      </c>
      <c r="K1400" s="614">
        <f t="shared" si="111"/>
        <v>1643022</v>
      </c>
      <c r="L1400" s="39" t="s">
        <v>159</v>
      </c>
      <c r="M1400" s="39" t="s">
        <v>157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894"/>
    </row>
    <row r="1401" spans="1:27" ht="15.75" customHeight="1">
      <c r="A1401" s="204" t="str">
        <f>IF(B1401&lt;&gt;"",IF(AND(B1401&gt;=_TM1,B1401&lt;=_TM2,OR(TH!L1401="1111",TH!M1401="1111")),TH!D1401,""),"")</f>
        <v/>
      </c>
      <c r="B1401" s="36">
        <f t="shared" si="107"/>
        <v>8</v>
      </c>
      <c r="C1401" s="37">
        <f t="shared" si="110"/>
        <v>40774</v>
      </c>
      <c r="D1401" s="37" t="s">
        <v>1124</v>
      </c>
      <c r="E1401" s="37">
        <v>40774</v>
      </c>
      <c r="F1401" s="40" t="s">
        <v>1053</v>
      </c>
      <c r="G1401" s="40"/>
      <c r="H1401" s="628" t="s">
        <v>1092</v>
      </c>
      <c r="I1401" s="256">
        <v>463</v>
      </c>
      <c r="J1401" s="256">
        <v>7955.6514349374957</v>
      </c>
      <c r="K1401" s="614">
        <f t="shared" si="111"/>
        <v>3683467</v>
      </c>
      <c r="L1401" s="39" t="s">
        <v>159</v>
      </c>
      <c r="M1401" s="39" t="s">
        <v>157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894"/>
    </row>
    <row r="1402" spans="1:27" ht="15.75" customHeight="1">
      <c r="A1402" s="204" t="str">
        <f>IF(B1402&lt;&gt;"",IF(AND(B1402&gt;=_TM1,B1402&lt;=_TM2,OR(TH!L1402="1111",TH!M1402="1111")),TH!D1402,""),"")</f>
        <v/>
      </c>
      <c r="B1402" s="36">
        <f t="shared" si="107"/>
        <v>8</v>
      </c>
      <c r="C1402" s="37">
        <f t="shared" si="110"/>
        <v>40774</v>
      </c>
      <c r="D1402" s="37" t="s">
        <v>1124</v>
      </c>
      <c r="E1402" s="37">
        <v>40774</v>
      </c>
      <c r="F1402" s="40" t="s">
        <v>1054</v>
      </c>
      <c r="G1402" s="40"/>
      <c r="H1402" s="628" t="s">
        <v>1092</v>
      </c>
      <c r="I1402" s="256">
        <v>163</v>
      </c>
      <c r="J1402" s="256">
        <v>13015.711618589061</v>
      </c>
      <c r="K1402" s="614">
        <f t="shared" si="111"/>
        <v>2121561</v>
      </c>
      <c r="L1402" s="39" t="s">
        <v>159</v>
      </c>
      <c r="M1402" s="39" t="s">
        <v>157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894"/>
    </row>
    <row r="1403" spans="1:27" ht="15.75" customHeight="1">
      <c r="A1403" s="204" t="str">
        <f>IF(B1403&lt;&gt;"",IF(AND(B1403&gt;=_TM1,B1403&lt;=_TM2,OR(TH!L1403="1111",TH!M1403="1111")),TH!D1403,""),"")</f>
        <v/>
      </c>
      <c r="B1403" s="36">
        <f t="shared" si="107"/>
        <v>8</v>
      </c>
      <c r="C1403" s="37">
        <f t="shared" si="110"/>
        <v>40774</v>
      </c>
      <c r="D1403" s="37" t="s">
        <v>1124</v>
      </c>
      <c r="E1403" s="37">
        <v>40774</v>
      </c>
      <c r="F1403" s="192" t="s">
        <v>756</v>
      </c>
      <c r="G1403" s="40"/>
      <c r="H1403" s="628" t="s">
        <v>1092</v>
      </c>
      <c r="I1403" s="256">
        <v>45</v>
      </c>
      <c r="J1403" s="256">
        <v>4446.9098462645898</v>
      </c>
      <c r="K1403" s="614">
        <f t="shared" si="111"/>
        <v>200111</v>
      </c>
      <c r="L1403" s="39" t="s">
        <v>159</v>
      </c>
      <c r="M1403" s="39" t="s">
        <v>157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894"/>
    </row>
    <row r="1404" spans="1:27" ht="15.75" customHeight="1">
      <c r="A1404" s="204" t="str">
        <f>IF(B1404&lt;&gt;"",IF(AND(B1404&gt;=_TM1,B1404&lt;=_TM2,OR(TH!L1404="1111",TH!M1404="1111")),TH!D1404,""),"")</f>
        <v/>
      </c>
      <c r="B1404" s="36">
        <f t="shared" si="107"/>
        <v>8</v>
      </c>
      <c r="C1404" s="37">
        <f t="shared" si="110"/>
        <v>40774</v>
      </c>
      <c r="D1404" s="37" t="s">
        <v>972</v>
      </c>
      <c r="E1404" s="37">
        <v>40774</v>
      </c>
      <c r="F1404" s="40" t="s">
        <v>1048</v>
      </c>
      <c r="G1404" s="40" t="s">
        <v>1188</v>
      </c>
      <c r="H1404" s="628" t="s">
        <v>733</v>
      </c>
      <c r="I1404" s="256">
        <v>63</v>
      </c>
      <c r="J1404" s="256">
        <v>13941.065401820146</v>
      </c>
      <c r="K1404" s="614">
        <f t="shared" si="111"/>
        <v>878287</v>
      </c>
      <c r="L1404" s="39" t="s">
        <v>165</v>
      </c>
      <c r="M1404" s="39" t="s">
        <v>159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894"/>
    </row>
    <row r="1405" spans="1:27" ht="15.75" customHeight="1">
      <c r="A1405" s="204" t="str">
        <f>IF(B1405&lt;&gt;"",IF(AND(B1405&gt;=_TM1,B1405&lt;=_TM2,OR(TH!L1405="1111",TH!M1405="1111")),TH!D1405,""),"")</f>
        <v/>
      </c>
      <c r="B1405" s="36">
        <f t="shared" si="107"/>
        <v>8</v>
      </c>
      <c r="C1405" s="37">
        <f t="shared" si="110"/>
        <v>40774</v>
      </c>
      <c r="D1405" s="37" t="s">
        <v>972</v>
      </c>
      <c r="E1405" s="37">
        <v>40774</v>
      </c>
      <c r="F1405" s="40" t="s">
        <v>1049</v>
      </c>
      <c r="G1405" s="40" t="s">
        <v>1188</v>
      </c>
      <c r="H1405" s="628" t="s">
        <v>733</v>
      </c>
      <c r="I1405" s="256">
        <v>138</v>
      </c>
      <c r="J1405" s="256">
        <v>7394.3987351534779</v>
      </c>
      <c r="K1405" s="614">
        <f t="shared" si="111"/>
        <v>1020427</v>
      </c>
      <c r="L1405" s="39" t="s">
        <v>165</v>
      </c>
      <c r="M1405" s="39" t="s">
        <v>159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894"/>
    </row>
    <row r="1406" spans="1:27" ht="15.75" customHeight="1">
      <c r="A1406" s="204" t="str">
        <f>IF(B1406&lt;&gt;"",IF(AND(B1406&gt;=_TM1,B1406&lt;=_TM2,OR(TH!L1406="1111",TH!M1406="1111")),TH!D1406,""),"")</f>
        <v/>
      </c>
      <c r="B1406" s="36">
        <f t="shared" si="107"/>
        <v>8</v>
      </c>
      <c r="C1406" s="37">
        <f t="shared" si="110"/>
        <v>40774</v>
      </c>
      <c r="D1406" s="37" t="s">
        <v>972</v>
      </c>
      <c r="E1406" s="37">
        <v>40774</v>
      </c>
      <c r="F1406" s="40" t="s">
        <v>1050</v>
      </c>
      <c r="G1406" s="40" t="s">
        <v>1188</v>
      </c>
      <c r="H1406" s="628" t="s">
        <v>733</v>
      </c>
      <c r="I1406" s="256">
        <v>279</v>
      </c>
      <c r="J1406" s="256">
        <v>8346.3987351534779</v>
      </c>
      <c r="K1406" s="614">
        <f t="shared" si="111"/>
        <v>2328645</v>
      </c>
      <c r="L1406" s="39" t="s">
        <v>165</v>
      </c>
      <c r="M1406" s="39" t="s">
        <v>159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894"/>
    </row>
    <row r="1407" spans="1:27" ht="15.75" customHeight="1">
      <c r="A1407" s="204" t="str">
        <f>IF(B1407&lt;&gt;"",IF(AND(B1407&gt;=_TM1,B1407&lt;=_TM2,OR(TH!L1407="1111",TH!M1407="1111")),TH!D1407,""),"")</f>
        <v/>
      </c>
      <c r="B1407" s="36">
        <f t="shared" si="107"/>
        <v>8</v>
      </c>
      <c r="C1407" s="37">
        <f t="shared" si="110"/>
        <v>40774</v>
      </c>
      <c r="D1407" s="37" t="s">
        <v>972</v>
      </c>
      <c r="E1407" s="37">
        <v>40774</v>
      </c>
      <c r="F1407" s="40" t="s">
        <v>1051</v>
      </c>
      <c r="G1407" s="40" t="s">
        <v>1188</v>
      </c>
      <c r="H1407" s="628" t="s">
        <v>733</v>
      </c>
      <c r="I1407" s="256">
        <v>41</v>
      </c>
      <c r="J1407" s="256">
        <v>10501.91093027543</v>
      </c>
      <c r="K1407" s="614">
        <f t="shared" si="111"/>
        <v>430578</v>
      </c>
      <c r="L1407" s="39" t="s">
        <v>165</v>
      </c>
      <c r="M1407" s="39" t="s">
        <v>159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894"/>
    </row>
    <row r="1408" spans="1:27" ht="15.75" customHeight="1">
      <c r="A1408" s="204" t="str">
        <f>IF(B1408&lt;&gt;"",IF(AND(B1408&gt;=_TM1,B1408&lt;=_TM2,OR(TH!L1408="1111",TH!M1408="1111")),TH!D1408,""),"")</f>
        <v/>
      </c>
      <c r="B1408" s="36">
        <f t="shared" si="107"/>
        <v>8</v>
      </c>
      <c r="C1408" s="37">
        <f t="shared" si="110"/>
        <v>40774</v>
      </c>
      <c r="D1408" s="37" t="s">
        <v>972</v>
      </c>
      <c r="E1408" s="37">
        <v>40774</v>
      </c>
      <c r="F1408" s="40" t="s">
        <v>1052</v>
      </c>
      <c r="G1408" s="40" t="s">
        <v>1188</v>
      </c>
      <c r="H1408" s="628" t="s">
        <v>733</v>
      </c>
      <c r="I1408" s="256">
        <v>151</v>
      </c>
      <c r="J1408" s="256">
        <v>10880.941781511094</v>
      </c>
      <c r="K1408" s="614">
        <f t="shared" si="111"/>
        <v>1643022</v>
      </c>
      <c r="L1408" s="39" t="s">
        <v>165</v>
      </c>
      <c r="M1408" s="39" t="s">
        <v>159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894"/>
    </row>
    <row r="1409" spans="1:28" ht="15.75" customHeight="1">
      <c r="A1409" s="204" t="str">
        <f>IF(B1409&lt;&gt;"",IF(AND(B1409&gt;=_TM1,B1409&lt;=_TM2,OR(TH!L1409="1111",TH!M1409="1111")),TH!D1409,""),"")</f>
        <v/>
      </c>
      <c r="B1409" s="36">
        <f t="shared" si="107"/>
        <v>8</v>
      </c>
      <c r="C1409" s="37">
        <f t="shared" si="110"/>
        <v>40774</v>
      </c>
      <c r="D1409" s="37" t="s">
        <v>972</v>
      </c>
      <c r="E1409" s="37">
        <v>40774</v>
      </c>
      <c r="F1409" s="40" t="s">
        <v>1053</v>
      </c>
      <c r="G1409" s="40" t="s">
        <v>1188</v>
      </c>
      <c r="H1409" s="628" t="s">
        <v>733</v>
      </c>
      <c r="I1409" s="256">
        <v>463</v>
      </c>
      <c r="J1409" s="256">
        <v>7955.6514349374957</v>
      </c>
      <c r="K1409" s="614">
        <f t="shared" si="111"/>
        <v>3683467</v>
      </c>
      <c r="L1409" s="39" t="s">
        <v>165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894"/>
    </row>
    <row r="1410" spans="1:28" ht="15.75" customHeight="1">
      <c r="A1410" s="204" t="str">
        <f>IF(B1410&lt;&gt;"",IF(AND(B1410&gt;=_TM1,B1410&lt;=_TM2,OR(TH!L1410="1111",TH!M1410="1111")),TH!D1410,""),"")</f>
        <v/>
      </c>
      <c r="B1410" s="36">
        <f t="shared" si="107"/>
        <v>8</v>
      </c>
      <c r="C1410" s="37">
        <f t="shared" si="110"/>
        <v>40774</v>
      </c>
      <c r="D1410" s="37" t="s">
        <v>972</v>
      </c>
      <c r="E1410" s="37">
        <v>40774</v>
      </c>
      <c r="F1410" s="40" t="s">
        <v>1054</v>
      </c>
      <c r="G1410" s="40" t="s">
        <v>1188</v>
      </c>
      <c r="H1410" s="628" t="s">
        <v>733</v>
      </c>
      <c r="I1410" s="256">
        <v>163</v>
      </c>
      <c r="J1410" s="256">
        <v>13015.711618589061</v>
      </c>
      <c r="K1410" s="614">
        <f t="shared" si="111"/>
        <v>2121561</v>
      </c>
      <c r="L1410" s="39" t="s">
        <v>165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894"/>
    </row>
    <row r="1411" spans="1:28" ht="15.75" customHeight="1">
      <c r="A1411" s="204" t="str">
        <f>IF(B1411&lt;&gt;"",IF(AND(B1411&gt;=_TM1,B1411&lt;=_TM2,OR(TH!L1411="1111",TH!M1411="1111")),TH!D1411,""),"")</f>
        <v/>
      </c>
      <c r="B1411" s="36">
        <f t="shared" si="107"/>
        <v>8</v>
      </c>
      <c r="C1411" s="37">
        <f t="shared" si="110"/>
        <v>40774</v>
      </c>
      <c r="D1411" s="37" t="s">
        <v>972</v>
      </c>
      <c r="E1411" s="37">
        <v>40774</v>
      </c>
      <c r="F1411" s="192" t="s">
        <v>756</v>
      </c>
      <c r="G1411" s="40" t="s">
        <v>1188</v>
      </c>
      <c r="H1411" s="628" t="s">
        <v>733</v>
      </c>
      <c r="I1411" s="256">
        <v>45</v>
      </c>
      <c r="J1411" s="256">
        <v>4446.9098462645898</v>
      </c>
      <c r="K1411" s="614">
        <f t="shared" si="111"/>
        <v>200111</v>
      </c>
      <c r="L1411" s="39" t="s">
        <v>165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894"/>
    </row>
    <row r="1412" spans="1:28" ht="15.75" customHeight="1">
      <c r="A1412" s="204" t="str">
        <f>IF(B1412&lt;&gt;"",IF(AND(B1412&gt;=_TM1,B1412&lt;=_TM2,OR(TH!L1412="1111",TH!M1412="1111")),TH!D1412,""),"")</f>
        <v/>
      </c>
      <c r="B1412" s="36">
        <f t="shared" si="107"/>
        <v>8</v>
      </c>
      <c r="C1412" s="191">
        <v>40775</v>
      </c>
      <c r="D1412" s="184" t="s">
        <v>659</v>
      </c>
      <c r="E1412" s="191">
        <v>40775</v>
      </c>
      <c r="F1412" s="192" t="s">
        <v>448</v>
      </c>
      <c r="G1412" s="498" t="s">
        <v>1154</v>
      </c>
      <c r="H1412" s="45" t="s">
        <v>451</v>
      </c>
      <c r="I1412" s="256"/>
      <c r="J1412" s="256"/>
      <c r="K1412" s="614">
        <v>569500</v>
      </c>
      <c r="L1412" s="194" t="s">
        <v>157</v>
      </c>
      <c r="M1412" s="194" t="s">
        <v>46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>x</v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894"/>
    </row>
    <row r="1413" spans="1:28" ht="15.75" customHeight="1">
      <c r="A1413" s="204" t="str">
        <f>IF(B1413&lt;&gt;"",IF(AND(B1413&gt;=_TM1,B1413&lt;=_TM2,OR(TH!L1413="1111",TH!M1413="1111")),TH!D1413,""),"")</f>
        <v/>
      </c>
      <c r="B1413" s="36">
        <f t="shared" si="107"/>
        <v>8</v>
      </c>
      <c r="C1413" s="191">
        <v>40775</v>
      </c>
      <c r="D1413" s="184" t="s">
        <v>659</v>
      </c>
      <c r="E1413" s="191">
        <v>40775</v>
      </c>
      <c r="F1413" s="192" t="s">
        <v>449</v>
      </c>
      <c r="G1413" s="498" t="s">
        <v>1154</v>
      </c>
      <c r="H1413" s="45" t="s">
        <v>451</v>
      </c>
      <c r="I1413" s="256"/>
      <c r="J1413" s="256"/>
      <c r="K1413" s="38">
        <v>56950</v>
      </c>
      <c r="L1413" s="194" t="s">
        <v>9</v>
      </c>
      <c r="M1413" s="194" t="s">
        <v>46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>x</v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894"/>
      <c r="AB1413" s="198">
        <v>8</v>
      </c>
    </row>
    <row r="1414" spans="1:28" ht="15.75" customHeight="1">
      <c r="A1414" s="204" t="str">
        <f>IF(B1414&lt;&gt;"",IF(AND(B1414&gt;=_TM1,B1414&lt;=_TM2,OR(TH!L1414="1111",TH!M1414="1111")),TH!D1414,""),"")</f>
        <v/>
      </c>
      <c r="B1414" s="36">
        <f t="shared" si="107"/>
        <v>8</v>
      </c>
      <c r="C1414" s="191">
        <v>40775</v>
      </c>
      <c r="D1414" s="184" t="s">
        <v>661</v>
      </c>
      <c r="E1414" s="191">
        <v>40775</v>
      </c>
      <c r="F1414" s="192" t="s">
        <v>468</v>
      </c>
      <c r="G1414" s="495" t="s">
        <v>1155</v>
      </c>
      <c r="H1414" s="45" t="s">
        <v>472</v>
      </c>
      <c r="I1414" s="258"/>
      <c r="J1414" s="256"/>
      <c r="K1414" s="38">
        <v>752211</v>
      </c>
      <c r="L1414" s="194" t="s">
        <v>75</v>
      </c>
      <c r="M1414" s="615" t="s">
        <v>46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>x</v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>x</v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894"/>
    </row>
    <row r="1415" spans="1:28" ht="15.75" customHeight="1">
      <c r="A1415" s="204" t="str">
        <f>IF(B1415&lt;&gt;"",IF(AND(B1415&gt;=_TM1,B1415&lt;=_TM2,OR(TH!L1415="1111",TH!M1415="1111")),TH!D1415,""),"")</f>
        <v/>
      </c>
      <c r="B1415" s="36">
        <f t="shared" si="107"/>
        <v>8</v>
      </c>
      <c r="C1415" s="191">
        <v>40775</v>
      </c>
      <c r="D1415" s="184" t="s">
        <v>661</v>
      </c>
      <c r="E1415" s="191">
        <v>40775</v>
      </c>
      <c r="F1415" s="192" t="s">
        <v>471</v>
      </c>
      <c r="G1415" s="495" t="s">
        <v>1155</v>
      </c>
      <c r="H1415" s="45" t="s">
        <v>472</v>
      </c>
      <c r="I1415" s="258"/>
      <c r="J1415" s="256"/>
      <c r="K1415" s="38">
        <v>75221</v>
      </c>
      <c r="L1415" s="194" t="s">
        <v>9</v>
      </c>
      <c r="M1415" s="615" t="s">
        <v>46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>x</v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894"/>
      <c r="AB1415" s="198">
        <v>8</v>
      </c>
    </row>
    <row r="1416" spans="1:28" ht="15.75" customHeight="1">
      <c r="A1416" s="204" t="str">
        <f>IF(B1416&lt;&gt;"",IF(AND(B1416&gt;=_TM1,B1416&lt;=_TM2,OR(TH!L1416="1111",TH!M1416="1111")),TH!D1416,""),"")</f>
        <v/>
      </c>
      <c r="B1416" s="36">
        <f t="shared" si="107"/>
        <v>8</v>
      </c>
      <c r="C1416" s="37">
        <f t="shared" ref="C1416:C1422" si="112">E1416</f>
        <v>40775</v>
      </c>
      <c r="D1416" s="37" t="s">
        <v>1107</v>
      </c>
      <c r="E1416" s="794">
        <v>40775</v>
      </c>
      <c r="F1416" s="40" t="s">
        <v>597</v>
      </c>
      <c r="G1416" s="40"/>
      <c r="H1416" s="628" t="s">
        <v>1092</v>
      </c>
      <c r="I1416" s="256">
        <v>64</v>
      </c>
      <c r="J1416" s="256">
        <v>25942</v>
      </c>
      <c r="K1416" s="614">
        <f t="shared" ref="K1416:K1422" si="113">ROUND(I1416*J1416,0)</f>
        <v>1660288</v>
      </c>
      <c r="L1416" s="39" t="s">
        <v>157</v>
      </c>
      <c r="M1416" s="39" t="s">
        <v>151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894"/>
    </row>
    <row r="1417" spans="1:28" ht="15.75" customHeight="1">
      <c r="A1417" s="204" t="str">
        <f>IF(B1417&lt;&gt;"",IF(AND(B1417&gt;=_TM1,B1417&lt;=_TM2,OR(TH!L1417="1111",TH!M1417="1111")),TH!D1417,""),"")</f>
        <v/>
      </c>
      <c r="B1417" s="36">
        <f t="shared" si="107"/>
        <v>8</v>
      </c>
      <c r="C1417" s="37">
        <f t="shared" si="112"/>
        <v>40775</v>
      </c>
      <c r="D1417" s="37" t="s">
        <v>1107</v>
      </c>
      <c r="E1417" s="794">
        <v>40775</v>
      </c>
      <c r="F1417" s="189" t="s">
        <v>568</v>
      </c>
      <c r="G1417" s="40"/>
      <c r="H1417" s="628" t="s">
        <v>1092</v>
      </c>
      <c r="I1417" s="256">
        <v>83</v>
      </c>
      <c r="J1417" s="256">
        <v>24030</v>
      </c>
      <c r="K1417" s="614">
        <f t="shared" si="113"/>
        <v>1994490</v>
      </c>
      <c r="L1417" s="39" t="s">
        <v>157</v>
      </c>
      <c r="M1417" s="39" t="s">
        <v>151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894"/>
    </row>
    <row r="1418" spans="1:28" ht="15.75" customHeight="1">
      <c r="A1418" s="204" t="str">
        <f>IF(B1418&lt;&gt;"",IF(AND(B1418&gt;=_TM1,B1418&lt;=_TM2,OR(TH!L1418="1111",TH!M1418="1111")),TH!D1418,""),"")</f>
        <v/>
      </c>
      <c r="B1418" s="36">
        <f t="shared" si="107"/>
        <v>8</v>
      </c>
      <c r="C1418" s="37">
        <f t="shared" si="112"/>
        <v>40775</v>
      </c>
      <c r="D1418" s="37" t="s">
        <v>1107</v>
      </c>
      <c r="E1418" s="794">
        <v>40775</v>
      </c>
      <c r="F1418" s="189" t="s">
        <v>519</v>
      </c>
      <c r="G1418" s="40"/>
      <c r="H1418" s="628" t="s">
        <v>1092</v>
      </c>
      <c r="I1418" s="256">
        <v>9</v>
      </c>
      <c r="J1418" s="256">
        <v>10603</v>
      </c>
      <c r="K1418" s="614">
        <f t="shared" si="113"/>
        <v>95427</v>
      </c>
      <c r="L1418" s="39" t="s">
        <v>157</v>
      </c>
      <c r="M1418" s="39" t="s">
        <v>151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894"/>
    </row>
    <row r="1419" spans="1:28" ht="15.75" customHeight="1">
      <c r="A1419" s="204" t="str">
        <f>IF(B1419&lt;&gt;"",IF(AND(B1419&gt;=_TM1,B1419&lt;=_TM2,OR(TH!L1419="1111",TH!M1419="1111")),TH!D1419,""),"")</f>
        <v/>
      </c>
      <c r="B1419" s="36">
        <f t="shared" si="107"/>
        <v>8</v>
      </c>
      <c r="C1419" s="37">
        <f t="shared" si="112"/>
        <v>40775</v>
      </c>
      <c r="D1419" s="37" t="s">
        <v>1107</v>
      </c>
      <c r="E1419" s="794">
        <v>40775</v>
      </c>
      <c r="F1419" s="189" t="s">
        <v>519</v>
      </c>
      <c r="G1419" s="40"/>
      <c r="H1419" s="628" t="s">
        <v>1092</v>
      </c>
      <c r="I1419" s="256">
        <v>120</v>
      </c>
      <c r="J1419" s="256">
        <v>10603</v>
      </c>
      <c r="K1419" s="614">
        <f t="shared" si="113"/>
        <v>1272360</v>
      </c>
      <c r="L1419" s="39" t="s">
        <v>157</v>
      </c>
      <c r="M1419" s="39" t="s">
        <v>151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894"/>
    </row>
    <row r="1420" spans="1:28" ht="15.75" customHeight="1">
      <c r="A1420" s="204" t="str">
        <f>IF(B1420&lt;&gt;"",IF(AND(B1420&gt;=_TM1,B1420&lt;=_TM2,OR(TH!L1420="1111",TH!M1420="1111")),TH!D1420,""),"")</f>
        <v/>
      </c>
      <c r="B1420" s="36">
        <f t="shared" si="107"/>
        <v>8</v>
      </c>
      <c r="C1420" s="37">
        <f t="shared" si="112"/>
        <v>40775</v>
      </c>
      <c r="D1420" s="37" t="s">
        <v>1107</v>
      </c>
      <c r="E1420" s="794">
        <v>40775</v>
      </c>
      <c r="F1420" s="189" t="s">
        <v>387</v>
      </c>
      <c r="G1420" s="40"/>
      <c r="H1420" s="628" t="s">
        <v>1092</v>
      </c>
      <c r="I1420" s="839">
        <v>86</v>
      </c>
      <c r="J1420" s="256">
        <v>4449</v>
      </c>
      <c r="K1420" s="614">
        <f t="shared" si="113"/>
        <v>382614</v>
      </c>
      <c r="L1420" s="39" t="s">
        <v>157</v>
      </c>
      <c r="M1420" s="39" t="s">
        <v>151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>x</v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894"/>
    </row>
    <row r="1421" spans="1:28" ht="15.75" customHeight="1">
      <c r="A1421" s="204" t="str">
        <f>IF(B1421&lt;&gt;"",IF(AND(B1421&gt;=_TM1,B1421&lt;=_TM2,OR(TH!L1421="1111",TH!M1421="1111")),TH!D1421,""),"")</f>
        <v/>
      </c>
      <c r="B1421" s="36">
        <f t="shared" si="107"/>
        <v>8</v>
      </c>
      <c r="C1421" s="37">
        <f t="shared" si="112"/>
        <v>40775</v>
      </c>
      <c r="D1421" s="37" t="s">
        <v>1107</v>
      </c>
      <c r="E1421" s="794">
        <v>40775</v>
      </c>
      <c r="F1421" s="298" t="s">
        <v>478</v>
      </c>
      <c r="G1421" s="40"/>
      <c r="H1421" s="628" t="s">
        <v>1092</v>
      </c>
      <c r="I1421" s="256">
        <v>24</v>
      </c>
      <c r="J1421" s="256">
        <v>4592</v>
      </c>
      <c r="K1421" s="614">
        <f t="shared" si="113"/>
        <v>110208</v>
      </c>
      <c r="L1421" s="39" t="s">
        <v>157</v>
      </c>
      <c r="M1421" s="39" t="s">
        <v>151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894"/>
    </row>
    <row r="1422" spans="1:28" ht="15.75" customHeight="1">
      <c r="A1422" s="204" t="str">
        <f>IF(B1422&lt;&gt;"",IF(AND(B1422&gt;=_TM1,B1422&lt;=_TM2,OR(TH!L1422="1111",TH!M1422="1111")),TH!D1422,""),"")</f>
        <v/>
      </c>
      <c r="B1422" s="36">
        <f t="shared" si="107"/>
        <v>8</v>
      </c>
      <c r="C1422" s="37">
        <f t="shared" si="112"/>
        <v>40775</v>
      </c>
      <c r="D1422" s="37" t="s">
        <v>1107</v>
      </c>
      <c r="E1422" s="794">
        <v>40775</v>
      </c>
      <c r="F1422" s="298" t="s">
        <v>478</v>
      </c>
      <c r="G1422" s="40"/>
      <c r="H1422" s="628" t="s">
        <v>1092</v>
      </c>
      <c r="I1422" s="256">
        <v>9</v>
      </c>
      <c r="J1422" s="256">
        <v>4592</v>
      </c>
      <c r="K1422" s="614">
        <f t="shared" si="113"/>
        <v>41328</v>
      </c>
      <c r="L1422" s="39" t="s">
        <v>157</v>
      </c>
      <c r="M1422" s="39" t="s">
        <v>151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894"/>
    </row>
    <row r="1423" spans="1:28" ht="15.75" customHeight="1">
      <c r="A1423" s="204" t="str">
        <f>IF(B1423&lt;&gt;"",IF(AND(B1423&gt;=_TM1,B1423&lt;=_TM2,OR(TH!L1423="1111",TH!M1423="1111")),TH!D1423,""),"")</f>
        <v/>
      </c>
      <c r="B1423" s="36">
        <f t="shared" si="107"/>
        <v>8</v>
      </c>
      <c r="C1423" s="184">
        <v>40780</v>
      </c>
      <c r="D1423" s="184" t="s">
        <v>333</v>
      </c>
      <c r="E1423" s="184">
        <v>40780</v>
      </c>
      <c r="F1423" s="189" t="s">
        <v>364</v>
      </c>
      <c r="G1423" s="616" t="s">
        <v>330</v>
      </c>
      <c r="H1423" s="7"/>
      <c r="I1423" s="256"/>
      <c r="J1423" s="256"/>
      <c r="K1423" s="614">
        <v>49637</v>
      </c>
      <c r="L1423" s="615" t="s">
        <v>23</v>
      </c>
      <c r="M1423" s="615" t="s">
        <v>39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894"/>
    </row>
    <row r="1424" spans="1:28" ht="15.75" customHeight="1">
      <c r="A1424" s="204" t="str">
        <f>IF(B1424&lt;&gt;"",IF(AND(B1424&gt;=_TM1,B1424&lt;=_TM2,OR(TH!L1424="1111",TH!M1424="1111")),TH!D1424,""),"")</f>
        <v/>
      </c>
      <c r="B1424" s="36">
        <f t="shared" si="107"/>
        <v>8</v>
      </c>
      <c r="C1424" s="191">
        <v>40780</v>
      </c>
      <c r="D1424" s="191" t="s">
        <v>814</v>
      </c>
      <c r="E1424" s="191">
        <v>40780</v>
      </c>
      <c r="F1424" s="192" t="s">
        <v>335</v>
      </c>
      <c r="G1424" s="498" t="s">
        <v>1189</v>
      </c>
      <c r="H1424" s="193" t="s">
        <v>760</v>
      </c>
      <c r="I1424" s="256"/>
      <c r="J1424" s="256"/>
      <c r="K1424" s="614">
        <v>9791100</v>
      </c>
      <c r="L1424" s="194" t="s">
        <v>46</v>
      </c>
      <c r="M1424" s="194" t="s">
        <v>259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>x</v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894"/>
    </row>
    <row r="1425" spans="1:27" ht="15.75" customHeight="1">
      <c r="A1425" s="204" t="str">
        <f>IF(B1425&lt;&gt;"",IF(AND(B1425&gt;=_TM1,B1425&lt;=_TM2,OR(TH!L1425="1111",TH!M1425="1111")),TH!D1425,""),"")</f>
        <v/>
      </c>
      <c r="B1425" s="36">
        <f t="shared" si="107"/>
        <v>8</v>
      </c>
      <c r="C1425" s="191">
        <v>40780</v>
      </c>
      <c r="D1425" s="191" t="s">
        <v>973</v>
      </c>
      <c r="E1425" s="191">
        <v>40780</v>
      </c>
      <c r="F1425" s="192" t="s">
        <v>1018</v>
      </c>
      <c r="G1425" s="498" t="s">
        <v>1189</v>
      </c>
      <c r="H1425" s="193" t="s">
        <v>760</v>
      </c>
      <c r="I1425" s="256">
        <v>989</v>
      </c>
      <c r="J1425" s="256">
        <v>9000</v>
      </c>
      <c r="K1425" s="614">
        <v>8901000</v>
      </c>
      <c r="L1425" s="194" t="s">
        <v>259</v>
      </c>
      <c r="M1425" s="194" t="s">
        <v>167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894"/>
    </row>
    <row r="1426" spans="1:27" ht="15.75" customHeight="1">
      <c r="A1426" s="204" t="str">
        <f>IF(B1426&lt;&gt;"",IF(AND(B1426&gt;=_TM1,B1426&lt;=_TM2,OR(TH!L1426="1111",TH!M1426="1111")),TH!D1426,""),"")</f>
        <v/>
      </c>
      <c r="B1426" s="36">
        <f t="shared" si="107"/>
        <v>8</v>
      </c>
      <c r="C1426" s="191">
        <v>40780</v>
      </c>
      <c r="D1426" s="191" t="s">
        <v>973</v>
      </c>
      <c r="E1426" s="191">
        <v>40780</v>
      </c>
      <c r="F1426" s="192" t="s">
        <v>1176</v>
      </c>
      <c r="G1426" s="498" t="s">
        <v>1189</v>
      </c>
      <c r="H1426" s="193" t="s">
        <v>760</v>
      </c>
      <c r="I1426" s="258"/>
      <c r="J1426" s="258"/>
      <c r="K1426" s="614">
        <v>890100</v>
      </c>
      <c r="L1426" s="194" t="s">
        <v>259</v>
      </c>
      <c r="M1426" s="194" t="s">
        <v>731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894"/>
    </row>
    <row r="1427" spans="1:27" ht="15.75" customHeight="1">
      <c r="A1427" s="204" t="str">
        <f>IF(B1427&lt;&gt;"",IF(AND(B1427&gt;=_TM1,B1427&lt;=_TM2,OR(TH!L1427="1111",TH!M1427="1111")),TH!D1427,""),"")</f>
        <v/>
      </c>
      <c r="B1427" s="36">
        <f t="shared" si="107"/>
        <v>8</v>
      </c>
      <c r="C1427" s="37">
        <f>E1427</f>
        <v>40780</v>
      </c>
      <c r="D1427" s="37" t="s">
        <v>1125</v>
      </c>
      <c r="E1427" s="37">
        <v>40780</v>
      </c>
      <c r="F1427" s="40" t="s">
        <v>1018</v>
      </c>
      <c r="G1427" s="40"/>
      <c r="H1427" s="628" t="s">
        <v>1092</v>
      </c>
      <c r="I1427" s="256">
        <v>989</v>
      </c>
      <c r="J1427" s="256">
        <v>8346.3987351534779</v>
      </c>
      <c r="K1427" s="614">
        <f>ROUND(I1427*J1427,0)</f>
        <v>8254588</v>
      </c>
      <c r="L1427" s="39" t="s">
        <v>159</v>
      </c>
      <c r="M1427" s="39" t="s">
        <v>157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894"/>
    </row>
    <row r="1428" spans="1:27" ht="15.75" customHeight="1">
      <c r="A1428" s="204" t="str">
        <f>IF(B1428&lt;&gt;"",IF(AND(B1428&gt;=_TM1,B1428&lt;=_TM2,OR(TH!L1428="1111",TH!M1428="1111")),TH!D1428,""),"")</f>
        <v/>
      </c>
      <c r="B1428" s="36">
        <f t="shared" si="107"/>
        <v>8</v>
      </c>
      <c r="C1428" s="37">
        <f>E1428</f>
        <v>40780</v>
      </c>
      <c r="D1428" s="37" t="s">
        <v>973</v>
      </c>
      <c r="E1428" s="37">
        <v>40780</v>
      </c>
      <c r="F1428" s="40" t="s">
        <v>1018</v>
      </c>
      <c r="G1428" s="40" t="s">
        <v>1189</v>
      </c>
      <c r="H1428" s="628" t="s">
        <v>760</v>
      </c>
      <c r="I1428" s="256">
        <v>989</v>
      </c>
      <c r="J1428" s="256">
        <v>8346.3987351534779</v>
      </c>
      <c r="K1428" s="614">
        <f>ROUND(I1428*J1428,0)</f>
        <v>8254588</v>
      </c>
      <c r="L1428" s="39" t="s">
        <v>165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894"/>
    </row>
    <row r="1429" spans="1:27" ht="15.75" customHeight="1">
      <c r="A1429" s="204" t="str">
        <f>IF(B1429&lt;&gt;"",IF(AND(B1429&gt;=_TM1,B1429&lt;=_TM2,OR(TH!L1429="1111",TH!M1429="1111")),TH!D1429,""),"")</f>
        <v/>
      </c>
      <c r="B1429" s="36">
        <f t="shared" si="107"/>
        <v>8</v>
      </c>
      <c r="C1429" s="191">
        <v>40781</v>
      </c>
      <c r="D1429" s="191" t="s">
        <v>974</v>
      </c>
      <c r="E1429" s="191">
        <v>40781</v>
      </c>
      <c r="F1429" s="192" t="s">
        <v>1055</v>
      </c>
      <c r="G1429" s="498" t="s">
        <v>1190</v>
      </c>
      <c r="H1429" s="7" t="s">
        <v>733</v>
      </c>
      <c r="I1429" s="256">
        <v>194</v>
      </c>
      <c r="J1429" s="256">
        <v>9793</v>
      </c>
      <c r="K1429" s="614">
        <v>1899842</v>
      </c>
      <c r="L1429" s="194" t="s">
        <v>259</v>
      </c>
      <c r="M1429" s="194" t="s">
        <v>167</v>
      </c>
      <c r="N1429" s="52" t="str">
        <f>IF(AND('331-CT'!$E$7=TH!H1429,OR(L1429="331",M1429="331")),"331",IF(AND(OR(L1429="131",M1429="131"),H1429='131-CT'!$E$7),"131",""))</f>
        <v>131</v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894"/>
    </row>
    <row r="1430" spans="1:27" ht="15.75" customHeight="1">
      <c r="A1430" s="204" t="str">
        <f>IF(B1430&lt;&gt;"",IF(AND(B1430&gt;=_TM1,B1430&lt;=_TM2,OR(TH!L1430="1111",TH!M1430="1111")),TH!D1430,""),"")</f>
        <v/>
      </c>
      <c r="B1430" s="36">
        <f t="shared" si="107"/>
        <v>8</v>
      </c>
      <c r="C1430" s="191">
        <v>40781</v>
      </c>
      <c r="D1430" s="191" t="s">
        <v>974</v>
      </c>
      <c r="E1430" s="191">
        <v>40781</v>
      </c>
      <c r="F1430" s="192" t="s">
        <v>1056</v>
      </c>
      <c r="G1430" s="498" t="s">
        <v>1190</v>
      </c>
      <c r="H1430" s="7" t="s">
        <v>733</v>
      </c>
      <c r="I1430" s="256">
        <v>106</v>
      </c>
      <c r="J1430" s="256">
        <v>8874</v>
      </c>
      <c r="K1430" s="614">
        <v>940644</v>
      </c>
      <c r="L1430" s="194" t="s">
        <v>259</v>
      </c>
      <c r="M1430" s="194" t="s">
        <v>167</v>
      </c>
      <c r="N1430" s="52" t="str">
        <f>IF(AND('331-CT'!$E$7=TH!H1430,OR(L1430="331",M1430="331")),"331",IF(AND(OR(L1430="131",M1430="131"),H1430='131-CT'!$E$7),"131",""))</f>
        <v>131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894"/>
    </row>
    <row r="1431" spans="1:27" ht="15.75" customHeight="1">
      <c r="A1431" s="204" t="str">
        <f>IF(B1431&lt;&gt;"",IF(AND(B1431&gt;=_TM1,B1431&lt;=_TM2,OR(TH!L1431="1111",TH!M1431="1111")),TH!D1431,""),"")</f>
        <v/>
      </c>
      <c r="B1431" s="36">
        <f t="shared" si="107"/>
        <v>8</v>
      </c>
      <c r="C1431" s="191">
        <v>40781</v>
      </c>
      <c r="D1431" s="191" t="s">
        <v>974</v>
      </c>
      <c r="E1431" s="191">
        <v>40781</v>
      </c>
      <c r="F1431" s="192" t="s">
        <v>1057</v>
      </c>
      <c r="G1431" s="498" t="s">
        <v>1190</v>
      </c>
      <c r="H1431" s="7" t="s">
        <v>733</v>
      </c>
      <c r="I1431" s="256">
        <v>150</v>
      </c>
      <c r="J1431" s="256">
        <v>4422</v>
      </c>
      <c r="K1431" s="614">
        <v>663300</v>
      </c>
      <c r="L1431" s="194" t="s">
        <v>259</v>
      </c>
      <c r="M1431" s="194" t="s">
        <v>167</v>
      </c>
      <c r="N1431" s="52" t="str">
        <f>IF(AND('331-CT'!$E$7=TH!H1431,OR(L1431="331",M1431="331")),"331",IF(AND(OR(L1431="131",M1431="131"),H1431='131-CT'!$E$7),"131",""))</f>
        <v>131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894"/>
    </row>
    <row r="1432" spans="1:27" ht="15.75" customHeight="1">
      <c r="A1432" s="204" t="str">
        <f>IF(B1432&lt;&gt;"",IF(AND(B1432&gt;=_TM1,B1432&lt;=_TM2,OR(TH!L1432="1111",TH!M1432="1111")),TH!D1432,""),"")</f>
        <v/>
      </c>
      <c r="B1432" s="36">
        <f t="shared" si="107"/>
        <v>8</v>
      </c>
      <c r="C1432" s="191">
        <v>40781</v>
      </c>
      <c r="D1432" s="191" t="s">
        <v>974</v>
      </c>
      <c r="E1432" s="191">
        <v>40781</v>
      </c>
      <c r="F1432" s="192" t="s">
        <v>1058</v>
      </c>
      <c r="G1432" s="498" t="s">
        <v>1190</v>
      </c>
      <c r="H1432" s="7" t="s">
        <v>733</v>
      </c>
      <c r="I1432" s="256">
        <v>1</v>
      </c>
      <c r="J1432" s="256">
        <v>5734</v>
      </c>
      <c r="K1432" s="614">
        <v>5734</v>
      </c>
      <c r="L1432" s="194" t="s">
        <v>259</v>
      </c>
      <c r="M1432" s="194" t="s">
        <v>167</v>
      </c>
      <c r="N1432" s="52" t="str">
        <f>IF(AND('331-CT'!$E$7=TH!H1432,OR(L1432="331",M1432="331")),"331",IF(AND(OR(L1432="131",M1432="131"),H1432='131-CT'!$E$7),"131",""))</f>
        <v>131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894"/>
    </row>
    <row r="1433" spans="1:27" ht="15.75" customHeight="1">
      <c r="A1433" s="204" t="str">
        <f>IF(B1433&lt;&gt;"",IF(AND(B1433&gt;=_TM1,B1433&lt;=_TM2,OR(TH!L1433="1111",TH!M1433="1111")),TH!D1433,""),"")</f>
        <v/>
      </c>
      <c r="B1433" s="36">
        <f t="shared" ref="B1433:B1496" si="114">IF(C1433&lt;&gt;"",MONTH(C1433),"")</f>
        <v>8</v>
      </c>
      <c r="C1433" s="191">
        <v>40781</v>
      </c>
      <c r="D1433" s="191" t="s">
        <v>974</v>
      </c>
      <c r="E1433" s="191">
        <v>40781</v>
      </c>
      <c r="F1433" s="192" t="s">
        <v>1059</v>
      </c>
      <c r="G1433" s="498" t="s">
        <v>1190</v>
      </c>
      <c r="H1433" s="7" t="s">
        <v>733</v>
      </c>
      <c r="I1433" s="256">
        <v>133</v>
      </c>
      <c r="J1433" s="256">
        <v>8398</v>
      </c>
      <c r="K1433" s="614">
        <v>1116934</v>
      </c>
      <c r="L1433" s="194" t="s">
        <v>259</v>
      </c>
      <c r="M1433" s="194" t="s">
        <v>167</v>
      </c>
      <c r="N1433" s="52" t="str">
        <f>IF(AND('331-CT'!$E$7=TH!H1433,OR(L1433="331",M1433="331")),"331",IF(AND(OR(L1433="131",M1433="131"),H1433='131-CT'!$E$7),"131",""))</f>
        <v>131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894"/>
    </row>
    <row r="1434" spans="1:27" ht="15.75" customHeight="1">
      <c r="A1434" s="204" t="str">
        <f>IF(B1434&lt;&gt;"",IF(AND(B1434&gt;=_TM1,B1434&lt;=_TM2,OR(TH!L1434="1111",TH!M1434="1111")),TH!D1434,""),"")</f>
        <v/>
      </c>
      <c r="B1434" s="36">
        <f t="shared" si="114"/>
        <v>8</v>
      </c>
      <c r="C1434" s="191">
        <v>40781</v>
      </c>
      <c r="D1434" s="191" t="s">
        <v>974</v>
      </c>
      <c r="E1434" s="191">
        <v>40781</v>
      </c>
      <c r="F1434" s="192" t="s">
        <v>1060</v>
      </c>
      <c r="G1434" s="498" t="s">
        <v>1190</v>
      </c>
      <c r="H1434" s="7" t="s">
        <v>733</v>
      </c>
      <c r="I1434" s="256">
        <v>141</v>
      </c>
      <c r="J1434" s="256">
        <v>9538</v>
      </c>
      <c r="K1434" s="614">
        <v>1344858</v>
      </c>
      <c r="L1434" s="194" t="s">
        <v>259</v>
      </c>
      <c r="M1434" s="194" t="s">
        <v>167</v>
      </c>
      <c r="N1434" s="52" t="str">
        <f>IF(AND('331-CT'!$E$7=TH!H1434,OR(L1434="331",M1434="331")),"331",IF(AND(OR(L1434="131",M1434="131"),H1434='131-CT'!$E$7),"131",""))</f>
        <v>131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894"/>
    </row>
    <row r="1435" spans="1:27" ht="15.75" customHeight="1">
      <c r="A1435" s="204" t="str">
        <f>IF(B1435&lt;&gt;"",IF(AND(B1435&gt;=_TM1,B1435&lt;=_TM2,OR(TH!L1435="1111",TH!M1435="1111")),TH!D1435,""),"")</f>
        <v/>
      </c>
      <c r="B1435" s="36">
        <f t="shared" si="114"/>
        <v>8</v>
      </c>
      <c r="C1435" s="191">
        <v>40781</v>
      </c>
      <c r="D1435" s="191" t="s">
        <v>974</v>
      </c>
      <c r="E1435" s="191">
        <v>40781</v>
      </c>
      <c r="F1435" s="192" t="s">
        <v>1061</v>
      </c>
      <c r="G1435" s="498" t="s">
        <v>1190</v>
      </c>
      <c r="H1435" s="7" t="s">
        <v>733</v>
      </c>
      <c r="I1435" s="256">
        <v>292</v>
      </c>
      <c r="J1435" s="256">
        <v>10534</v>
      </c>
      <c r="K1435" s="614">
        <v>3075928</v>
      </c>
      <c r="L1435" s="194" t="s">
        <v>259</v>
      </c>
      <c r="M1435" s="194" t="s">
        <v>167</v>
      </c>
      <c r="N1435" s="52" t="str">
        <f>IF(AND('331-CT'!$E$7=TH!H1435,OR(L1435="331",M1435="331")),"331",IF(AND(OR(L1435="131",M1435="131"),H1435='131-CT'!$E$7),"131",""))</f>
        <v>131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894"/>
    </row>
    <row r="1436" spans="1:27" ht="15.75" customHeight="1">
      <c r="A1436" s="204" t="str">
        <f>IF(B1436&lt;&gt;"",IF(AND(B1436&gt;=_TM1,B1436&lt;=_TM2,OR(TH!L1436="1111",TH!M1436="1111")),TH!D1436,""),"")</f>
        <v/>
      </c>
      <c r="B1436" s="36">
        <f t="shared" si="114"/>
        <v>8</v>
      </c>
      <c r="C1436" s="191">
        <v>40781</v>
      </c>
      <c r="D1436" s="191" t="s">
        <v>974</v>
      </c>
      <c r="E1436" s="191">
        <v>40781</v>
      </c>
      <c r="F1436" s="192" t="s">
        <v>848</v>
      </c>
      <c r="G1436" s="498" t="s">
        <v>1190</v>
      </c>
      <c r="H1436" s="7" t="s">
        <v>733</v>
      </c>
      <c r="I1436" s="256"/>
      <c r="J1436" s="256"/>
      <c r="K1436" s="38">
        <v>904724</v>
      </c>
      <c r="L1436" s="194" t="s">
        <v>259</v>
      </c>
      <c r="M1436" s="194" t="s">
        <v>731</v>
      </c>
      <c r="N1436" s="52" t="str">
        <f>IF(AND('331-CT'!$E$7=TH!H1436,OR(L1436="331",M1436="331")),"331",IF(AND(OR(L1436="131",M1436="131"),H1436='131-CT'!$E$7),"131",""))</f>
        <v>131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894"/>
    </row>
    <row r="1437" spans="1:27" ht="15.75" customHeight="1">
      <c r="A1437" s="204" t="str">
        <f>IF(B1437&lt;&gt;"",IF(AND(B1437&gt;=_TM1,B1437&lt;=_TM2,OR(TH!L1437="1111",TH!M1437="1111")),TH!D1437,""),"")</f>
        <v/>
      </c>
      <c r="B1437" s="36">
        <f t="shared" si="114"/>
        <v>8</v>
      </c>
      <c r="C1437" s="191">
        <v>40781</v>
      </c>
      <c r="D1437" s="191" t="s">
        <v>975</v>
      </c>
      <c r="E1437" s="191">
        <v>40781</v>
      </c>
      <c r="F1437" s="192" t="s">
        <v>1062</v>
      </c>
      <c r="G1437" s="498" t="s">
        <v>1191</v>
      </c>
      <c r="H1437" s="7" t="s">
        <v>733</v>
      </c>
      <c r="I1437" s="256">
        <v>1</v>
      </c>
      <c r="J1437" s="256">
        <v>11261</v>
      </c>
      <c r="K1437" s="614">
        <v>11261</v>
      </c>
      <c r="L1437" s="194" t="s">
        <v>259</v>
      </c>
      <c r="M1437" s="194" t="s">
        <v>167</v>
      </c>
      <c r="N1437" s="52" t="str">
        <f>IF(AND('331-CT'!$E$7=TH!H1437,OR(L1437="331",M1437="331")),"331",IF(AND(OR(L1437="131",M1437="131"),H1437='131-CT'!$E$7),"131",""))</f>
        <v>131</v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894"/>
    </row>
    <row r="1438" spans="1:27" ht="15.75" customHeight="1">
      <c r="A1438" s="204" t="str">
        <f>IF(B1438&lt;&gt;"",IF(AND(B1438&gt;=_TM1,B1438&lt;=_TM2,OR(TH!L1438="1111",TH!M1438="1111")),TH!D1438,""),"")</f>
        <v/>
      </c>
      <c r="B1438" s="36">
        <f t="shared" si="114"/>
        <v>8</v>
      </c>
      <c r="C1438" s="191">
        <v>40781</v>
      </c>
      <c r="D1438" s="191" t="s">
        <v>975</v>
      </c>
      <c r="E1438" s="191">
        <v>40781</v>
      </c>
      <c r="F1438" s="192" t="s">
        <v>1063</v>
      </c>
      <c r="G1438" s="498" t="s">
        <v>1191</v>
      </c>
      <c r="H1438" s="7" t="s">
        <v>733</v>
      </c>
      <c r="I1438" s="256">
        <v>1</v>
      </c>
      <c r="J1438" s="256">
        <v>10033</v>
      </c>
      <c r="K1438" s="614">
        <v>10033</v>
      </c>
      <c r="L1438" s="194" t="s">
        <v>259</v>
      </c>
      <c r="M1438" s="194" t="s">
        <v>167</v>
      </c>
      <c r="N1438" s="52" t="str">
        <f>IF(AND('331-CT'!$E$7=TH!H1438,OR(L1438="331",M1438="331")),"331",IF(AND(OR(L1438="131",M1438="131"),H1438='131-CT'!$E$7),"131",""))</f>
        <v>131</v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894"/>
    </row>
    <row r="1439" spans="1:27" ht="15.75" customHeight="1">
      <c r="A1439" s="204" t="str">
        <f>IF(B1439&lt;&gt;"",IF(AND(B1439&gt;=_TM1,B1439&lt;=_TM2,OR(TH!L1439="1111",TH!M1439="1111")),TH!D1439,""),"")</f>
        <v/>
      </c>
      <c r="B1439" s="36">
        <f t="shared" si="114"/>
        <v>8</v>
      </c>
      <c r="C1439" s="191">
        <v>40781</v>
      </c>
      <c r="D1439" s="191" t="s">
        <v>975</v>
      </c>
      <c r="E1439" s="191">
        <v>40781</v>
      </c>
      <c r="F1439" s="192" t="s">
        <v>1064</v>
      </c>
      <c r="G1439" s="498" t="s">
        <v>1191</v>
      </c>
      <c r="H1439" s="7" t="s">
        <v>733</v>
      </c>
      <c r="I1439" s="258">
        <v>1</v>
      </c>
      <c r="J1439" s="258">
        <v>12495</v>
      </c>
      <c r="K1439" s="614">
        <v>12495</v>
      </c>
      <c r="L1439" s="194" t="s">
        <v>259</v>
      </c>
      <c r="M1439" s="194" t="s">
        <v>167</v>
      </c>
      <c r="N1439" s="52" t="str">
        <f>IF(AND('331-CT'!$E$7=TH!H1439,OR(L1439="331",M1439="331")),"331",IF(AND(OR(L1439="131",M1439="131"),H1439='131-CT'!$E$7),"131",""))</f>
        <v>131</v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894"/>
    </row>
    <row r="1440" spans="1:27" ht="15.75" customHeight="1">
      <c r="A1440" s="204" t="str">
        <f>IF(B1440&lt;&gt;"",IF(AND(B1440&gt;=_TM1,B1440&lt;=_TM2,OR(TH!L1440="1111",TH!M1440="1111")),TH!D1440,""),"")</f>
        <v/>
      </c>
      <c r="B1440" s="36">
        <f t="shared" si="114"/>
        <v>8</v>
      </c>
      <c r="C1440" s="191">
        <v>40781</v>
      </c>
      <c r="D1440" s="191" t="s">
        <v>975</v>
      </c>
      <c r="E1440" s="191">
        <v>40781</v>
      </c>
      <c r="F1440" s="192" t="s">
        <v>1065</v>
      </c>
      <c r="G1440" s="498" t="s">
        <v>1191</v>
      </c>
      <c r="H1440" s="7" t="s">
        <v>733</v>
      </c>
      <c r="I1440" s="256">
        <v>824</v>
      </c>
      <c r="J1440" s="256">
        <v>14369</v>
      </c>
      <c r="K1440" s="614">
        <v>11840056</v>
      </c>
      <c r="L1440" s="194" t="s">
        <v>259</v>
      </c>
      <c r="M1440" s="194" t="s">
        <v>167</v>
      </c>
      <c r="N1440" s="52" t="str">
        <f>IF(AND('331-CT'!$E$7=TH!H1440,OR(L1440="331",M1440="331")),"331",IF(AND(OR(L1440="131",M1440="131"),H1440='131-CT'!$E$7),"131",""))</f>
        <v>131</v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894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>
        <f t="shared" si="114"/>
        <v>8</v>
      </c>
      <c r="C1441" s="191">
        <v>40781</v>
      </c>
      <c r="D1441" s="191" t="s">
        <v>975</v>
      </c>
      <c r="E1441" s="191">
        <v>40781</v>
      </c>
      <c r="F1441" s="192" t="s">
        <v>1066</v>
      </c>
      <c r="G1441" s="498" t="s">
        <v>1191</v>
      </c>
      <c r="H1441" s="7" t="s">
        <v>733</v>
      </c>
      <c r="I1441" s="256">
        <v>2</v>
      </c>
      <c r="J1441" s="256">
        <v>9960</v>
      </c>
      <c r="K1441" s="614">
        <v>19920</v>
      </c>
      <c r="L1441" s="194" t="s">
        <v>259</v>
      </c>
      <c r="M1441" s="194" t="s">
        <v>167</v>
      </c>
      <c r="N1441" s="52" t="str">
        <f>IF(AND('331-CT'!$E$7=TH!H1441,OR(L1441="331",M1441="331")),"331",IF(AND(OR(L1441="131",M1441="131"),H1441='131-CT'!$E$7),"131",""))</f>
        <v>131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894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>
        <f t="shared" si="114"/>
        <v>8</v>
      </c>
      <c r="C1442" s="191">
        <v>40781</v>
      </c>
      <c r="D1442" s="191" t="s">
        <v>975</v>
      </c>
      <c r="E1442" s="191">
        <v>40781</v>
      </c>
      <c r="F1442" s="192" t="s">
        <v>1067</v>
      </c>
      <c r="G1442" s="498" t="s">
        <v>1191</v>
      </c>
      <c r="H1442" s="7" t="s">
        <v>733</v>
      </c>
      <c r="I1442" s="258">
        <v>1</v>
      </c>
      <c r="J1442" s="258">
        <v>10656</v>
      </c>
      <c r="K1442" s="614">
        <v>10656</v>
      </c>
      <c r="L1442" s="194" t="s">
        <v>259</v>
      </c>
      <c r="M1442" s="194" t="s">
        <v>167</v>
      </c>
      <c r="N1442" s="52" t="str">
        <f>IF(AND('331-CT'!$E$7=TH!H1442,OR(L1442="331",M1442="331")),"331",IF(AND(OR(L1442="131",M1442="131"),H1442='131-CT'!$E$7),"131",""))</f>
        <v>131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894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>
        <f t="shared" si="114"/>
        <v>8</v>
      </c>
      <c r="C1443" s="191">
        <v>40781</v>
      </c>
      <c r="D1443" s="191" t="s">
        <v>975</v>
      </c>
      <c r="E1443" s="191">
        <v>40781</v>
      </c>
      <c r="F1443" s="192" t="s">
        <v>1068</v>
      </c>
      <c r="G1443" s="498" t="s">
        <v>1191</v>
      </c>
      <c r="H1443" s="7" t="s">
        <v>733</v>
      </c>
      <c r="I1443" s="256">
        <v>747</v>
      </c>
      <c r="J1443" s="256">
        <v>13939</v>
      </c>
      <c r="K1443" s="614">
        <v>10412433</v>
      </c>
      <c r="L1443" s="194" t="s">
        <v>259</v>
      </c>
      <c r="M1443" s="194" t="s">
        <v>167</v>
      </c>
      <c r="N1443" s="52" t="str">
        <f>IF(AND('331-CT'!$E$7=TH!H1443,OR(L1443="331",M1443="331")),"331",IF(AND(OR(L1443="131",M1443="131"),H1443='131-CT'!$E$7),"131",""))</f>
        <v>131</v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894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>
        <f t="shared" si="114"/>
        <v>8</v>
      </c>
      <c r="C1444" s="191">
        <v>40781</v>
      </c>
      <c r="D1444" s="191" t="s">
        <v>975</v>
      </c>
      <c r="E1444" s="191">
        <v>40781</v>
      </c>
      <c r="F1444" s="192" t="s">
        <v>1069</v>
      </c>
      <c r="G1444" s="498" t="s">
        <v>1191</v>
      </c>
      <c r="H1444" s="7" t="s">
        <v>733</v>
      </c>
      <c r="I1444" s="256">
        <v>70</v>
      </c>
      <c r="J1444" s="256">
        <v>15066</v>
      </c>
      <c r="K1444" s="614">
        <v>1054620</v>
      </c>
      <c r="L1444" s="194" t="s">
        <v>259</v>
      </c>
      <c r="M1444" s="194" t="s">
        <v>167</v>
      </c>
      <c r="N1444" s="52" t="str">
        <f>IF(AND('331-CT'!$E$7=TH!H1444,OR(L1444="331",M1444="331")),"331",IF(AND(OR(L1444="131",M1444="131"),H1444='131-CT'!$E$7),"131",""))</f>
        <v>131</v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894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>
        <f t="shared" si="114"/>
        <v>8</v>
      </c>
      <c r="C1445" s="191">
        <v>40781</v>
      </c>
      <c r="D1445" s="191" t="s">
        <v>975</v>
      </c>
      <c r="E1445" s="191">
        <v>40781</v>
      </c>
      <c r="F1445" s="192" t="s">
        <v>848</v>
      </c>
      <c r="G1445" s="498" t="s">
        <v>1191</v>
      </c>
      <c r="H1445" s="7" t="s">
        <v>733</v>
      </c>
      <c r="I1445" s="256"/>
      <c r="J1445" s="256"/>
      <c r="K1445" s="38">
        <v>2337147</v>
      </c>
      <c r="L1445" s="194" t="s">
        <v>259</v>
      </c>
      <c r="M1445" s="194" t="s">
        <v>731</v>
      </c>
      <c r="N1445" s="52" t="str">
        <f>IF(AND('331-CT'!$E$7=TH!H1445,OR(L1445="331",M1445="331")),"331",IF(AND(OR(L1445="131",M1445="131"),H1445='131-CT'!$E$7),"131",""))</f>
        <v>131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894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>
        <f t="shared" si="114"/>
        <v>8</v>
      </c>
      <c r="C1446" s="37">
        <f t="shared" ref="C1446:C1475" si="115">E1446</f>
        <v>40781</v>
      </c>
      <c r="D1446" s="37" t="s">
        <v>1126</v>
      </c>
      <c r="E1446" s="37">
        <v>40781</v>
      </c>
      <c r="F1446" s="40" t="s">
        <v>1055</v>
      </c>
      <c r="G1446" s="40"/>
      <c r="H1446" s="628" t="s">
        <v>1092</v>
      </c>
      <c r="I1446" s="256">
        <v>194</v>
      </c>
      <c r="J1446" s="256">
        <v>7523.8987351534788</v>
      </c>
      <c r="K1446" s="614">
        <f t="shared" ref="K1446:K1475" si="116">ROUND(I1446*J1446,0)</f>
        <v>1459636</v>
      </c>
      <c r="L1446" s="39" t="s">
        <v>159</v>
      </c>
      <c r="M1446" s="39" t="s">
        <v>157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894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>
        <f t="shared" si="114"/>
        <v>8</v>
      </c>
      <c r="C1447" s="37">
        <f t="shared" si="115"/>
        <v>40781</v>
      </c>
      <c r="D1447" s="37" t="s">
        <v>1126</v>
      </c>
      <c r="E1447" s="37">
        <v>40781</v>
      </c>
      <c r="F1447" s="40" t="s">
        <v>1056</v>
      </c>
      <c r="G1447" s="40"/>
      <c r="H1447" s="628" t="s">
        <v>1092</v>
      </c>
      <c r="I1447" s="256">
        <v>106</v>
      </c>
      <c r="J1447" s="256">
        <v>7394.3987351534788</v>
      </c>
      <c r="K1447" s="614">
        <f t="shared" si="116"/>
        <v>783806</v>
      </c>
      <c r="L1447" s="39" t="s">
        <v>159</v>
      </c>
      <c r="M1447" s="39" t="s">
        <v>157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894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>
        <f t="shared" si="114"/>
        <v>8</v>
      </c>
      <c r="C1448" s="37">
        <f t="shared" si="115"/>
        <v>40781</v>
      </c>
      <c r="D1448" s="37" t="s">
        <v>1126</v>
      </c>
      <c r="E1448" s="37">
        <v>40781</v>
      </c>
      <c r="F1448" s="40" t="s">
        <v>1057</v>
      </c>
      <c r="G1448" s="40"/>
      <c r="H1448" s="628" t="s">
        <v>1092</v>
      </c>
      <c r="I1448" s="256">
        <v>150</v>
      </c>
      <c r="J1448" s="256">
        <v>4446.8987351534779</v>
      </c>
      <c r="K1448" s="614">
        <f t="shared" si="116"/>
        <v>667035</v>
      </c>
      <c r="L1448" s="39" t="s">
        <v>159</v>
      </c>
      <c r="M1448" s="39" t="s">
        <v>157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894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>
        <f t="shared" si="114"/>
        <v>8</v>
      </c>
      <c r="C1449" s="37">
        <f t="shared" si="115"/>
        <v>40781</v>
      </c>
      <c r="D1449" s="37" t="s">
        <v>1126</v>
      </c>
      <c r="E1449" s="37">
        <v>40781</v>
      </c>
      <c r="F1449" s="40" t="s">
        <v>1058</v>
      </c>
      <c r="G1449" s="40"/>
      <c r="H1449" s="628" t="s">
        <v>1092</v>
      </c>
      <c r="I1449" s="256">
        <v>1</v>
      </c>
      <c r="J1449" s="256">
        <v>4447.3987351534788</v>
      </c>
      <c r="K1449" s="614">
        <f t="shared" si="116"/>
        <v>4447</v>
      </c>
      <c r="L1449" s="39" t="s">
        <v>159</v>
      </c>
      <c r="M1449" s="39" t="s">
        <v>157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894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>
        <f t="shared" si="114"/>
        <v>8</v>
      </c>
      <c r="C1450" s="37">
        <f t="shared" si="115"/>
        <v>40781</v>
      </c>
      <c r="D1450" s="37" t="s">
        <v>1126</v>
      </c>
      <c r="E1450" s="37">
        <v>40781</v>
      </c>
      <c r="F1450" s="40" t="s">
        <v>1059</v>
      </c>
      <c r="G1450" s="40"/>
      <c r="H1450" s="628" t="s">
        <v>1092</v>
      </c>
      <c r="I1450" s="256">
        <v>133</v>
      </c>
      <c r="J1450" s="256">
        <v>7394.3987351534779</v>
      </c>
      <c r="K1450" s="614">
        <f t="shared" si="116"/>
        <v>983455</v>
      </c>
      <c r="L1450" s="39" t="s">
        <v>159</v>
      </c>
      <c r="M1450" s="39" t="s">
        <v>157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894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>
        <f t="shared" si="114"/>
        <v>8</v>
      </c>
      <c r="C1451" s="37">
        <f t="shared" si="115"/>
        <v>40781</v>
      </c>
      <c r="D1451" s="37" t="s">
        <v>1126</v>
      </c>
      <c r="E1451" s="37">
        <v>40781</v>
      </c>
      <c r="F1451" s="40" t="s">
        <v>1060</v>
      </c>
      <c r="G1451" s="40"/>
      <c r="H1451" s="628" t="s">
        <v>1092</v>
      </c>
      <c r="I1451" s="256">
        <v>141</v>
      </c>
      <c r="J1451" s="256">
        <v>8346.3987351534779</v>
      </c>
      <c r="K1451" s="614">
        <f t="shared" si="116"/>
        <v>1176842</v>
      </c>
      <c r="L1451" s="39" t="s">
        <v>159</v>
      </c>
      <c r="M1451" s="39" t="s">
        <v>157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894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>
        <f t="shared" si="114"/>
        <v>8</v>
      </c>
      <c r="C1452" s="37">
        <f t="shared" si="115"/>
        <v>40781</v>
      </c>
      <c r="D1452" s="37" t="s">
        <v>1126</v>
      </c>
      <c r="E1452" s="37">
        <v>40781</v>
      </c>
      <c r="F1452" s="40" t="s">
        <v>1061</v>
      </c>
      <c r="G1452" s="40"/>
      <c r="H1452" s="628" t="s">
        <v>1092</v>
      </c>
      <c r="I1452" s="256">
        <v>292</v>
      </c>
      <c r="J1452" s="256">
        <v>8227.7617488521064</v>
      </c>
      <c r="K1452" s="614">
        <f t="shared" si="116"/>
        <v>2402506</v>
      </c>
      <c r="L1452" s="39" t="s">
        <v>159</v>
      </c>
      <c r="M1452" s="39" t="s">
        <v>157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894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>
        <f t="shared" si="114"/>
        <v>8</v>
      </c>
      <c r="C1453" s="37">
        <f t="shared" si="115"/>
        <v>40781</v>
      </c>
      <c r="D1453" s="37" t="s">
        <v>1126</v>
      </c>
      <c r="E1453" s="37">
        <v>40781</v>
      </c>
      <c r="F1453" s="40" t="s">
        <v>1062</v>
      </c>
      <c r="G1453" s="40"/>
      <c r="H1453" s="628" t="s">
        <v>1092</v>
      </c>
      <c r="I1453" s="256">
        <v>1</v>
      </c>
      <c r="J1453" s="256">
        <v>10374.398735153478</v>
      </c>
      <c r="K1453" s="614">
        <f t="shared" si="116"/>
        <v>10374</v>
      </c>
      <c r="L1453" s="39" t="s">
        <v>159</v>
      </c>
      <c r="M1453" s="39" t="s">
        <v>157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894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>
        <f t="shared" si="114"/>
        <v>8</v>
      </c>
      <c r="C1454" s="37">
        <f t="shared" si="115"/>
        <v>40781</v>
      </c>
      <c r="D1454" s="37" t="s">
        <v>1126</v>
      </c>
      <c r="E1454" s="37">
        <v>40781</v>
      </c>
      <c r="F1454" s="40" t="s">
        <v>1063</v>
      </c>
      <c r="G1454" s="40"/>
      <c r="H1454" s="628" t="s">
        <v>1092</v>
      </c>
      <c r="I1454" s="256">
        <v>1</v>
      </c>
      <c r="J1454" s="256">
        <v>9490.3987351534779</v>
      </c>
      <c r="K1454" s="614">
        <f t="shared" si="116"/>
        <v>9490</v>
      </c>
      <c r="L1454" s="39" t="s">
        <v>159</v>
      </c>
      <c r="M1454" s="39" t="s">
        <v>157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894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>
        <f t="shared" si="114"/>
        <v>8</v>
      </c>
      <c r="C1455" s="37">
        <f t="shared" si="115"/>
        <v>40781</v>
      </c>
      <c r="D1455" s="37" t="s">
        <v>1127</v>
      </c>
      <c r="E1455" s="37">
        <v>40781</v>
      </c>
      <c r="F1455" s="40" t="s">
        <v>1064</v>
      </c>
      <c r="G1455" s="40"/>
      <c r="H1455" s="628" t="s">
        <v>1092</v>
      </c>
      <c r="I1455" s="256">
        <v>1</v>
      </c>
      <c r="J1455" s="256">
        <v>10309.398735153478</v>
      </c>
      <c r="K1455" s="614">
        <f t="shared" si="116"/>
        <v>10309</v>
      </c>
      <c r="L1455" s="39" t="s">
        <v>159</v>
      </c>
      <c r="M1455" s="39" t="s">
        <v>157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894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>
        <f t="shared" si="114"/>
        <v>8</v>
      </c>
      <c r="C1456" s="37">
        <f t="shared" si="115"/>
        <v>40781</v>
      </c>
      <c r="D1456" s="37" t="s">
        <v>1127</v>
      </c>
      <c r="E1456" s="37">
        <v>40781</v>
      </c>
      <c r="F1456" s="40" t="s">
        <v>1065</v>
      </c>
      <c r="G1456" s="40"/>
      <c r="H1456" s="628" t="s">
        <v>1092</v>
      </c>
      <c r="I1456" s="256">
        <v>824</v>
      </c>
      <c r="J1456" s="256">
        <v>12949.898735153478</v>
      </c>
      <c r="K1456" s="614">
        <f t="shared" si="116"/>
        <v>10670717</v>
      </c>
      <c r="L1456" s="39" t="s">
        <v>159</v>
      </c>
      <c r="M1456" s="39" t="s">
        <v>157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894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>
        <f t="shared" si="114"/>
        <v>8</v>
      </c>
      <c r="C1457" s="37">
        <f t="shared" si="115"/>
        <v>40781</v>
      </c>
      <c r="D1457" s="37" t="s">
        <v>1127</v>
      </c>
      <c r="E1457" s="37">
        <v>40781</v>
      </c>
      <c r="F1457" s="40" t="s">
        <v>1066</v>
      </c>
      <c r="G1457" s="40"/>
      <c r="H1457" s="628" t="s">
        <v>1092</v>
      </c>
      <c r="I1457" s="256">
        <v>2</v>
      </c>
      <c r="J1457" s="256">
        <v>8346.3987351534797</v>
      </c>
      <c r="K1457" s="614">
        <f t="shared" si="116"/>
        <v>16693</v>
      </c>
      <c r="L1457" s="39" t="s">
        <v>159</v>
      </c>
      <c r="M1457" s="39" t="s">
        <v>157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894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>
        <f t="shared" si="114"/>
        <v>8</v>
      </c>
      <c r="C1458" s="37">
        <f t="shared" si="115"/>
        <v>40781</v>
      </c>
      <c r="D1458" s="37" t="s">
        <v>1127</v>
      </c>
      <c r="E1458" s="37">
        <v>40781</v>
      </c>
      <c r="F1458" s="40" t="s">
        <v>1067</v>
      </c>
      <c r="G1458" s="40"/>
      <c r="H1458" s="628" t="s">
        <v>1092</v>
      </c>
      <c r="I1458" s="256">
        <v>1</v>
      </c>
      <c r="J1458" s="256">
        <v>10374.398735153478</v>
      </c>
      <c r="K1458" s="614">
        <f t="shared" si="116"/>
        <v>10374</v>
      </c>
      <c r="L1458" s="39" t="s">
        <v>159</v>
      </c>
      <c r="M1458" s="39" t="s">
        <v>157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894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>
        <f t="shared" si="114"/>
        <v>8</v>
      </c>
      <c r="C1459" s="37">
        <f t="shared" si="115"/>
        <v>40781</v>
      </c>
      <c r="D1459" s="37" t="s">
        <v>1127</v>
      </c>
      <c r="E1459" s="37">
        <v>40781</v>
      </c>
      <c r="F1459" s="40" t="s">
        <v>1068</v>
      </c>
      <c r="G1459" s="40"/>
      <c r="H1459" s="628" t="s">
        <v>1092</v>
      </c>
      <c r="I1459" s="256">
        <v>747</v>
      </c>
      <c r="J1459" s="256">
        <v>11850.912791378378</v>
      </c>
      <c r="K1459" s="614">
        <f t="shared" si="116"/>
        <v>8852632</v>
      </c>
      <c r="L1459" s="39" t="s">
        <v>159</v>
      </c>
      <c r="M1459" s="39" t="s">
        <v>157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894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>
        <f t="shared" si="114"/>
        <v>8</v>
      </c>
      <c r="C1460" s="37">
        <f t="shared" si="115"/>
        <v>40781</v>
      </c>
      <c r="D1460" s="37" t="s">
        <v>1127</v>
      </c>
      <c r="E1460" s="37">
        <v>40781</v>
      </c>
      <c r="F1460" s="40" t="s">
        <v>1069</v>
      </c>
      <c r="G1460" s="40"/>
      <c r="H1460" s="628" t="s">
        <v>1092</v>
      </c>
      <c r="I1460" s="256">
        <v>70</v>
      </c>
      <c r="J1460" s="256">
        <v>13625.39873515348</v>
      </c>
      <c r="K1460" s="614">
        <f t="shared" si="116"/>
        <v>953778</v>
      </c>
      <c r="L1460" s="39" t="s">
        <v>159</v>
      </c>
      <c r="M1460" s="39" t="s">
        <v>157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894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>
        <f t="shared" si="114"/>
        <v>8</v>
      </c>
      <c r="C1461" s="37">
        <f t="shared" si="115"/>
        <v>40781</v>
      </c>
      <c r="D1461" s="37" t="s">
        <v>974</v>
      </c>
      <c r="E1461" s="37">
        <v>40781</v>
      </c>
      <c r="F1461" s="40" t="s">
        <v>1055</v>
      </c>
      <c r="G1461" s="40" t="s">
        <v>1190</v>
      </c>
      <c r="H1461" s="628" t="s">
        <v>733</v>
      </c>
      <c r="I1461" s="256">
        <v>194</v>
      </c>
      <c r="J1461" s="256">
        <v>7523.8987351534788</v>
      </c>
      <c r="K1461" s="614">
        <f t="shared" si="116"/>
        <v>1459636</v>
      </c>
      <c r="L1461" s="39" t="s">
        <v>165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894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>
        <f t="shared" si="114"/>
        <v>8</v>
      </c>
      <c r="C1462" s="37">
        <f t="shared" si="115"/>
        <v>40781</v>
      </c>
      <c r="D1462" s="37" t="s">
        <v>974</v>
      </c>
      <c r="E1462" s="37">
        <v>40781</v>
      </c>
      <c r="F1462" s="40" t="s">
        <v>1056</v>
      </c>
      <c r="G1462" s="40" t="s">
        <v>1190</v>
      </c>
      <c r="H1462" s="628" t="s">
        <v>733</v>
      </c>
      <c r="I1462" s="256">
        <v>106</v>
      </c>
      <c r="J1462" s="256">
        <v>7394.3987351534788</v>
      </c>
      <c r="K1462" s="614">
        <f t="shared" si="116"/>
        <v>783806</v>
      </c>
      <c r="L1462" s="39" t="s">
        <v>165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894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>
        <f t="shared" si="114"/>
        <v>8</v>
      </c>
      <c r="C1463" s="37">
        <f t="shared" si="115"/>
        <v>40781</v>
      </c>
      <c r="D1463" s="37" t="s">
        <v>974</v>
      </c>
      <c r="E1463" s="37">
        <v>40781</v>
      </c>
      <c r="F1463" s="40" t="s">
        <v>1057</v>
      </c>
      <c r="G1463" s="40" t="s">
        <v>1190</v>
      </c>
      <c r="H1463" s="628" t="s">
        <v>733</v>
      </c>
      <c r="I1463" s="256">
        <v>150</v>
      </c>
      <c r="J1463" s="256">
        <v>4446.8987351534779</v>
      </c>
      <c r="K1463" s="614">
        <f t="shared" si="116"/>
        <v>667035</v>
      </c>
      <c r="L1463" s="39" t="s">
        <v>165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894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>
        <f t="shared" si="114"/>
        <v>8</v>
      </c>
      <c r="C1464" s="37">
        <f t="shared" si="115"/>
        <v>40781</v>
      </c>
      <c r="D1464" s="37" t="s">
        <v>974</v>
      </c>
      <c r="E1464" s="37">
        <v>40781</v>
      </c>
      <c r="F1464" s="40" t="s">
        <v>1058</v>
      </c>
      <c r="G1464" s="40" t="s">
        <v>1190</v>
      </c>
      <c r="H1464" s="628" t="s">
        <v>733</v>
      </c>
      <c r="I1464" s="256">
        <v>1</v>
      </c>
      <c r="J1464" s="256">
        <v>4447.3987351534788</v>
      </c>
      <c r="K1464" s="614">
        <f t="shared" si="116"/>
        <v>4447</v>
      </c>
      <c r="L1464" s="39" t="s">
        <v>165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894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>
        <f t="shared" si="114"/>
        <v>8</v>
      </c>
      <c r="C1465" s="37">
        <f t="shared" si="115"/>
        <v>40781</v>
      </c>
      <c r="D1465" s="37" t="s">
        <v>974</v>
      </c>
      <c r="E1465" s="37">
        <v>40781</v>
      </c>
      <c r="F1465" s="40" t="s">
        <v>1059</v>
      </c>
      <c r="G1465" s="40" t="s">
        <v>1190</v>
      </c>
      <c r="H1465" s="628" t="s">
        <v>733</v>
      </c>
      <c r="I1465" s="256">
        <v>133</v>
      </c>
      <c r="J1465" s="256">
        <v>7394.3987351534779</v>
      </c>
      <c r="K1465" s="614">
        <f t="shared" si="116"/>
        <v>983455</v>
      </c>
      <c r="L1465" s="39" t="s">
        <v>165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894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>
        <f t="shared" si="114"/>
        <v>8</v>
      </c>
      <c r="C1466" s="37">
        <f t="shared" si="115"/>
        <v>40781</v>
      </c>
      <c r="D1466" s="37" t="s">
        <v>974</v>
      </c>
      <c r="E1466" s="37">
        <v>40781</v>
      </c>
      <c r="F1466" s="40" t="s">
        <v>1060</v>
      </c>
      <c r="G1466" s="40" t="s">
        <v>1190</v>
      </c>
      <c r="H1466" s="628" t="s">
        <v>733</v>
      </c>
      <c r="I1466" s="256">
        <v>141</v>
      </c>
      <c r="J1466" s="256">
        <v>8346.3987351534779</v>
      </c>
      <c r="K1466" s="614">
        <f t="shared" si="116"/>
        <v>1176842</v>
      </c>
      <c r="L1466" s="39" t="s">
        <v>165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894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>
        <f t="shared" si="114"/>
        <v>8</v>
      </c>
      <c r="C1467" s="37">
        <f t="shared" si="115"/>
        <v>40781</v>
      </c>
      <c r="D1467" s="37" t="s">
        <v>974</v>
      </c>
      <c r="E1467" s="37">
        <v>40781</v>
      </c>
      <c r="F1467" s="40" t="s">
        <v>1061</v>
      </c>
      <c r="G1467" s="40" t="s">
        <v>1190</v>
      </c>
      <c r="H1467" s="628" t="s">
        <v>733</v>
      </c>
      <c r="I1467" s="256">
        <v>292</v>
      </c>
      <c r="J1467" s="256">
        <v>8227.7617488521064</v>
      </c>
      <c r="K1467" s="614">
        <f t="shared" si="116"/>
        <v>2402506</v>
      </c>
      <c r="L1467" s="39" t="s">
        <v>165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894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>
        <f t="shared" si="114"/>
        <v>8</v>
      </c>
      <c r="C1468" s="37">
        <f t="shared" si="115"/>
        <v>40781</v>
      </c>
      <c r="D1468" s="37" t="s">
        <v>975</v>
      </c>
      <c r="E1468" s="37">
        <v>40781</v>
      </c>
      <c r="F1468" s="40" t="s">
        <v>1062</v>
      </c>
      <c r="G1468" s="40" t="s">
        <v>1191</v>
      </c>
      <c r="H1468" s="628" t="s">
        <v>733</v>
      </c>
      <c r="I1468" s="256">
        <v>1</v>
      </c>
      <c r="J1468" s="256">
        <v>10374.398735153478</v>
      </c>
      <c r="K1468" s="614">
        <f t="shared" si="116"/>
        <v>10374</v>
      </c>
      <c r="L1468" s="39" t="s">
        <v>165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894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>
        <f t="shared" si="114"/>
        <v>8</v>
      </c>
      <c r="C1469" s="37">
        <f t="shared" si="115"/>
        <v>40781</v>
      </c>
      <c r="D1469" s="37" t="s">
        <v>975</v>
      </c>
      <c r="E1469" s="37">
        <v>40781</v>
      </c>
      <c r="F1469" s="40" t="s">
        <v>1063</v>
      </c>
      <c r="G1469" s="40" t="s">
        <v>1191</v>
      </c>
      <c r="H1469" s="628" t="s">
        <v>733</v>
      </c>
      <c r="I1469" s="256">
        <v>1</v>
      </c>
      <c r="J1469" s="256">
        <v>9490.3987351534779</v>
      </c>
      <c r="K1469" s="614">
        <f t="shared" si="116"/>
        <v>9490</v>
      </c>
      <c r="L1469" s="39" t="s">
        <v>165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894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>
        <f t="shared" si="114"/>
        <v>8</v>
      </c>
      <c r="C1470" s="37">
        <f t="shared" si="115"/>
        <v>40781</v>
      </c>
      <c r="D1470" s="37" t="s">
        <v>975</v>
      </c>
      <c r="E1470" s="37">
        <v>40781</v>
      </c>
      <c r="F1470" s="40" t="s">
        <v>1064</v>
      </c>
      <c r="G1470" s="40" t="s">
        <v>1191</v>
      </c>
      <c r="H1470" s="628" t="s">
        <v>733</v>
      </c>
      <c r="I1470" s="256">
        <v>1</v>
      </c>
      <c r="J1470" s="256">
        <v>10309.398735153478</v>
      </c>
      <c r="K1470" s="614">
        <f t="shared" si="116"/>
        <v>10309</v>
      </c>
      <c r="L1470" s="39" t="s">
        <v>165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894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>
        <f t="shared" si="114"/>
        <v>8</v>
      </c>
      <c r="C1471" s="37">
        <f t="shared" si="115"/>
        <v>40781</v>
      </c>
      <c r="D1471" s="37" t="s">
        <v>975</v>
      </c>
      <c r="E1471" s="37">
        <v>40781</v>
      </c>
      <c r="F1471" s="40" t="s">
        <v>1065</v>
      </c>
      <c r="G1471" s="40" t="s">
        <v>1191</v>
      </c>
      <c r="H1471" s="628" t="s">
        <v>733</v>
      </c>
      <c r="I1471" s="256">
        <v>824</v>
      </c>
      <c r="J1471" s="256">
        <v>12949.898735153478</v>
      </c>
      <c r="K1471" s="614">
        <f t="shared" si="116"/>
        <v>10670717</v>
      </c>
      <c r="L1471" s="39" t="s">
        <v>165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894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>
        <f t="shared" si="114"/>
        <v>8</v>
      </c>
      <c r="C1472" s="37">
        <f t="shared" si="115"/>
        <v>40781</v>
      </c>
      <c r="D1472" s="37" t="s">
        <v>975</v>
      </c>
      <c r="E1472" s="37">
        <v>40781</v>
      </c>
      <c r="F1472" s="40" t="s">
        <v>1066</v>
      </c>
      <c r="G1472" s="40" t="s">
        <v>1191</v>
      </c>
      <c r="H1472" s="628" t="s">
        <v>733</v>
      </c>
      <c r="I1472" s="256">
        <v>2</v>
      </c>
      <c r="J1472" s="256">
        <v>8346.3987351534797</v>
      </c>
      <c r="K1472" s="614">
        <f t="shared" si="116"/>
        <v>16693</v>
      </c>
      <c r="L1472" s="39" t="s">
        <v>165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894"/>
    </row>
    <row r="1473" spans="1:27" ht="15.75" customHeight="1">
      <c r="A1473" s="204" t="str">
        <f>IF(B1473&lt;&gt;"",IF(AND(B1473&gt;=_TM1,B1473&lt;=_TM2,OR(TH!L1473="1111",TH!M1473="1111")),TH!D1473,""),"")</f>
        <v/>
      </c>
      <c r="B1473" s="36">
        <f t="shared" si="114"/>
        <v>8</v>
      </c>
      <c r="C1473" s="37">
        <f t="shared" si="115"/>
        <v>40781</v>
      </c>
      <c r="D1473" s="37" t="s">
        <v>975</v>
      </c>
      <c r="E1473" s="37">
        <v>40781</v>
      </c>
      <c r="F1473" s="40" t="s">
        <v>1067</v>
      </c>
      <c r="G1473" s="40" t="s">
        <v>1191</v>
      </c>
      <c r="H1473" s="628" t="s">
        <v>733</v>
      </c>
      <c r="I1473" s="256">
        <v>1</v>
      </c>
      <c r="J1473" s="256">
        <v>10374.398735153478</v>
      </c>
      <c r="K1473" s="614">
        <f t="shared" si="116"/>
        <v>10374</v>
      </c>
      <c r="L1473" s="39" t="s">
        <v>165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894"/>
    </row>
    <row r="1474" spans="1:27" ht="15.75" customHeight="1">
      <c r="A1474" s="204" t="str">
        <f>IF(B1474&lt;&gt;"",IF(AND(B1474&gt;=_TM1,B1474&lt;=_TM2,OR(TH!L1474="1111",TH!M1474="1111")),TH!D1474,""),"")</f>
        <v/>
      </c>
      <c r="B1474" s="36">
        <f t="shared" si="114"/>
        <v>8</v>
      </c>
      <c r="C1474" s="37">
        <f t="shared" si="115"/>
        <v>40781</v>
      </c>
      <c r="D1474" s="37" t="s">
        <v>975</v>
      </c>
      <c r="E1474" s="37">
        <v>40781</v>
      </c>
      <c r="F1474" s="40" t="s">
        <v>1068</v>
      </c>
      <c r="G1474" s="40" t="s">
        <v>1191</v>
      </c>
      <c r="H1474" s="628" t="s">
        <v>733</v>
      </c>
      <c r="I1474" s="256">
        <v>747</v>
      </c>
      <c r="J1474" s="256">
        <v>11850.912791378378</v>
      </c>
      <c r="K1474" s="614">
        <f t="shared" si="116"/>
        <v>8852632</v>
      </c>
      <c r="L1474" s="39" t="s">
        <v>165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894"/>
    </row>
    <row r="1475" spans="1:27" ht="15.75" customHeight="1">
      <c r="A1475" s="204" t="str">
        <f>IF(B1475&lt;&gt;"",IF(AND(B1475&gt;=_TM1,B1475&lt;=_TM2,OR(TH!L1475="1111",TH!M1475="1111")),TH!D1475,""),"")</f>
        <v/>
      </c>
      <c r="B1475" s="36">
        <f t="shared" si="114"/>
        <v>8</v>
      </c>
      <c r="C1475" s="37">
        <f t="shared" si="115"/>
        <v>40781</v>
      </c>
      <c r="D1475" s="37" t="s">
        <v>975</v>
      </c>
      <c r="E1475" s="37">
        <v>40781</v>
      </c>
      <c r="F1475" s="40" t="s">
        <v>1069</v>
      </c>
      <c r="G1475" s="40" t="s">
        <v>1191</v>
      </c>
      <c r="H1475" s="628" t="s">
        <v>733</v>
      </c>
      <c r="I1475" s="256">
        <v>70</v>
      </c>
      <c r="J1475" s="256">
        <v>13625.39873515348</v>
      </c>
      <c r="K1475" s="614">
        <f t="shared" si="116"/>
        <v>953778</v>
      </c>
      <c r="L1475" s="39" t="s">
        <v>165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894"/>
    </row>
    <row r="1476" spans="1:27" ht="15.75" customHeight="1">
      <c r="A1476" s="204" t="str">
        <f>IF(B1476&lt;&gt;"",IF(AND(B1476&gt;=_TM1,B1476&lt;=_TM2,OR(TH!L1476="1111",TH!M1476="1111")),TH!D1476,""),"")</f>
        <v/>
      </c>
      <c r="B1476" s="36">
        <f t="shared" si="114"/>
        <v>8</v>
      </c>
      <c r="C1476" s="191">
        <v>40782</v>
      </c>
      <c r="D1476" s="191" t="s">
        <v>976</v>
      </c>
      <c r="E1476" s="191">
        <v>40782</v>
      </c>
      <c r="F1476" s="192" t="s">
        <v>1070</v>
      </c>
      <c r="G1476" s="498" t="s">
        <v>1192</v>
      </c>
      <c r="H1476" s="7" t="s">
        <v>733</v>
      </c>
      <c r="I1476" s="256">
        <v>126</v>
      </c>
      <c r="J1476" s="256">
        <v>16910</v>
      </c>
      <c r="K1476" s="614">
        <v>2130660</v>
      </c>
      <c r="L1476" s="194" t="s">
        <v>259</v>
      </c>
      <c r="M1476" s="194" t="s">
        <v>167</v>
      </c>
      <c r="N1476" s="52" t="str">
        <f>IF(AND('331-CT'!$E$7=TH!H1476,OR(L1476="331",M1476="331")),"331",IF(AND(OR(L1476="131",M1476="131"),H1476='131-CT'!$E$7),"131",""))</f>
        <v>131</v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894"/>
    </row>
    <row r="1477" spans="1:27" ht="15.75" customHeight="1">
      <c r="A1477" s="204" t="str">
        <f>IF(B1477&lt;&gt;"",IF(AND(B1477&gt;=_TM1,B1477&lt;=_TM2,OR(TH!L1477="1111",TH!M1477="1111")),TH!D1477,""),"")</f>
        <v/>
      </c>
      <c r="B1477" s="36">
        <f t="shared" si="114"/>
        <v>8</v>
      </c>
      <c r="C1477" s="191">
        <v>40782</v>
      </c>
      <c r="D1477" s="191" t="s">
        <v>976</v>
      </c>
      <c r="E1477" s="191">
        <v>40782</v>
      </c>
      <c r="F1477" s="192" t="s">
        <v>1071</v>
      </c>
      <c r="G1477" s="498" t="s">
        <v>1192</v>
      </c>
      <c r="H1477" s="7" t="s">
        <v>733</v>
      </c>
      <c r="I1477" s="256">
        <v>166</v>
      </c>
      <c r="J1477" s="256">
        <v>15549</v>
      </c>
      <c r="K1477" s="614">
        <v>2581134</v>
      </c>
      <c r="L1477" s="194" t="s">
        <v>259</v>
      </c>
      <c r="M1477" s="194" t="s">
        <v>167</v>
      </c>
      <c r="N1477" s="52" t="str">
        <f>IF(AND('331-CT'!$E$7=TH!H1477,OR(L1477="331",M1477="331")),"331",IF(AND(OR(L1477="131",M1477="131"),H1477='131-CT'!$E$7),"131",""))</f>
        <v>131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894"/>
    </row>
    <row r="1478" spans="1:27" ht="15.75" customHeight="1">
      <c r="A1478" s="204" t="str">
        <f>IF(B1478&lt;&gt;"",IF(AND(B1478&gt;=_TM1,B1478&lt;=_TM2,OR(TH!L1478="1111",TH!M1478="1111")),TH!D1478,""),"")</f>
        <v/>
      </c>
      <c r="B1478" s="36">
        <f t="shared" si="114"/>
        <v>8</v>
      </c>
      <c r="C1478" s="191">
        <v>40782</v>
      </c>
      <c r="D1478" s="191" t="s">
        <v>976</v>
      </c>
      <c r="E1478" s="191">
        <v>40782</v>
      </c>
      <c r="F1478" s="192" t="s">
        <v>1072</v>
      </c>
      <c r="G1478" s="498" t="s">
        <v>1192</v>
      </c>
      <c r="H1478" s="7" t="s">
        <v>733</v>
      </c>
      <c r="I1478" s="256">
        <v>9</v>
      </c>
      <c r="J1478" s="256">
        <v>14981</v>
      </c>
      <c r="K1478" s="614">
        <v>134829</v>
      </c>
      <c r="L1478" s="194" t="s">
        <v>259</v>
      </c>
      <c r="M1478" s="194" t="s">
        <v>167</v>
      </c>
      <c r="N1478" s="52" t="str">
        <f>IF(AND('331-CT'!$E$7=TH!H1478,OR(L1478="331",M1478="331")),"331",IF(AND(OR(L1478="131",M1478="131"),H1478='131-CT'!$E$7),"131",""))</f>
        <v>131</v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894"/>
    </row>
    <row r="1479" spans="1:27" ht="15.75" customHeight="1">
      <c r="A1479" s="204" t="str">
        <f>IF(B1479&lt;&gt;"",IF(AND(B1479&gt;=_TM1,B1479&lt;=_TM2,OR(TH!L1479="1111",TH!M1479="1111")),TH!D1479,""),"")</f>
        <v/>
      </c>
      <c r="B1479" s="36">
        <f t="shared" si="114"/>
        <v>8</v>
      </c>
      <c r="C1479" s="191">
        <v>40782</v>
      </c>
      <c r="D1479" s="191" t="s">
        <v>976</v>
      </c>
      <c r="E1479" s="191">
        <v>40782</v>
      </c>
      <c r="F1479" s="192" t="s">
        <v>1055</v>
      </c>
      <c r="G1479" s="498" t="s">
        <v>1192</v>
      </c>
      <c r="H1479" s="7" t="s">
        <v>733</v>
      </c>
      <c r="I1479" s="256">
        <v>240</v>
      </c>
      <c r="J1479" s="256">
        <v>9263</v>
      </c>
      <c r="K1479" s="614">
        <v>2223120</v>
      </c>
      <c r="L1479" s="194" t="s">
        <v>259</v>
      </c>
      <c r="M1479" s="194" t="s">
        <v>167</v>
      </c>
      <c r="N1479" s="52" t="str">
        <f>IF(AND('331-CT'!$E$7=TH!H1479,OR(L1479="331",M1479="331")),"331",IF(AND(OR(L1479="131",M1479="131"),H1479='131-CT'!$E$7),"131",""))</f>
        <v>131</v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894"/>
    </row>
    <row r="1480" spans="1:27" ht="15.75" customHeight="1">
      <c r="A1480" s="204" t="str">
        <f>IF(B1480&lt;&gt;"",IF(AND(B1480&gt;=_TM1,B1480&lt;=_TM2,OR(TH!L1480="1111",TH!M1480="1111")),TH!D1480,""),"")</f>
        <v/>
      </c>
      <c r="B1480" s="36">
        <f t="shared" si="114"/>
        <v>8</v>
      </c>
      <c r="C1480" s="191">
        <v>40782</v>
      </c>
      <c r="D1480" s="191" t="s">
        <v>976</v>
      </c>
      <c r="E1480" s="191">
        <v>40782</v>
      </c>
      <c r="F1480" s="192" t="s">
        <v>1073</v>
      </c>
      <c r="G1480" s="498" t="s">
        <v>1192</v>
      </c>
      <c r="H1480" s="7" t="s">
        <v>733</v>
      </c>
      <c r="I1480" s="258">
        <v>86</v>
      </c>
      <c r="J1480" s="258">
        <v>7806</v>
      </c>
      <c r="K1480" s="614">
        <v>671316</v>
      </c>
      <c r="L1480" s="194" t="s">
        <v>259</v>
      </c>
      <c r="M1480" s="194" t="s">
        <v>167</v>
      </c>
      <c r="N1480" s="52" t="str">
        <f>IF(AND('331-CT'!$E$7=TH!H1480,OR(L1480="331",M1480="331")),"331",IF(AND(OR(L1480="131",M1480="131"),H1480='131-CT'!$E$7),"131",""))</f>
        <v>131</v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894"/>
    </row>
    <row r="1481" spans="1:27" ht="15.75" customHeight="1">
      <c r="A1481" s="204" t="str">
        <f>IF(B1481&lt;&gt;"",IF(AND(B1481&gt;=_TM1,B1481&lt;=_TM2,OR(TH!L1481="1111",TH!M1481="1111")),TH!D1481,""),"")</f>
        <v/>
      </c>
      <c r="B1481" s="36">
        <f t="shared" si="114"/>
        <v>8</v>
      </c>
      <c r="C1481" s="191">
        <v>40782</v>
      </c>
      <c r="D1481" s="191" t="s">
        <v>976</v>
      </c>
      <c r="E1481" s="191">
        <v>40782</v>
      </c>
      <c r="F1481" s="192" t="s">
        <v>1074</v>
      </c>
      <c r="G1481" s="498" t="s">
        <v>1192</v>
      </c>
      <c r="H1481" s="7" t="s">
        <v>733</v>
      </c>
      <c r="I1481" s="258">
        <v>240</v>
      </c>
      <c r="J1481" s="258">
        <v>2588</v>
      </c>
      <c r="K1481" s="614">
        <v>621120</v>
      </c>
      <c r="L1481" s="194" t="s">
        <v>259</v>
      </c>
      <c r="M1481" s="194" t="s">
        <v>167</v>
      </c>
      <c r="N1481" s="52" t="str">
        <f>IF(AND('331-CT'!$E$7=TH!H1481,OR(L1481="331",M1481="331")),"331",IF(AND(OR(L1481="131",M1481="131"),H1481='131-CT'!$E$7),"131",""))</f>
        <v>131</v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894"/>
    </row>
    <row r="1482" spans="1:27" ht="15.75" customHeight="1">
      <c r="A1482" s="204" t="str">
        <f>IF(B1482&lt;&gt;"",IF(AND(B1482&gt;=_TM1,B1482&lt;=_TM2,OR(TH!L1482="1111",TH!M1482="1111")),TH!D1482,""),"")</f>
        <v/>
      </c>
      <c r="B1482" s="36">
        <f t="shared" si="114"/>
        <v>8</v>
      </c>
      <c r="C1482" s="191">
        <v>40782</v>
      </c>
      <c r="D1482" s="191" t="s">
        <v>976</v>
      </c>
      <c r="E1482" s="191">
        <v>40782</v>
      </c>
      <c r="F1482" s="192" t="s">
        <v>1075</v>
      </c>
      <c r="G1482" s="498" t="s">
        <v>1192</v>
      </c>
      <c r="H1482" s="7" t="s">
        <v>733</v>
      </c>
      <c r="I1482" s="256">
        <v>86</v>
      </c>
      <c r="J1482" s="256">
        <v>2334</v>
      </c>
      <c r="K1482" s="614">
        <v>200724</v>
      </c>
      <c r="L1482" s="194" t="s">
        <v>259</v>
      </c>
      <c r="M1482" s="194" t="s">
        <v>167</v>
      </c>
      <c r="N1482" s="52" t="str">
        <f>IF(AND('331-CT'!$E$7=TH!H1482,OR(L1482="331",M1482="331")),"331",IF(AND(OR(L1482="131",M1482="131"),H1482='131-CT'!$E$7),"131",""))</f>
        <v>131</v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894"/>
    </row>
    <row r="1483" spans="1:27" ht="15.75" customHeight="1">
      <c r="A1483" s="204" t="str">
        <f>IF(B1483&lt;&gt;"",IF(AND(B1483&gt;=_TM1,B1483&lt;=_TM2,OR(TH!L1483="1111",TH!M1483="1111")),TH!D1483,""),"")</f>
        <v/>
      </c>
      <c r="B1483" s="36">
        <f t="shared" si="114"/>
        <v>8</v>
      </c>
      <c r="C1483" s="191">
        <v>40782</v>
      </c>
      <c r="D1483" s="191" t="s">
        <v>976</v>
      </c>
      <c r="E1483" s="191">
        <v>40782</v>
      </c>
      <c r="F1483" s="192" t="s">
        <v>848</v>
      </c>
      <c r="G1483" s="498" t="s">
        <v>1192</v>
      </c>
      <c r="H1483" s="7" t="s">
        <v>733</v>
      </c>
      <c r="I1483" s="256"/>
      <c r="J1483" s="256"/>
      <c r="K1483" s="38">
        <f>856290+1</f>
        <v>856291</v>
      </c>
      <c r="L1483" s="194" t="s">
        <v>259</v>
      </c>
      <c r="M1483" s="194" t="s">
        <v>731</v>
      </c>
      <c r="N1483" s="52" t="str">
        <f>IF(AND('331-CT'!$E$7=TH!H1483,OR(L1483="331",M1483="331")),"331",IF(AND(OR(L1483="131",M1483="131"),H1483='131-CT'!$E$7),"131",""))</f>
        <v>131</v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894"/>
    </row>
    <row r="1484" spans="1:27" ht="15.75" customHeight="1">
      <c r="A1484" s="204" t="str">
        <f>IF(B1484&lt;&gt;"",IF(AND(B1484&gt;=_TM1,B1484&lt;=_TM2,OR(TH!L1484="1111",TH!M1484="1111")),TH!D1484,""),"")</f>
        <v/>
      </c>
      <c r="B1484" s="36">
        <f t="shared" si="114"/>
        <v>8</v>
      </c>
      <c r="C1484" s="37">
        <f t="shared" ref="C1484:C1497" si="117">E1484</f>
        <v>40782</v>
      </c>
      <c r="D1484" s="37" t="s">
        <v>1128</v>
      </c>
      <c r="E1484" s="37">
        <v>40782</v>
      </c>
      <c r="F1484" s="40" t="s">
        <v>1070</v>
      </c>
      <c r="G1484" s="40"/>
      <c r="H1484" s="628" t="s">
        <v>1092</v>
      </c>
      <c r="I1484" s="256">
        <v>126</v>
      </c>
      <c r="J1484" s="256">
        <v>15399.287624042368</v>
      </c>
      <c r="K1484" s="614">
        <f t="shared" ref="K1484:K1497" si="118">ROUND(I1484*J1484,0)</f>
        <v>1940310</v>
      </c>
      <c r="L1484" s="39" t="s">
        <v>159</v>
      </c>
      <c r="M1484" s="39" t="s">
        <v>157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894"/>
    </row>
    <row r="1485" spans="1:27" ht="15.75" customHeight="1">
      <c r="A1485" s="204" t="str">
        <f>IF(B1485&lt;&gt;"",IF(AND(B1485&gt;=_TM1,B1485&lt;=_TM2,OR(TH!L1485="1111",TH!M1485="1111")),TH!D1485,""),"")</f>
        <v/>
      </c>
      <c r="B1485" s="36">
        <f t="shared" si="114"/>
        <v>8</v>
      </c>
      <c r="C1485" s="37">
        <f t="shared" si="117"/>
        <v>40782</v>
      </c>
      <c r="D1485" s="37" t="s">
        <v>1128</v>
      </c>
      <c r="E1485" s="37">
        <v>40782</v>
      </c>
      <c r="F1485" s="40" t="s">
        <v>1071</v>
      </c>
      <c r="G1485" s="40"/>
      <c r="H1485" s="628" t="s">
        <v>1092</v>
      </c>
      <c r="I1485" s="256">
        <v>166</v>
      </c>
      <c r="J1485" s="256">
        <v>14237.398735153474</v>
      </c>
      <c r="K1485" s="614">
        <f t="shared" si="118"/>
        <v>2363408</v>
      </c>
      <c r="L1485" s="39" t="s">
        <v>159</v>
      </c>
      <c r="M1485" s="39" t="s">
        <v>157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894"/>
    </row>
    <row r="1486" spans="1:27" ht="15.75" customHeight="1">
      <c r="A1486" s="204" t="str">
        <f>IF(B1486&lt;&gt;"",IF(AND(B1486&gt;=_TM1,B1486&lt;=_TM2,OR(TH!L1486="1111",TH!M1486="1111")),TH!D1486,""),"")</f>
        <v/>
      </c>
      <c r="B1486" s="36">
        <f t="shared" si="114"/>
        <v>8</v>
      </c>
      <c r="C1486" s="37">
        <f t="shared" si="117"/>
        <v>40782</v>
      </c>
      <c r="D1486" s="37" t="s">
        <v>1128</v>
      </c>
      <c r="E1486" s="37">
        <v>40782</v>
      </c>
      <c r="F1486" s="40" t="s">
        <v>1072</v>
      </c>
      <c r="G1486" s="40"/>
      <c r="H1486" s="628" t="s">
        <v>1092</v>
      </c>
      <c r="I1486" s="256">
        <v>9</v>
      </c>
      <c r="J1486" s="256">
        <v>12825.39873515348</v>
      </c>
      <c r="K1486" s="614">
        <f t="shared" si="118"/>
        <v>115429</v>
      </c>
      <c r="L1486" s="39" t="s">
        <v>159</v>
      </c>
      <c r="M1486" s="39" t="s">
        <v>157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894"/>
    </row>
    <row r="1487" spans="1:27" ht="15.75" customHeight="1">
      <c r="A1487" s="204" t="str">
        <f>IF(B1487&lt;&gt;"",IF(AND(B1487&gt;=_TM1,B1487&lt;=_TM2,OR(TH!L1487="1111",TH!M1487="1111")),TH!D1487,""),"")</f>
        <v/>
      </c>
      <c r="B1487" s="36">
        <f t="shared" si="114"/>
        <v>8</v>
      </c>
      <c r="C1487" s="37">
        <f t="shared" si="117"/>
        <v>40782</v>
      </c>
      <c r="D1487" s="37" t="s">
        <v>1128</v>
      </c>
      <c r="E1487" s="37">
        <v>40782</v>
      </c>
      <c r="F1487" s="40" t="s">
        <v>1055</v>
      </c>
      <c r="G1487" s="40"/>
      <c r="H1487" s="628" t="s">
        <v>1092</v>
      </c>
      <c r="I1487" s="256">
        <v>240</v>
      </c>
      <c r="J1487" s="256">
        <v>7523.8987351534779</v>
      </c>
      <c r="K1487" s="614">
        <f t="shared" si="118"/>
        <v>1805736</v>
      </c>
      <c r="L1487" s="39" t="s">
        <v>159</v>
      </c>
      <c r="M1487" s="39" t="s">
        <v>157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894"/>
    </row>
    <row r="1488" spans="1:27" ht="15.75" customHeight="1">
      <c r="A1488" s="204" t="str">
        <f>IF(B1488&lt;&gt;"",IF(AND(B1488&gt;=_TM1,B1488&lt;=_TM2,OR(TH!L1488="1111",TH!M1488="1111")),TH!D1488,""),"")</f>
        <v/>
      </c>
      <c r="B1488" s="36">
        <f t="shared" si="114"/>
        <v>8</v>
      </c>
      <c r="C1488" s="37">
        <f t="shared" si="117"/>
        <v>40782</v>
      </c>
      <c r="D1488" s="37" t="s">
        <v>1128</v>
      </c>
      <c r="E1488" s="37">
        <v>40782</v>
      </c>
      <c r="F1488" s="40" t="s">
        <v>1073</v>
      </c>
      <c r="G1488" s="40"/>
      <c r="H1488" s="628" t="s">
        <v>1092</v>
      </c>
      <c r="I1488" s="256">
        <v>86</v>
      </c>
      <c r="J1488" s="256">
        <v>6671.3987351534779</v>
      </c>
      <c r="K1488" s="614">
        <f t="shared" si="118"/>
        <v>573740</v>
      </c>
      <c r="L1488" s="39" t="s">
        <v>159</v>
      </c>
      <c r="M1488" s="39" t="s">
        <v>157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894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>
        <f t="shared" si="114"/>
        <v>8</v>
      </c>
      <c r="C1489" s="37">
        <f t="shared" si="117"/>
        <v>40782</v>
      </c>
      <c r="D1489" s="37" t="s">
        <v>1128</v>
      </c>
      <c r="E1489" s="37">
        <v>40782</v>
      </c>
      <c r="F1489" s="40" t="s">
        <v>1074</v>
      </c>
      <c r="G1489" s="40"/>
      <c r="H1489" s="628" t="s">
        <v>1092</v>
      </c>
      <c r="I1489" s="256">
        <v>240</v>
      </c>
      <c r="J1489" s="256">
        <v>2681.5987351534782</v>
      </c>
      <c r="K1489" s="614">
        <f t="shared" si="118"/>
        <v>643584</v>
      </c>
      <c r="L1489" s="39" t="s">
        <v>159</v>
      </c>
      <c r="M1489" s="39" t="s">
        <v>157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894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>
        <f t="shared" si="114"/>
        <v>8</v>
      </c>
      <c r="C1490" s="37">
        <f t="shared" si="117"/>
        <v>40782</v>
      </c>
      <c r="D1490" s="37" t="s">
        <v>1128</v>
      </c>
      <c r="E1490" s="37">
        <v>40782</v>
      </c>
      <c r="F1490" s="40" t="s">
        <v>1075</v>
      </c>
      <c r="G1490" s="40"/>
      <c r="H1490" s="628" t="s">
        <v>1092</v>
      </c>
      <c r="I1490" s="256">
        <v>86</v>
      </c>
      <c r="J1490" s="256">
        <v>2702.9568746883619</v>
      </c>
      <c r="K1490" s="614">
        <f t="shared" si="118"/>
        <v>232454</v>
      </c>
      <c r="L1490" s="39" t="s">
        <v>159</v>
      </c>
      <c r="M1490" s="39" t="s">
        <v>157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894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>
        <f t="shared" si="114"/>
        <v>8</v>
      </c>
      <c r="C1491" s="37">
        <f t="shared" si="117"/>
        <v>40782</v>
      </c>
      <c r="D1491" s="37" t="s">
        <v>976</v>
      </c>
      <c r="E1491" s="37">
        <v>40782</v>
      </c>
      <c r="F1491" s="40" t="s">
        <v>1070</v>
      </c>
      <c r="G1491" s="40" t="s">
        <v>1192</v>
      </c>
      <c r="H1491" s="628" t="s">
        <v>733</v>
      </c>
      <c r="I1491" s="256">
        <v>126</v>
      </c>
      <c r="J1491" s="256">
        <v>15399.287624042368</v>
      </c>
      <c r="K1491" s="614">
        <f t="shared" si="118"/>
        <v>1940310</v>
      </c>
      <c r="L1491" s="39" t="s">
        <v>165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894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>
        <f t="shared" si="114"/>
        <v>8</v>
      </c>
      <c r="C1492" s="37">
        <f t="shared" si="117"/>
        <v>40782</v>
      </c>
      <c r="D1492" s="37" t="s">
        <v>976</v>
      </c>
      <c r="E1492" s="37">
        <v>40782</v>
      </c>
      <c r="F1492" s="40" t="s">
        <v>1071</v>
      </c>
      <c r="G1492" s="40" t="s">
        <v>1192</v>
      </c>
      <c r="H1492" s="628" t="s">
        <v>733</v>
      </c>
      <c r="I1492" s="256">
        <v>166</v>
      </c>
      <c r="J1492" s="256">
        <v>14237.398735153474</v>
      </c>
      <c r="K1492" s="614">
        <f t="shared" si="118"/>
        <v>2363408</v>
      </c>
      <c r="L1492" s="39" t="s">
        <v>165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894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>
        <f t="shared" si="114"/>
        <v>8</v>
      </c>
      <c r="C1493" s="37">
        <f t="shared" si="117"/>
        <v>40782</v>
      </c>
      <c r="D1493" s="37" t="s">
        <v>976</v>
      </c>
      <c r="E1493" s="37">
        <v>40782</v>
      </c>
      <c r="F1493" s="40" t="s">
        <v>1072</v>
      </c>
      <c r="G1493" s="40" t="s">
        <v>1192</v>
      </c>
      <c r="H1493" s="628" t="s">
        <v>733</v>
      </c>
      <c r="I1493" s="256">
        <v>9</v>
      </c>
      <c r="J1493" s="256">
        <v>12825.39873515348</v>
      </c>
      <c r="K1493" s="614">
        <f t="shared" si="118"/>
        <v>115429</v>
      </c>
      <c r="L1493" s="39" t="s">
        <v>165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894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>
        <f t="shared" si="114"/>
        <v>8</v>
      </c>
      <c r="C1494" s="37">
        <f t="shared" si="117"/>
        <v>40782</v>
      </c>
      <c r="D1494" s="37" t="s">
        <v>976</v>
      </c>
      <c r="E1494" s="37">
        <v>40782</v>
      </c>
      <c r="F1494" s="40" t="s">
        <v>1055</v>
      </c>
      <c r="G1494" s="40" t="s">
        <v>1192</v>
      </c>
      <c r="H1494" s="628" t="s">
        <v>733</v>
      </c>
      <c r="I1494" s="256">
        <v>240</v>
      </c>
      <c r="J1494" s="256">
        <v>7523.8987351534779</v>
      </c>
      <c r="K1494" s="614">
        <f t="shared" si="118"/>
        <v>1805736</v>
      </c>
      <c r="L1494" s="39" t="s">
        <v>165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894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>
        <f t="shared" si="114"/>
        <v>8</v>
      </c>
      <c r="C1495" s="37">
        <f t="shared" si="117"/>
        <v>40782</v>
      </c>
      <c r="D1495" s="37" t="s">
        <v>976</v>
      </c>
      <c r="E1495" s="37">
        <v>40782</v>
      </c>
      <c r="F1495" s="40" t="s">
        <v>1073</v>
      </c>
      <c r="G1495" s="40" t="s">
        <v>1192</v>
      </c>
      <c r="H1495" s="628" t="s">
        <v>733</v>
      </c>
      <c r="I1495" s="256">
        <v>86</v>
      </c>
      <c r="J1495" s="256">
        <v>6671.3987351534779</v>
      </c>
      <c r="K1495" s="614">
        <f t="shared" si="118"/>
        <v>573740</v>
      </c>
      <c r="L1495" s="39" t="s">
        <v>165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894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>
        <f t="shared" si="114"/>
        <v>8</v>
      </c>
      <c r="C1496" s="37">
        <f t="shared" si="117"/>
        <v>40782</v>
      </c>
      <c r="D1496" s="37" t="s">
        <v>976</v>
      </c>
      <c r="E1496" s="37">
        <v>40782</v>
      </c>
      <c r="F1496" s="40" t="s">
        <v>1074</v>
      </c>
      <c r="G1496" s="40" t="s">
        <v>1192</v>
      </c>
      <c r="H1496" s="628" t="s">
        <v>733</v>
      </c>
      <c r="I1496" s="256">
        <v>240</v>
      </c>
      <c r="J1496" s="256">
        <v>2681.5987351534782</v>
      </c>
      <c r="K1496" s="614">
        <f t="shared" si="118"/>
        <v>643584</v>
      </c>
      <c r="L1496" s="39" t="s">
        <v>165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894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>
        <f t="shared" ref="B1497:B1560" si="119">IF(C1497&lt;&gt;"",MONTH(C1497),"")</f>
        <v>8</v>
      </c>
      <c r="C1497" s="37">
        <f t="shared" si="117"/>
        <v>40782</v>
      </c>
      <c r="D1497" s="37" t="s">
        <v>976</v>
      </c>
      <c r="E1497" s="37">
        <v>40782</v>
      </c>
      <c r="F1497" s="40" t="s">
        <v>1075</v>
      </c>
      <c r="G1497" s="40" t="s">
        <v>1192</v>
      </c>
      <c r="H1497" s="628" t="s">
        <v>733</v>
      </c>
      <c r="I1497" s="256">
        <v>86</v>
      </c>
      <c r="J1497" s="256">
        <v>2702.9568746883619</v>
      </c>
      <c r="K1497" s="614">
        <f t="shared" si="118"/>
        <v>232454</v>
      </c>
      <c r="L1497" s="39" t="s">
        <v>165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894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>
        <f t="shared" si="119"/>
        <v>8</v>
      </c>
      <c r="C1498" s="720">
        <v>40786</v>
      </c>
      <c r="D1498" s="720" t="s">
        <v>662</v>
      </c>
      <c r="E1498" s="835">
        <v>40786</v>
      </c>
      <c r="F1498" s="721" t="s">
        <v>1134</v>
      </c>
      <c r="G1498" s="722"/>
      <c r="H1498" s="628" t="s">
        <v>363</v>
      </c>
      <c r="I1498" s="494"/>
      <c r="J1498" s="494"/>
      <c r="K1498" s="723">
        <v>13430000</v>
      </c>
      <c r="L1498" s="724" t="s">
        <v>262</v>
      </c>
      <c r="M1498" s="724" t="s">
        <v>46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>x</v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894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>
        <f t="shared" si="119"/>
        <v>8</v>
      </c>
      <c r="C1499" s="720">
        <v>40786</v>
      </c>
      <c r="D1499" s="720" t="s">
        <v>337</v>
      </c>
      <c r="E1499" s="835">
        <v>40786</v>
      </c>
      <c r="F1499" s="721" t="s">
        <v>947</v>
      </c>
      <c r="G1499" s="722"/>
      <c r="H1499" s="628"/>
      <c r="I1499" s="494"/>
      <c r="J1499" s="494"/>
      <c r="K1499" s="723">
        <v>7115000</v>
      </c>
      <c r="L1499" s="724" t="s">
        <v>75</v>
      </c>
      <c r="M1499" s="724" t="s">
        <v>262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>x</v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894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>
        <f t="shared" si="119"/>
        <v>8</v>
      </c>
      <c r="C1500" s="720">
        <v>40786</v>
      </c>
      <c r="D1500" s="720" t="s">
        <v>337</v>
      </c>
      <c r="E1500" s="835">
        <v>40786</v>
      </c>
      <c r="F1500" s="721" t="s">
        <v>785</v>
      </c>
      <c r="G1500" s="722"/>
      <c r="H1500" s="628"/>
      <c r="I1500" s="494"/>
      <c r="J1500" s="494"/>
      <c r="K1500" s="614">
        <v>6315000</v>
      </c>
      <c r="L1500" s="724" t="s">
        <v>157</v>
      </c>
      <c r="M1500" s="724" t="s">
        <v>262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894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>
        <f t="shared" si="119"/>
        <v>9</v>
      </c>
      <c r="C1501" s="37">
        <f t="shared" ref="C1501:C1509" si="120">E1501</f>
        <v>40787</v>
      </c>
      <c r="D1501" s="37" t="s">
        <v>1108</v>
      </c>
      <c r="E1501" s="794">
        <v>40787</v>
      </c>
      <c r="F1501" s="189" t="s">
        <v>494</v>
      </c>
      <c r="G1501" s="40"/>
      <c r="H1501" s="628" t="s">
        <v>1092</v>
      </c>
      <c r="I1501" s="256">
        <v>202</v>
      </c>
      <c r="J1501" s="256">
        <v>19773</v>
      </c>
      <c r="K1501" s="614">
        <f t="shared" ref="K1501:K1509" si="121">ROUND(I1501*J1501,0)</f>
        <v>3994146</v>
      </c>
      <c r="L1501" s="39" t="s">
        <v>157</v>
      </c>
      <c r="M1501" s="39" t="s">
        <v>151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894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>
        <f t="shared" si="119"/>
        <v>9</v>
      </c>
      <c r="C1502" s="37">
        <f t="shared" si="120"/>
        <v>40791</v>
      </c>
      <c r="D1502" s="37" t="s">
        <v>1109</v>
      </c>
      <c r="E1502" s="794">
        <v>40791</v>
      </c>
      <c r="F1502" s="40" t="s">
        <v>628</v>
      </c>
      <c r="G1502" s="40"/>
      <c r="H1502" s="628" t="s">
        <v>1092</v>
      </c>
      <c r="I1502" s="839">
        <v>61.5</v>
      </c>
      <c r="J1502" s="256">
        <v>32985</v>
      </c>
      <c r="K1502" s="614">
        <f t="shared" si="121"/>
        <v>2028578</v>
      </c>
      <c r="L1502" s="39" t="s">
        <v>157</v>
      </c>
      <c r="M1502" s="39" t="s">
        <v>151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894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>
        <f t="shared" si="119"/>
        <v>9</v>
      </c>
      <c r="C1503" s="37">
        <f t="shared" si="120"/>
        <v>40791</v>
      </c>
      <c r="D1503" s="37" t="s">
        <v>1109</v>
      </c>
      <c r="E1503" s="794">
        <v>40791</v>
      </c>
      <c r="F1503" s="189" t="s">
        <v>542</v>
      </c>
      <c r="G1503" s="40"/>
      <c r="H1503" s="628" t="s">
        <v>1092</v>
      </c>
      <c r="I1503" s="256">
        <v>61</v>
      </c>
      <c r="J1503" s="256">
        <v>19638</v>
      </c>
      <c r="K1503" s="614">
        <f t="shared" si="121"/>
        <v>1197918</v>
      </c>
      <c r="L1503" s="39" t="s">
        <v>157</v>
      </c>
      <c r="M1503" s="39" t="s">
        <v>151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894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>
        <f t="shared" si="119"/>
        <v>9</v>
      </c>
      <c r="C1504" s="37">
        <f t="shared" si="120"/>
        <v>40791</v>
      </c>
      <c r="D1504" s="37" t="s">
        <v>1109</v>
      </c>
      <c r="E1504" s="794">
        <v>40791</v>
      </c>
      <c r="F1504" s="298" t="s">
        <v>478</v>
      </c>
      <c r="G1504" s="40"/>
      <c r="H1504" s="628" t="s">
        <v>1092</v>
      </c>
      <c r="I1504" s="256">
        <v>12</v>
      </c>
      <c r="J1504" s="256">
        <v>4592</v>
      </c>
      <c r="K1504" s="614">
        <f t="shared" si="121"/>
        <v>55104</v>
      </c>
      <c r="L1504" s="39" t="s">
        <v>157</v>
      </c>
      <c r="M1504" s="39" t="s">
        <v>151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894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>
        <f t="shared" si="119"/>
        <v>9</v>
      </c>
      <c r="C1505" s="37">
        <f t="shared" si="120"/>
        <v>40791</v>
      </c>
      <c r="D1505" s="37" t="s">
        <v>1109</v>
      </c>
      <c r="E1505" s="794">
        <v>40791</v>
      </c>
      <c r="F1505" s="40" t="s">
        <v>604</v>
      </c>
      <c r="G1505" s="40"/>
      <c r="H1505" s="628" t="s">
        <v>1092</v>
      </c>
      <c r="I1505" s="256">
        <v>26</v>
      </c>
      <c r="J1505" s="256">
        <v>14280</v>
      </c>
      <c r="K1505" s="614">
        <f t="shared" si="121"/>
        <v>371280</v>
      </c>
      <c r="L1505" s="39" t="s">
        <v>157</v>
      </c>
      <c r="M1505" s="39" t="s">
        <v>151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894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>
        <f t="shared" si="119"/>
        <v>9</v>
      </c>
      <c r="C1506" s="37">
        <f t="shared" si="120"/>
        <v>40791</v>
      </c>
      <c r="D1506" s="37" t="s">
        <v>1109</v>
      </c>
      <c r="E1506" s="794">
        <v>40791</v>
      </c>
      <c r="F1506" s="189" t="s">
        <v>387</v>
      </c>
      <c r="G1506" s="40"/>
      <c r="H1506" s="628" t="s">
        <v>1092</v>
      </c>
      <c r="I1506" s="839">
        <v>5</v>
      </c>
      <c r="J1506" s="256">
        <v>4449</v>
      </c>
      <c r="K1506" s="614">
        <f t="shared" si="121"/>
        <v>22245</v>
      </c>
      <c r="L1506" s="39" t="s">
        <v>157</v>
      </c>
      <c r="M1506" s="39" t="s">
        <v>151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>x</v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894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>
        <f t="shared" si="119"/>
        <v>9</v>
      </c>
      <c r="C1507" s="37">
        <f t="shared" si="120"/>
        <v>40791</v>
      </c>
      <c r="D1507" s="37" t="s">
        <v>1109</v>
      </c>
      <c r="E1507" s="794">
        <v>40791</v>
      </c>
      <c r="F1507" s="40" t="s">
        <v>628</v>
      </c>
      <c r="G1507" s="40"/>
      <c r="H1507" s="628" t="s">
        <v>1092</v>
      </c>
      <c r="I1507" s="839">
        <v>71</v>
      </c>
      <c r="J1507" s="256">
        <v>32984.985915492958</v>
      </c>
      <c r="K1507" s="614">
        <f t="shared" si="121"/>
        <v>2341934</v>
      </c>
      <c r="L1507" s="39" t="s">
        <v>157</v>
      </c>
      <c r="M1507" s="39" t="s">
        <v>151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894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>
        <f t="shared" si="119"/>
        <v>9</v>
      </c>
      <c r="C1508" s="37">
        <f t="shared" si="120"/>
        <v>40791</v>
      </c>
      <c r="D1508" s="37" t="s">
        <v>1109</v>
      </c>
      <c r="E1508" s="794">
        <v>40791</v>
      </c>
      <c r="F1508" s="189" t="s">
        <v>578</v>
      </c>
      <c r="G1508" s="40"/>
      <c r="H1508" s="628" t="s">
        <v>1092</v>
      </c>
      <c r="I1508" s="256">
        <v>107</v>
      </c>
      <c r="J1508" s="256">
        <v>10344</v>
      </c>
      <c r="K1508" s="614">
        <f t="shared" si="121"/>
        <v>1106808</v>
      </c>
      <c r="L1508" s="39" t="s">
        <v>157</v>
      </c>
      <c r="M1508" s="39" t="s">
        <v>151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894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>
        <f t="shared" si="119"/>
        <v>9</v>
      </c>
      <c r="C1509" s="37">
        <f t="shared" si="120"/>
        <v>40791</v>
      </c>
      <c r="D1509" s="37" t="s">
        <v>1109</v>
      </c>
      <c r="E1509" s="794">
        <v>40791</v>
      </c>
      <c r="F1509" s="189" t="s">
        <v>580</v>
      </c>
      <c r="G1509" s="40"/>
      <c r="H1509" s="628" t="s">
        <v>1092</v>
      </c>
      <c r="I1509" s="256">
        <v>70</v>
      </c>
      <c r="J1509" s="256">
        <v>26198</v>
      </c>
      <c r="K1509" s="614">
        <f t="shared" si="121"/>
        <v>1833860</v>
      </c>
      <c r="L1509" s="39" t="s">
        <v>157</v>
      </c>
      <c r="M1509" s="39" t="s">
        <v>151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894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>
        <f t="shared" si="119"/>
        <v>9</v>
      </c>
      <c r="C1510" s="184">
        <v>40794</v>
      </c>
      <c r="D1510" s="184" t="s">
        <v>333</v>
      </c>
      <c r="E1510" s="184">
        <v>40794</v>
      </c>
      <c r="F1510" s="189" t="s">
        <v>335</v>
      </c>
      <c r="G1510" s="616" t="s">
        <v>330</v>
      </c>
      <c r="H1510" s="193" t="s">
        <v>733</v>
      </c>
      <c r="I1510" s="256"/>
      <c r="J1510" s="256"/>
      <c r="K1510" s="614">
        <v>72293456</v>
      </c>
      <c r="L1510" s="615" t="s">
        <v>23</v>
      </c>
      <c r="M1510" s="615" t="s">
        <v>259</v>
      </c>
      <c r="N1510" s="52" t="str">
        <f>IF(AND('331-CT'!$E$7=TH!H1510,OR(L1510="331",M1510="331")),"331",IF(AND(OR(L1510="131",M1510="131"),H1510='131-CT'!$E$7),"131",""))</f>
        <v>131</v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894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>
        <f t="shared" si="119"/>
        <v>9</v>
      </c>
      <c r="C1511" s="37">
        <f t="shared" ref="C1511:C1521" si="122">E1511</f>
        <v>40795</v>
      </c>
      <c r="D1511" s="37" t="s">
        <v>1110</v>
      </c>
      <c r="E1511" s="794">
        <v>40795</v>
      </c>
      <c r="F1511" s="40" t="s">
        <v>605</v>
      </c>
      <c r="G1511" s="40"/>
      <c r="H1511" s="628" t="s">
        <v>1092</v>
      </c>
      <c r="I1511" s="256">
        <v>32</v>
      </c>
      <c r="J1511" s="256">
        <v>27370</v>
      </c>
      <c r="K1511" s="614">
        <f t="shared" ref="K1511:K1521" si="123">ROUND(I1511*J1511,0)</f>
        <v>875840</v>
      </c>
      <c r="L1511" s="39" t="s">
        <v>157</v>
      </c>
      <c r="M1511" s="39" t="s">
        <v>151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894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>
        <f t="shared" si="119"/>
        <v>9</v>
      </c>
      <c r="C1512" s="37">
        <f t="shared" si="122"/>
        <v>40797</v>
      </c>
      <c r="D1512" s="37" t="s">
        <v>1111</v>
      </c>
      <c r="E1512" s="794">
        <v>40797</v>
      </c>
      <c r="F1512" s="189" t="s">
        <v>578</v>
      </c>
      <c r="G1512" s="40"/>
      <c r="H1512" s="628" t="s">
        <v>1092</v>
      </c>
      <c r="I1512" s="256">
        <v>100</v>
      </c>
      <c r="J1512" s="256">
        <v>10344</v>
      </c>
      <c r="K1512" s="614">
        <f t="shared" si="123"/>
        <v>1034400</v>
      </c>
      <c r="L1512" s="39" t="s">
        <v>157</v>
      </c>
      <c r="M1512" s="39" t="s">
        <v>151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894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>
        <f t="shared" si="119"/>
        <v>9</v>
      </c>
      <c r="C1513" s="37">
        <f t="shared" si="122"/>
        <v>40797</v>
      </c>
      <c r="D1513" s="37" t="s">
        <v>1111</v>
      </c>
      <c r="E1513" s="794">
        <v>40797</v>
      </c>
      <c r="F1513" s="189" t="s">
        <v>519</v>
      </c>
      <c r="G1513" s="40"/>
      <c r="H1513" s="628" t="s">
        <v>1092</v>
      </c>
      <c r="I1513" s="256">
        <v>193</v>
      </c>
      <c r="J1513" s="256">
        <v>10603</v>
      </c>
      <c r="K1513" s="614">
        <f t="shared" si="123"/>
        <v>2046379</v>
      </c>
      <c r="L1513" s="39" t="s">
        <v>157</v>
      </c>
      <c r="M1513" s="39" t="s">
        <v>151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894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>
        <f t="shared" si="119"/>
        <v>9</v>
      </c>
      <c r="C1514" s="37">
        <f t="shared" si="122"/>
        <v>40797</v>
      </c>
      <c r="D1514" s="37" t="s">
        <v>1111</v>
      </c>
      <c r="E1514" s="794">
        <v>40797</v>
      </c>
      <c r="F1514" s="189" t="s">
        <v>387</v>
      </c>
      <c r="G1514" s="40"/>
      <c r="H1514" s="628" t="s">
        <v>1092</v>
      </c>
      <c r="I1514" s="839">
        <v>44</v>
      </c>
      <c r="J1514" s="256">
        <v>4449</v>
      </c>
      <c r="K1514" s="614">
        <f t="shared" si="123"/>
        <v>195756</v>
      </c>
      <c r="L1514" s="39" t="s">
        <v>157</v>
      </c>
      <c r="M1514" s="39" t="s">
        <v>151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>x</v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894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>
        <f t="shared" si="119"/>
        <v>9</v>
      </c>
      <c r="C1515" s="37">
        <f t="shared" si="122"/>
        <v>40797</v>
      </c>
      <c r="D1515" s="37" t="s">
        <v>1111</v>
      </c>
      <c r="E1515" s="794">
        <v>40797</v>
      </c>
      <c r="F1515" s="189" t="s">
        <v>631</v>
      </c>
      <c r="G1515" s="40"/>
      <c r="H1515" s="628" t="s">
        <v>1092</v>
      </c>
      <c r="I1515" s="256">
        <v>364</v>
      </c>
      <c r="J1515" s="256">
        <v>21455</v>
      </c>
      <c r="K1515" s="614">
        <f t="shared" si="123"/>
        <v>7809620</v>
      </c>
      <c r="L1515" s="39" t="s">
        <v>157</v>
      </c>
      <c r="M1515" s="39" t="s">
        <v>151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894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>
        <f t="shared" si="119"/>
        <v>9</v>
      </c>
      <c r="C1516" s="37">
        <f t="shared" si="122"/>
        <v>40797</v>
      </c>
      <c r="D1516" s="37" t="s">
        <v>1111</v>
      </c>
      <c r="E1516" s="794">
        <v>40797</v>
      </c>
      <c r="F1516" s="189" t="s">
        <v>518</v>
      </c>
      <c r="G1516" s="40"/>
      <c r="H1516" s="628" t="s">
        <v>1092</v>
      </c>
      <c r="I1516" s="256">
        <v>840</v>
      </c>
      <c r="J1516" s="256">
        <v>10930</v>
      </c>
      <c r="K1516" s="614">
        <f t="shared" si="123"/>
        <v>9181200</v>
      </c>
      <c r="L1516" s="39" t="s">
        <v>157</v>
      </c>
      <c r="M1516" s="39" t="s">
        <v>151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894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>
        <f t="shared" si="119"/>
        <v>9</v>
      </c>
      <c r="C1517" s="37">
        <f t="shared" si="122"/>
        <v>40797</v>
      </c>
      <c r="D1517" s="37" t="s">
        <v>1111</v>
      </c>
      <c r="E1517" s="794">
        <v>40797</v>
      </c>
      <c r="F1517" s="189" t="s">
        <v>632</v>
      </c>
      <c r="G1517" s="40"/>
      <c r="H1517" s="628" t="s">
        <v>1092</v>
      </c>
      <c r="I1517" s="256">
        <v>260</v>
      </c>
      <c r="J1517" s="256">
        <v>11385</v>
      </c>
      <c r="K1517" s="614">
        <f t="shared" si="123"/>
        <v>2960100</v>
      </c>
      <c r="L1517" s="39" t="s">
        <v>157</v>
      </c>
      <c r="M1517" s="39" t="s">
        <v>151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894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>
        <f t="shared" si="119"/>
        <v>9</v>
      </c>
      <c r="C1518" s="37">
        <f t="shared" si="122"/>
        <v>40797</v>
      </c>
      <c r="D1518" s="37" t="s">
        <v>1111</v>
      </c>
      <c r="E1518" s="794">
        <v>40797</v>
      </c>
      <c r="F1518" s="189" t="s">
        <v>631</v>
      </c>
      <c r="G1518" s="40"/>
      <c r="H1518" s="628" t="s">
        <v>1092</v>
      </c>
      <c r="I1518" s="256">
        <v>757</v>
      </c>
      <c r="J1518" s="256">
        <v>21455</v>
      </c>
      <c r="K1518" s="614">
        <f t="shared" si="123"/>
        <v>16241435</v>
      </c>
      <c r="L1518" s="39" t="s">
        <v>157</v>
      </c>
      <c r="M1518" s="39" t="s">
        <v>151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894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>
        <f t="shared" si="119"/>
        <v>9</v>
      </c>
      <c r="C1519" s="37">
        <f t="shared" si="122"/>
        <v>40797</v>
      </c>
      <c r="D1519" s="37" t="s">
        <v>1111</v>
      </c>
      <c r="E1519" s="794">
        <v>40797</v>
      </c>
      <c r="F1519" s="189" t="s">
        <v>543</v>
      </c>
      <c r="G1519" s="40"/>
      <c r="H1519" s="628" t="s">
        <v>1092</v>
      </c>
      <c r="I1519" s="256">
        <v>130</v>
      </c>
      <c r="J1519" s="256">
        <v>28059</v>
      </c>
      <c r="K1519" s="614">
        <f t="shared" si="123"/>
        <v>3647670</v>
      </c>
      <c r="L1519" s="39" t="s">
        <v>157</v>
      </c>
      <c r="M1519" s="39" t="s">
        <v>151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894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>
        <f t="shared" si="119"/>
        <v>9</v>
      </c>
      <c r="C1520" s="37">
        <f t="shared" si="122"/>
        <v>40797</v>
      </c>
      <c r="D1520" s="37" t="s">
        <v>1111</v>
      </c>
      <c r="E1520" s="794">
        <v>40797</v>
      </c>
      <c r="F1520" s="189" t="s">
        <v>568</v>
      </c>
      <c r="G1520" s="40"/>
      <c r="H1520" s="628" t="s">
        <v>1092</v>
      </c>
      <c r="I1520" s="256">
        <v>21</v>
      </c>
      <c r="J1520" s="256">
        <v>24030</v>
      </c>
      <c r="K1520" s="614">
        <f t="shared" si="123"/>
        <v>504630</v>
      </c>
      <c r="L1520" s="39" t="s">
        <v>157</v>
      </c>
      <c r="M1520" s="39" t="s">
        <v>151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894"/>
    </row>
    <row r="1521" spans="1:28" ht="15.75" customHeight="1">
      <c r="A1521" s="204" t="str">
        <f>IF(B1521&lt;&gt;"",IF(AND(B1521&gt;=_TM1,B1521&lt;=_TM2,OR(TH!L1521="1111",TH!M1521="1111")),TH!D1521,""),"")</f>
        <v/>
      </c>
      <c r="B1521" s="36">
        <f t="shared" si="119"/>
        <v>9</v>
      </c>
      <c r="C1521" s="37">
        <f t="shared" si="122"/>
        <v>40797</v>
      </c>
      <c r="D1521" s="37" t="s">
        <v>1111</v>
      </c>
      <c r="E1521" s="794">
        <v>40797</v>
      </c>
      <c r="F1521" s="189" t="s">
        <v>551</v>
      </c>
      <c r="G1521" s="40"/>
      <c r="H1521" s="628" t="s">
        <v>1092</v>
      </c>
      <c r="I1521" s="256">
        <v>10</v>
      </c>
      <c r="J1521" s="256">
        <v>16973</v>
      </c>
      <c r="K1521" s="614">
        <f t="shared" si="123"/>
        <v>169730</v>
      </c>
      <c r="L1521" s="39" t="s">
        <v>157</v>
      </c>
      <c r="M1521" s="39" t="s">
        <v>151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894"/>
    </row>
    <row r="1522" spans="1:28" ht="15.75" customHeight="1">
      <c r="A1522" s="204" t="str">
        <f>IF(B1522&lt;&gt;"",IF(AND(B1522&gt;=_TM1,B1522&lt;=_TM2,OR(TH!L1522="1111",TH!M1522="1111")),TH!D1522,""),"")</f>
        <v/>
      </c>
      <c r="B1522" s="36">
        <f t="shared" si="119"/>
        <v>9</v>
      </c>
      <c r="C1522" s="184">
        <v>40798</v>
      </c>
      <c r="D1522" s="184" t="s">
        <v>954</v>
      </c>
      <c r="E1522" s="184">
        <v>40798</v>
      </c>
      <c r="F1522" s="189" t="s">
        <v>1156</v>
      </c>
      <c r="G1522" s="616" t="s">
        <v>330</v>
      </c>
      <c r="H1522" s="193" t="s">
        <v>363</v>
      </c>
      <c r="I1522" s="256"/>
      <c r="J1522" s="256"/>
      <c r="K1522" s="614">
        <v>86000000</v>
      </c>
      <c r="L1522" s="615" t="s">
        <v>46</v>
      </c>
      <c r="M1522" s="194" t="s">
        <v>23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>x</v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894"/>
    </row>
    <row r="1523" spans="1:28" ht="15.75" customHeight="1">
      <c r="A1523" s="204" t="str">
        <f>IF(B1523&lt;&gt;"",IF(AND(B1523&gt;=_TM1,B1523&lt;=_TM2,OR(TH!L1523="1111",TH!M1523="1111")),TH!D1523,""),"")</f>
        <v/>
      </c>
      <c r="B1523" s="36">
        <f t="shared" si="119"/>
        <v>9</v>
      </c>
      <c r="C1523" s="191">
        <v>40799</v>
      </c>
      <c r="D1523" s="184" t="s">
        <v>664</v>
      </c>
      <c r="E1523" s="191">
        <v>40799</v>
      </c>
      <c r="F1523" s="192" t="s">
        <v>1157</v>
      </c>
      <c r="G1523" s="498" t="s">
        <v>1158</v>
      </c>
      <c r="H1523" s="193" t="s">
        <v>1159</v>
      </c>
      <c r="I1523" s="256"/>
      <c r="J1523" s="256"/>
      <c r="K1523" s="38">
        <v>6089091</v>
      </c>
      <c r="L1523" s="194" t="s">
        <v>768</v>
      </c>
      <c r="M1523" s="194" t="s">
        <v>46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>x</v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894"/>
    </row>
    <row r="1524" spans="1:28" ht="15.75" customHeight="1">
      <c r="A1524" s="204" t="str">
        <f>IF(B1524&lt;&gt;"",IF(AND(B1524&gt;=_TM1,B1524&lt;=_TM2,OR(TH!L1524="1111",TH!M1524="1111")),TH!D1524,""),"")</f>
        <v/>
      </c>
      <c r="B1524" s="36">
        <f t="shared" si="119"/>
        <v>9</v>
      </c>
      <c r="C1524" s="191">
        <v>40799</v>
      </c>
      <c r="D1524" s="184" t="s">
        <v>664</v>
      </c>
      <c r="E1524" s="191">
        <v>40799</v>
      </c>
      <c r="F1524" s="192" t="s">
        <v>1160</v>
      </c>
      <c r="G1524" s="498" t="s">
        <v>1158</v>
      </c>
      <c r="H1524" s="193" t="s">
        <v>1159</v>
      </c>
      <c r="I1524" s="256"/>
      <c r="J1524" s="256"/>
      <c r="K1524" s="38">
        <v>608909</v>
      </c>
      <c r="L1524" s="194" t="s">
        <v>9</v>
      </c>
      <c r="M1524" s="194" t="s">
        <v>46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>x</v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894"/>
      <c r="AB1524" s="198">
        <v>9</v>
      </c>
    </row>
    <row r="1525" spans="1:28" ht="15.75" customHeight="1">
      <c r="A1525" s="204" t="str">
        <f>IF(B1525&lt;&gt;"",IF(AND(B1525&gt;=_TM1,B1525&lt;=_TM2,OR(TH!L1525="1111",TH!M1525="1111")),TH!D1525,""),"")</f>
        <v/>
      </c>
      <c r="B1525" s="36">
        <f t="shared" si="119"/>
        <v>9</v>
      </c>
      <c r="C1525" s="191">
        <v>40801</v>
      </c>
      <c r="D1525" s="191" t="s">
        <v>950</v>
      </c>
      <c r="E1525" s="191">
        <v>40801</v>
      </c>
      <c r="F1525" s="192" t="s">
        <v>335</v>
      </c>
      <c r="G1525" s="498" t="s">
        <v>1193</v>
      </c>
      <c r="H1525" s="193" t="s">
        <v>760</v>
      </c>
      <c r="I1525" s="256"/>
      <c r="J1525" s="256"/>
      <c r="K1525" s="614">
        <v>7139000</v>
      </c>
      <c r="L1525" s="194" t="s">
        <v>46</v>
      </c>
      <c r="M1525" s="194" t="s">
        <v>259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>x</v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94"/>
    </row>
    <row r="1526" spans="1:28" ht="15.75" customHeight="1">
      <c r="A1526" s="204" t="str">
        <f>IF(B1526&lt;&gt;"",IF(AND(B1526&gt;=_TM1,B1526&lt;=_TM2,OR(TH!L1526="1111",TH!M1526="1111")),TH!D1526,""),"")</f>
        <v/>
      </c>
      <c r="B1526" s="36">
        <f t="shared" si="119"/>
        <v>9</v>
      </c>
      <c r="C1526" s="191">
        <v>40801</v>
      </c>
      <c r="D1526" s="191" t="s">
        <v>977</v>
      </c>
      <c r="E1526" s="191">
        <v>40801</v>
      </c>
      <c r="F1526" s="192" t="s">
        <v>1019</v>
      </c>
      <c r="G1526" s="498" t="s">
        <v>1193</v>
      </c>
      <c r="H1526" s="193" t="s">
        <v>760</v>
      </c>
      <c r="I1526" s="256">
        <v>590</v>
      </c>
      <c r="J1526" s="256">
        <v>11000</v>
      </c>
      <c r="K1526" s="614">
        <v>6490000</v>
      </c>
      <c r="L1526" s="194" t="s">
        <v>259</v>
      </c>
      <c r="M1526" s="194" t="s">
        <v>167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894"/>
    </row>
    <row r="1527" spans="1:28" ht="15.75" customHeight="1">
      <c r="A1527" s="204" t="str">
        <f>IF(B1527&lt;&gt;"",IF(AND(B1527&gt;=_TM1,B1527&lt;=_TM2,OR(TH!L1527="1111",TH!M1527="1111")),TH!D1527,""),"")</f>
        <v/>
      </c>
      <c r="B1527" s="36">
        <f t="shared" si="119"/>
        <v>9</v>
      </c>
      <c r="C1527" s="191">
        <v>40801</v>
      </c>
      <c r="D1527" s="191" t="s">
        <v>977</v>
      </c>
      <c r="E1527" s="191">
        <v>40801</v>
      </c>
      <c r="F1527" s="192" t="s">
        <v>1176</v>
      </c>
      <c r="G1527" s="498" t="s">
        <v>1193</v>
      </c>
      <c r="H1527" s="193" t="s">
        <v>760</v>
      </c>
      <c r="I1527" s="256"/>
      <c r="J1527" s="256"/>
      <c r="K1527" s="614">
        <v>649000</v>
      </c>
      <c r="L1527" s="194" t="s">
        <v>259</v>
      </c>
      <c r="M1527" s="194" t="s">
        <v>731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894"/>
    </row>
    <row r="1528" spans="1:28" ht="15.75" customHeight="1">
      <c r="A1528" s="204" t="str">
        <f>IF(B1528&lt;&gt;"",IF(AND(B1528&gt;=_TM1,B1528&lt;=_TM2,OR(TH!L1528="1111",TH!M1528="1111")),TH!D1528,""),"")</f>
        <v/>
      </c>
      <c r="B1528" s="36">
        <f t="shared" si="119"/>
        <v>9</v>
      </c>
      <c r="C1528" s="37">
        <f>E1528</f>
        <v>40801</v>
      </c>
      <c r="D1528" s="37" t="s">
        <v>1129</v>
      </c>
      <c r="E1528" s="37">
        <v>40801</v>
      </c>
      <c r="F1528" s="40" t="s">
        <v>1019</v>
      </c>
      <c r="G1528" s="40"/>
      <c r="H1528" s="628" t="s">
        <v>1092</v>
      </c>
      <c r="I1528" s="256">
        <v>590</v>
      </c>
      <c r="J1528" s="256">
        <v>8992.1377182043252</v>
      </c>
      <c r="K1528" s="614">
        <f>ROUND(I1528*J1528,0)</f>
        <v>5305361</v>
      </c>
      <c r="L1528" s="39" t="s">
        <v>159</v>
      </c>
      <c r="M1528" s="39" t="s">
        <v>157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894"/>
    </row>
    <row r="1529" spans="1:28" ht="15.75" customHeight="1">
      <c r="A1529" s="204" t="str">
        <f>IF(B1529&lt;&gt;"",IF(AND(B1529&gt;=_TM1,B1529&lt;=_TM2,OR(TH!L1529="1111",TH!M1529="1111")),TH!D1529,""),"")</f>
        <v/>
      </c>
      <c r="B1529" s="36">
        <f t="shared" si="119"/>
        <v>9</v>
      </c>
      <c r="C1529" s="37">
        <f>E1529</f>
        <v>40801</v>
      </c>
      <c r="D1529" s="37" t="s">
        <v>977</v>
      </c>
      <c r="E1529" s="37">
        <v>40801</v>
      </c>
      <c r="F1529" s="40" t="s">
        <v>1019</v>
      </c>
      <c r="G1529" s="40" t="s">
        <v>1193</v>
      </c>
      <c r="H1529" s="628" t="s">
        <v>760</v>
      </c>
      <c r="I1529" s="256">
        <v>590</v>
      </c>
      <c r="J1529" s="256">
        <v>8992.1377182043252</v>
      </c>
      <c r="K1529" s="614">
        <f>ROUND(I1529*J1529,0)</f>
        <v>5305361</v>
      </c>
      <c r="L1529" s="39" t="s">
        <v>165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894"/>
    </row>
    <row r="1530" spans="1:28" ht="15.75" customHeight="1">
      <c r="A1530" s="204" t="str">
        <f>IF(B1530&lt;&gt;"",IF(AND(B1530&gt;=_TM1,B1530&lt;=_TM2,OR(TH!L1530="1111",TH!M1530="1111")),TH!D1530,""),"")</f>
        <v/>
      </c>
      <c r="B1530" s="36">
        <f t="shared" si="119"/>
        <v>9</v>
      </c>
      <c r="C1530" s="184">
        <v>40802</v>
      </c>
      <c r="D1530" s="184" t="s">
        <v>665</v>
      </c>
      <c r="E1530" s="184">
        <v>40802</v>
      </c>
      <c r="F1530" s="189" t="s">
        <v>362</v>
      </c>
      <c r="G1530" s="616" t="s">
        <v>330</v>
      </c>
      <c r="H1530" s="193" t="s">
        <v>363</v>
      </c>
      <c r="I1530" s="256"/>
      <c r="J1530" s="256"/>
      <c r="K1530" s="614">
        <v>33000000</v>
      </c>
      <c r="L1530" s="615" t="s">
        <v>23</v>
      </c>
      <c r="M1530" s="615" t="s">
        <v>46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>x</v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894"/>
    </row>
    <row r="1531" spans="1:28" ht="15.75" customHeight="1">
      <c r="A1531" s="204" t="str">
        <f>IF(B1531&lt;&gt;"",IF(AND(B1531&gt;=_TM1,B1531&lt;=_TM2,OR(TH!L1531="1111",TH!M1531="1111")),TH!D1531,""),"")</f>
        <v/>
      </c>
      <c r="B1531" s="36">
        <f t="shared" si="119"/>
        <v>9</v>
      </c>
      <c r="C1531" s="184">
        <v>40802</v>
      </c>
      <c r="D1531" s="184" t="s">
        <v>334</v>
      </c>
      <c r="E1531" s="184">
        <v>40802</v>
      </c>
      <c r="F1531" s="189" t="s">
        <v>367</v>
      </c>
      <c r="G1531" s="616" t="s">
        <v>330</v>
      </c>
      <c r="H1531" s="7" t="s">
        <v>548</v>
      </c>
      <c r="I1531" s="256"/>
      <c r="J1531" s="256"/>
      <c r="K1531" s="614">
        <v>23413000</v>
      </c>
      <c r="L1531" s="615" t="s">
        <v>8</v>
      </c>
      <c r="M1531" s="615" t="s">
        <v>23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894"/>
    </row>
    <row r="1532" spans="1:28" ht="15.75" customHeight="1">
      <c r="A1532" s="204" t="str">
        <f>IF(B1532&lt;&gt;"",IF(AND(B1532&gt;=_TM1,B1532&lt;=_TM2,OR(TH!L1532="1111",TH!M1532="1111")),TH!D1532,""),"")</f>
        <v/>
      </c>
      <c r="B1532" s="36">
        <f t="shared" si="119"/>
        <v>9</v>
      </c>
      <c r="C1532" s="184">
        <v>40802</v>
      </c>
      <c r="D1532" s="184" t="s">
        <v>334</v>
      </c>
      <c r="E1532" s="184">
        <v>40802</v>
      </c>
      <c r="F1532" s="189" t="s">
        <v>367</v>
      </c>
      <c r="G1532" s="616" t="s">
        <v>330</v>
      </c>
      <c r="H1532" s="7" t="s">
        <v>499</v>
      </c>
      <c r="I1532" s="256"/>
      <c r="J1532" s="256"/>
      <c r="K1532" s="614">
        <v>10000000</v>
      </c>
      <c r="L1532" s="615" t="s">
        <v>8</v>
      </c>
      <c r="M1532" s="615" t="s">
        <v>23</v>
      </c>
      <c r="N1532" s="52" t="str">
        <f>IF(AND('331-CT'!$E$7=TH!H1532,OR(L1532="331",M1532="331")),"331",IF(AND(OR(L1532="131",M1532="131"),H1532='131-CT'!$E$7),"131",""))</f>
        <v>331</v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894"/>
    </row>
    <row r="1533" spans="1:28" ht="15.75" customHeight="1">
      <c r="A1533" s="204" t="str">
        <f>IF(B1533&lt;&gt;"",IF(AND(B1533&gt;=_TM1,B1533&lt;=_TM2,OR(TH!L1533="1111",TH!M1533="1111")),TH!D1533,""),"")</f>
        <v/>
      </c>
      <c r="B1533" s="36">
        <f t="shared" si="119"/>
        <v>9</v>
      </c>
      <c r="C1533" s="184">
        <v>40802</v>
      </c>
      <c r="D1533" s="184" t="s">
        <v>334</v>
      </c>
      <c r="E1533" s="184">
        <v>40802</v>
      </c>
      <c r="F1533" s="189" t="s">
        <v>370</v>
      </c>
      <c r="G1533" s="616" t="s">
        <v>330</v>
      </c>
      <c r="H1533" s="7"/>
      <c r="I1533" s="256"/>
      <c r="J1533" s="256"/>
      <c r="K1533" s="614">
        <v>9091</v>
      </c>
      <c r="L1533" s="615" t="s">
        <v>75</v>
      </c>
      <c r="M1533" s="615" t="s">
        <v>23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>x</v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894"/>
    </row>
    <row r="1534" spans="1:28" ht="15.75" customHeight="1">
      <c r="A1534" s="204" t="str">
        <f>IF(B1534&lt;&gt;"",IF(AND(B1534&gt;=_TM1,B1534&lt;=_TM2,OR(TH!L1534="1111",TH!M1534="1111")),TH!D1534,""),"")</f>
        <v/>
      </c>
      <c r="B1534" s="36">
        <f t="shared" si="119"/>
        <v>9</v>
      </c>
      <c r="C1534" s="184">
        <v>40802</v>
      </c>
      <c r="D1534" s="184" t="s">
        <v>334</v>
      </c>
      <c r="E1534" s="184">
        <v>40802</v>
      </c>
      <c r="F1534" s="189" t="s">
        <v>1433</v>
      </c>
      <c r="G1534" s="616" t="s">
        <v>330</v>
      </c>
      <c r="H1534" s="7"/>
      <c r="I1534" s="256"/>
      <c r="J1534" s="256"/>
      <c r="K1534" s="614">
        <v>909</v>
      </c>
      <c r="L1534" s="615" t="s">
        <v>9</v>
      </c>
      <c r="M1534" s="615" t="s">
        <v>23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894"/>
      <c r="AB1534" s="198">
        <v>9</v>
      </c>
    </row>
    <row r="1535" spans="1:28" ht="15.75" customHeight="1">
      <c r="A1535" s="204" t="str">
        <f>IF(B1535&lt;&gt;"",IF(AND(B1535&gt;=_TM1,B1535&lt;=_TM2,OR(TH!L1535="1111",TH!M1535="1111")),TH!D1535,""),"")</f>
        <v/>
      </c>
      <c r="B1535" s="36">
        <f t="shared" si="119"/>
        <v>9</v>
      </c>
      <c r="C1535" s="184">
        <v>40802</v>
      </c>
      <c r="D1535" s="184" t="s">
        <v>334</v>
      </c>
      <c r="E1535" s="184">
        <v>40802</v>
      </c>
      <c r="F1535" s="189" t="s">
        <v>336</v>
      </c>
      <c r="G1535" s="616" t="s">
        <v>330</v>
      </c>
      <c r="H1535" s="7"/>
      <c r="I1535" s="256"/>
      <c r="J1535" s="256"/>
      <c r="K1535" s="614">
        <v>9091</v>
      </c>
      <c r="L1535" s="615" t="s">
        <v>75</v>
      </c>
      <c r="M1535" s="615" t="s">
        <v>23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>x</v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894"/>
    </row>
    <row r="1536" spans="1:28" ht="15.75" customHeight="1">
      <c r="A1536" s="204" t="str">
        <f>IF(B1536&lt;&gt;"",IF(AND(B1536&gt;=_TM1,B1536&lt;=_TM2,OR(TH!L1536="1111",TH!M1536="1111")),TH!D1536,""),"")</f>
        <v/>
      </c>
      <c r="B1536" s="36">
        <f t="shared" si="119"/>
        <v>9</v>
      </c>
      <c r="C1536" s="184">
        <v>40802</v>
      </c>
      <c r="D1536" s="184" t="s">
        <v>334</v>
      </c>
      <c r="E1536" s="184">
        <v>40802</v>
      </c>
      <c r="F1536" s="189" t="s">
        <v>1434</v>
      </c>
      <c r="G1536" s="616" t="s">
        <v>330</v>
      </c>
      <c r="H1536" s="7"/>
      <c r="I1536" s="256"/>
      <c r="J1536" s="256"/>
      <c r="K1536" s="614">
        <v>909</v>
      </c>
      <c r="L1536" s="615" t="s">
        <v>9</v>
      </c>
      <c r="M1536" s="615" t="s">
        <v>23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894"/>
      <c r="AB1536" s="198">
        <v>9</v>
      </c>
    </row>
    <row r="1537" spans="1:28" ht="15.75" customHeight="1">
      <c r="A1537" s="204" t="str">
        <f>IF(B1537&lt;&gt;"",IF(AND(B1537&gt;=_TM1,B1537&lt;=_TM2,OR(TH!L1537="1111",TH!M1537="1111")),TH!D1537,""),"")</f>
        <v/>
      </c>
      <c r="B1537" s="36">
        <f t="shared" si="119"/>
        <v>9</v>
      </c>
      <c r="C1537" s="191">
        <v>40803</v>
      </c>
      <c r="D1537" s="184" t="s">
        <v>667</v>
      </c>
      <c r="E1537" s="191">
        <v>40803</v>
      </c>
      <c r="F1537" s="192" t="s">
        <v>448</v>
      </c>
      <c r="G1537" s="498" t="s">
        <v>1161</v>
      </c>
      <c r="H1537" s="45" t="s">
        <v>451</v>
      </c>
      <c r="I1537" s="256"/>
      <c r="J1537" s="256"/>
      <c r="K1537" s="614">
        <v>250580</v>
      </c>
      <c r="L1537" s="194" t="s">
        <v>157</v>
      </c>
      <c r="M1537" s="194" t="s">
        <v>46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>x</v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894"/>
    </row>
    <row r="1538" spans="1:28" ht="15.75" customHeight="1">
      <c r="A1538" s="204" t="str">
        <f>IF(B1538&lt;&gt;"",IF(AND(B1538&gt;=_TM1,B1538&lt;=_TM2,OR(TH!L1538="1111",TH!M1538="1111")),TH!D1538,""),"")</f>
        <v/>
      </c>
      <c r="B1538" s="36">
        <f t="shared" si="119"/>
        <v>9</v>
      </c>
      <c r="C1538" s="191">
        <v>40803</v>
      </c>
      <c r="D1538" s="184" t="s">
        <v>667</v>
      </c>
      <c r="E1538" s="191">
        <v>40803</v>
      </c>
      <c r="F1538" s="192" t="s">
        <v>449</v>
      </c>
      <c r="G1538" s="498" t="s">
        <v>1161</v>
      </c>
      <c r="H1538" s="45" t="s">
        <v>451</v>
      </c>
      <c r="I1538" s="256"/>
      <c r="J1538" s="256"/>
      <c r="K1538" s="38">
        <v>25058</v>
      </c>
      <c r="L1538" s="194" t="s">
        <v>9</v>
      </c>
      <c r="M1538" s="194" t="s">
        <v>46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>x</v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894"/>
      <c r="AB1538" s="198">
        <v>9</v>
      </c>
    </row>
    <row r="1539" spans="1:28" ht="15.75" customHeight="1">
      <c r="A1539" s="204" t="str">
        <f>IF(B1539&lt;&gt;"",IF(AND(B1539&gt;=_TM1,B1539&lt;=_TM2,OR(TH!L1539="1111",TH!M1539="1111")),TH!D1539,""),"")</f>
        <v/>
      </c>
      <c r="B1539" s="36">
        <f t="shared" si="119"/>
        <v>9</v>
      </c>
      <c r="C1539" s="37">
        <f t="shared" ref="C1539:C1546" si="124">E1539</f>
        <v>40803</v>
      </c>
      <c r="D1539" s="37" t="s">
        <v>1214</v>
      </c>
      <c r="E1539" s="794">
        <v>40803</v>
      </c>
      <c r="F1539" s="189" t="s">
        <v>578</v>
      </c>
      <c r="G1539" s="40"/>
      <c r="H1539" s="628" t="s">
        <v>1092</v>
      </c>
      <c r="I1539" s="256">
        <v>53</v>
      </c>
      <c r="J1539" s="256">
        <v>10344</v>
      </c>
      <c r="K1539" s="614">
        <f t="shared" ref="K1539:K1546" si="125">ROUND(I1539*J1539,0)</f>
        <v>548232</v>
      </c>
      <c r="L1539" s="39" t="s">
        <v>157</v>
      </c>
      <c r="M1539" s="39" t="s">
        <v>151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894"/>
    </row>
    <row r="1540" spans="1:28" ht="15.75" customHeight="1">
      <c r="A1540" s="204" t="str">
        <f>IF(B1540&lt;&gt;"",IF(AND(B1540&gt;=_TM1,B1540&lt;=_TM2,OR(TH!L1540="1111",TH!M1540="1111")),TH!D1540,""),"")</f>
        <v/>
      </c>
      <c r="B1540" s="36">
        <f t="shared" si="119"/>
        <v>9</v>
      </c>
      <c r="C1540" s="37">
        <f t="shared" si="124"/>
        <v>40803</v>
      </c>
      <c r="D1540" s="37" t="s">
        <v>1214</v>
      </c>
      <c r="E1540" s="794">
        <v>40803</v>
      </c>
      <c r="F1540" s="298" t="s">
        <v>479</v>
      </c>
      <c r="G1540" s="40"/>
      <c r="H1540" s="628" t="s">
        <v>1092</v>
      </c>
      <c r="I1540" s="256">
        <v>499</v>
      </c>
      <c r="J1540" s="256">
        <v>6026</v>
      </c>
      <c r="K1540" s="614">
        <f t="shared" si="125"/>
        <v>3006974</v>
      </c>
      <c r="L1540" s="39" t="s">
        <v>157</v>
      </c>
      <c r="M1540" s="39" t="s">
        <v>151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894"/>
    </row>
    <row r="1541" spans="1:28" ht="15.75" customHeight="1">
      <c r="A1541" s="204" t="str">
        <f>IF(B1541&lt;&gt;"",IF(AND(B1541&gt;=_TM1,B1541&lt;=_TM2,OR(TH!L1541="1111",TH!M1541="1111")),TH!D1541,""),"")</f>
        <v/>
      </c>
      <c r="B1541" s="36">
        <f t="shared" si="119"/>
        <v>9</v>
      </c>
      <c r="C1541" s="37">
        <f t="shared" si="124"/>
        <v>40803</v>
      </c>
      <c r="D1541" s="37" t="s">
        <v>1214</v>
      </c>
      <c r="E1541" s="794">
        <v>40803</v>
      </c>
      <c r="F1541" s="189" t="s">
        <v>387</v>
      </c>
      <c r="G1541" s="40"/>
      <c r="H1541" s="628" t="s">
        <v>1092</v>
      </c>
      <c r="I1541" s="839">
        <v>2</v>
      </c>
      <c r="J1541" s="256">
        <v>4449</v>
      </c>
      <c r="K1541" s="614">
        <f t="shared" si="125"/>
        <v>8898</v>
      </c>
      <c r="L1541" s="39" t="s">
        <v>157</v>
      </c>
      <c r="M1541" s="39" t="s">
        <v>151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>x</v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894"/>
    </row>
    <row r="1542" spans="1:28" ht="15.75" customHeight="1">
      <c r="A1542" s="204" t="str">
        <f>IF(B1542&lt;&gt;"",IF(AND(B1542&gt;=_TM1,B1542&lt;=_TM2,OR(TH!L1542="1111",TH!M1542="1111")),TH!D1542,""),"")</f>
        <v/>
      </c>
      <c r="B1542" s="36">
        <f t="shared" si="119"/>
        <v>9</v>
      </c>
      <c r="C1542" s="37">
        <f t="shared" si="124"/>
        <v>40803</v>
      </c>
      <c r="D1542" s="37" t="s">
        <v>1214</v>
      </c>
      <c r="E1542" s="794">
        <v>40803</v>
      </c>
      <c r="F1542" s="40" t="s">
        <v>602</v>
      </c>
      <c r="G1542" s="40"/>
      <c r="H1542" s="628" t="s">
        <v>1092</v>
      </c>
      <c r="I1542" s="256">
        <v>6</v>
      </c>
      <c r="J1542" s="256">
        <v>13090</v>
      </c>
      <c r="K1542" s="614">
        <f t="shared" si="125"/>
        <v>78540</v>
      </c>
      <c r="L1542" s="39" t="s">
        <v>157</v>
      </c>
      <c r="M1542" s="39" t="s">
        <v>151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894"/>
    </row>
    <row r="1543" spans="1:28" ht="15.75" customHeight="1">
      <c r="A1543" s="204" t="str">
        <f>IF(B1543&lt;&gt;"",IF(AND(B1543&gt;=_TM1,B1543&lt;=_TM2,OR(TH!L1543="1111",TH!M1543="1111")),TH!D1543,""),"")</f>
        <v/>
      </c>
      <c r="B1543" s="36">
        <f t="shared" si="119"/>
        <v>9</v>
      </c>
      <c r="C1543" s="37">
        <f t="shared" si="124"/>
        <v>40803</v>
      </c>
      <c r="D1543" s="37" t="s">
        <v>1214</v>
      </c>
      <c r="E1543" s="794">
        <v>40803</v>
      </c>
      <c r="F1543" s="189" t="s">
        <v>523</v>
      </c>
      <c r="G1543" s="40"/>
      <c r="H1543" s="628" t="s">
        <v>1092</v>
      </c>
      <c r="I1543" s="256">
        <v>1</v>
      </c>
      <c r="J1543" s="256">
        <v>7268</v>
      </c>
      <c r="K1543" s="614">
        <f t="shared" si="125"/>
        <v>7268</v>
      </c>
      <c r="L1543" s="39" t="s">
        <v>157</v>
      </c>
      <c r="M1543" s="39" t="s">
        <v>151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894"/>
    </row>
    <row r="1544" spans="1:28" ht="15.75" customHeight="1">
      <c r="A1544" s="204" t="str">
        <f>IF(B1544&lt;&gt;"",IF(AND(B1544&gt;=_TM1,B1544&lt;=_TM2,OR(TH!L1544="1111",TH!M1544="1111")),TH!D1544,""),"")</f>
        <v/>
      </c>
      <c r="B1544" s="36">
        <f t="shared" si="119"/>
        <v>9</v>
      </c>
      <c r="C1544" s="37">
        <f t="shared" si="124"/>
        <v>40803</v>
      </c>
      <c r="D1544" s="37" t="s">
        <v>1214</v>
      </c>
      <c r="E1544" s="794">
        <v>40803</v>
      </c>
      <c r="F1544" s="189" t="s">
        <v>387</v>
      </c>
      <c r="G1544" s="40"/>
      <c r="H1544" s="628" t="s">
        <v>1092</v>
      </c>
      <c r="I1544" s="839">
        <v>6</v>
      </c>
      <c r="J1544" s="256">
        <v>4449</v>
      </c>
      <c r="K1544" s="614">
        <f t="shared" si="125"/>
        <v>26694</v>
      </c>
      <c r="L1544" s="39" t="s">
        <v>157</v>
      </c>
      <c r="M1544" s="39" t="s">
        <v>151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>x</v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894"/>
    </row>
    <row r="1545" spans="1:28" ht="15.75" customHeight="1">
      <c r="A1545" s="204" t="str">
        <f>IF(B1545&lt;&gt;"",IF(AND(B1545&gt;=_TM1,B1545&lt;=_TM2,OR(TH!L1545="1111",TH!M1545="1111")),TH!D1545,""),"")</f>
        <v/>
      </c>
      <c r="B1545" s="36">
        <f t="shared" si="119"/>
        <v>9</v>
      </c>
      <c r="C1545" s="37">
        <f t="shared" si="124"/>
        <v>40803</v>
      </c>
      <c r="D1545" s="37" t="s">
        <v>1214</v>
      </c>
      <c r="E1545" s="794">
        <v>40803</v>
      </c>
      <c r="F1545" s="189" t="s">
        <v>387</v>
      </c>
      <c r="G1545" s="40"/>
      <c r="H1545" s="628" t="s">
        <v>1092</v>
      </c>
      <c r="I1545" s="839">
        <v>2</v>
      </c>
      <c r="J1545" s="256">
        <v>4449</v>
      </c>
      <c r="K1545" s="614">
        <f t="shared" si="125"/>
        <v>8898</v>
      </c>
      <c r="L1545" s="39" t="s">
        <v>157</v>
      </c>
      <c r="M1545" s="39" t="s">
        <v>151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>x</v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894"/>
    </row>
    <row r="1546" spans="1:28" ht="15.75" customHeight="1">
      <c r="A1546" s="204" t="str">
        <f>IF(B1546&lt;&gt;"",IF(AND(B1546&gt;=_TM1,B1546&lt;=_TM2,OR(TH!L1546="1111",TH!M1546="1111")),TH!D1546,""),"")</f>
        <v/>
      </c>
      <c r="B1546" s="36">
        <f t="shared" si="119"/>
        <v>9</v>
      </c>
      <c r="C1546" s="37">
        <f t="shared" si="124"/>
        <v>40803</v>
      </c>
      <c r="D1546" s="37" t="s">
        <v>1214</v>
      </c>
      <c r="E1546" s="794">
        <v>40803</v>
      </c>
      <c r="F1546" s="189" t="s">
        <v>387</v>
      </c>
      <c r="G1546" s="40"/>
      <c r="H1546" s="628" t="s">
        <v>1092</v>
      </c>
      <c r="I1546" s="839">
        <v>2</v>
      </c>
      <c r="J1546" s="256">
        <v>4449</v>
      </c>
      <c r="K1546" s="614">
        <f t="shared" si="125"/>
        <v>8898</v>
      </c>
      <c r="L1546" s="39" t="s">
        <v>157</v>
      </c>
      <c r="M1546" s="39" t="s">
        <v>151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>x</v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894"/>
    </row>
    <row r="1547" spans="1:28" ht="15.75" customHeight="1">
      <c r="A1547" s="204" t="str">
        <f>IF(B1547&lt;&gt;"",IF(AND(B1547&gt;=_TM1,B1547&lt;=_TM2,OR(TH!L1547="1111",TH!M1547="1111")),TH!D1547,""),"")</f>
        <v/>
      </c>
      <c r="B1547" s="36">
        <f t="shared" si="119"/>
        <v>9</v>
      </c>
      <c r="C1547" s="191">
        <v>40804</v>
      </c>
      <c r="D1547" s="191" t="s">
        <v>978</v>
      </c>
      <c r="E1547" s="191">
        <v>40804</v>
      </c>
      <c r="F1547" s="192" t="s">
        <v>1020</v>
      </c>
      <c r="G1547" s="498" t="s">
        <v>1194</v>
      </c>
      <c r="H1547" s="193" t="s">
        <v>733</v>
      </c>
      <c r="I1547" s="256">
        <v>123</v>
      </c>
      <c r="J1547" s="256">
        <v>19061</v>
      </c>
      <c r="K1547" s="614">
        <v>2344503</v>
      </c>
      <c r="L1547" s="194" t="s">
        <v>259</v>
      </c>
      <c r="M1547" s="194" t="s">
        <v>167</v>
      </c>
      <c r="N1547" s="52" t="str">
        <f>IF(AND('331-CT'!$E$7=TH!H1547,OR(L1547="331",M1547="331")),"331",IF(AND(OR(L1547="131",M1547="131"),H1547='131-CT'!$E$7),"131",""))</f>
        <v>131</v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894"/>
    </row>
    <row r="1548" spans="1:28" ht="15.75" customHeight="1">
      <c r="A1548" s="204" t="str">
        <f>IF(B1548&lt;&gt;"",IF(AND(B1548&gt;=_TM1,B1548&lt;=_TM2,OR(TH!L1548="1111",TH!M1548="1111")),TH!D1548,""),"")</f>
        <v/>
      </c>
      <c r="B1548" s="36">
        <f t="shared" si="119"/>
        <v>9</v>
      </c>
      <c r="C1548" s="191">
        <v>40804</v>
      </c>
      <c r="D1548" s="191" t="s">
        <v>978</v>
      </c>
      <c r="E1548" s="191">
        <v>40804</v>
      </c>
      <c r="F1548" s="192" t="s">
        <v>1021</v>
      </c>
      <c r="G1548" s="498" t="s">
        <v>1194</v>
      </c>
      <c r="H1548" s="193" t="s">
        <v>733</v>
      </c>
      <c r="I1548" s="256">
        <v>122</v>
      </c>
      <c r="J1548" s="256">
        <v>13090</v>
      </c>
      <c r="K1548" s="614">
        <v>1596980</v>
      </c>
      <c r="L1548" s="194" t="s">
        <v>259</v>
      </c>
      <c r="M1548" s="194" t="s">
        <v>167</v>
      </c>
      <c r="N1548" s="52" t="str">
        <f>IF(AND('331-CT'!$E$7=TH!H1548,OR(L1548="331",M1548="331")),"331",IF(AND(OR(L1548="131",M1548="131"),H1548='131-CT'!$E$7),"131",""))</f>
        <v>131</v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894"/>
    </row>
    <row r="1549" spans="1:28" ht="15.75" customHeight="1">
      <c r="A1549" s="204" t="str">
        <f>IF(B1549&lt;&gt;"",IF(AND(B1549&gt;=_TM1,B1549&lt;=_TM2,OR(TH!L1549="1111",TH!M1549="1111")),TH!D1549,""),"")</f>
        <v/>
      </c>
      <c r="B1549" s="36">
        <f t="shared" si="119"/>
        <v>9</v>
      </c>
      <c r="C1549" s="191">
        <v>40804</v>
      </c>
      <c r="D1549" s="191" t="s">
        <v>978</v>
      </c>
      <c r="E1549" s="191">
        <v>40804</v>
      </c>
      <c r="F1549" s="192" t="s">
        <v>756</v>
      </c>
      <c r="G1549" s="498" t="s">
        <v>1194</v>
      </c>
      <c r="H1549" s="193" t="s">
        <v>733</v>
      </c>
      <c r="I1549" s="256">
        <v>120</v>
      </c>
      <c r="J1549" s="256">
        <v>2528</v>
      </c>
      <c r="K1549" s="614">
        <v>303360</v>
      </c>
      <c r="L1549" s="194" t="s">
        <v>259</v>
      </c>
      <c r="M1549" s="194" t="s">
        <v>167</v>
      </c>
      <c r="N1549" s="52" t="str">
        <f>IF(AND('331-CT'!$E$7=TH!H1549,OR(L1549="331",M1549="331")),"331",IF(AND(OR(L1549="131",M1549="131"),H1549='131-CT'!$E$7),"131",""))</f>
        <v>131</v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894"/>
    </row>
    <row r="1550" spans="1:28" ht="15.75" customHeight="1">
      <c r="A1550" s="204" t="str">
        <f>IF(B1550&lt;&gt;"",IF(AND(B1550&gt;=_TM1,B1550&lt;=_TM2,OR(TH!L1550="1111",TH!M1550="1111")),TH!D1550,""),"")</f>
        <v/>
      </c>
      <c r="B1550" s="36">
        <f t="shared" si="119"/>
        <v>9</v>
      </c>
      <c r="C1550" s="191">
        <v>40804</v>
      </c>
      <c r="D1550" s="191" t="s">
        <v>978</v>
      </c>
      <c r="E1550" s="191">
        <v>40804</v>
      </c>
      <c r="F1550" s="192" t="s">
        <v>1022</v>
      </c>
      <c r="G1550" s="498" t="s">
        <v>1194</v>
      </c>
      <c r="H1550" s="193" t="s">
        <v>733</v>
      </c>
      <c r="I1550" s="256">
        <v>52</v>
      </c>
      <c r="J1550" s="256">
        <v>10535</v>
      </c>
      <c r="K1550" s="614">
        <v>547820</v>
      </c>
      <c r="L1550" s="194" t="s">
        <v>259</v>
      </c>
      <c r="M1550" s="194" t="s">
        <v>167</v>
      </c>
      <c r="N1550" s="52" t="str">
        <f>IF(AND('331-CT'!$E$7=TH!H1550,OR(L1550="331",M1550="331")),"331",IF(AND(OR(L1550="131",M1550="131"),H1550='131-CT'!$E$7),"131",""))</f>
        <v>131</v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894"/>
    </row>
    <row r="1551" spans="1:28" ht="15.75" customHeight="1">
      <c r="A1551" s="204" t="str">
        <f>IF(B1551&lt;&gt;"",IF(AND(B1551&gt;=_TM1,B1551&lt;=_TM2,OR(TH!L1551="1111",TH!M1551="1111")),TH!D1551,""),"")</f>
        <v/>
      </c>
      <c r="B1551" s="36">
        <f t="shared" si="119"/>
        <v>9</v>
      </c>
      <c r="C1551" s="191">
        <v>40804</v>
      </c>
      <c r="D1551" s="191" t="s">
        <v>978</v>
      </c>
      <c r="E1551" s="191">
        <v>40804</v>
      </c>
      <c r="F1551" s="192" t="s">
        <v>756</v>
      </c>
      <c r="G1551" s="498" t="s">
        <v>1194</v>
      </c>
      <c r="H1551" s="193" t="s">
        <v>733</v>
      </c>
      <c r="I1551" s="256">
        <v>48</v>
      </c>
      <c r="J1551" s="256">
        <v>1981</v>
      </c>
      <c r="K1551" s="614">
        <v>95088</v>
      </c>
      <c r="L1551" s="194" t="s">
        <v>259</v>
      </c>
      <c r="M1551" s="194" t="s">
        <v>167</v>
      </c>
      <c r="N1551" s="52" t="str">
        <f>IF(AND('331-CT'!$E$7=TH!H1551,OR(L1551="331",M1551="331")),"331",IF(AND(OR(L1551="131",M1551="131"),H1551='131-CT'!$E$7),"131",""))</f>
        <v>131</v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894"/>
    </row>
    <row r="1552" spans="1:28" ht="15.75" customHeight="1">
      <c r="A1552" s="204" t="str">
        <f>IF(B1552&lt;&gt;"",IF(AND(B1552&gt;=_TM1,B1552&lt;=_TM2,OR(TH!L1552="1111",TH!M1552="1111")),TH!D1552,""),"")</f>
        <v/>
      </c>
      <c r="B1552" s="36">
        <f t="shared" si="119"/>
        <v>9</v>
      </c>
      <c r="C1552" s="191">
        <v>40804</v>
      </c>
      <c r="D1552" s="191" t="s">
        <v>978</v>
      </c>
      <c r="E1552" s="191">
        <v>40804</v>
      </c>
      <c r="F1552" s="192" t="s">
        <v>1023</v>
      </c>
      <c r="G1552" s="498" t="s">
        <v>1194</v>
      </c>
      <c r="H1552" s="193" t="s">
        <v>733</v>
      </c>
      <c r="I1552" s="256">
        <v>142</v>
      </c>
      <c r="J1552" s="256">
        <v>19465</v>
      </c>
      <c r="K1552" s="614">
        <v>2764030</v>
      </c>
      <c r="L1552" s="194" t="s">
        <v>259</v>
      </c>
      <c r="M1552" s="194" t="s">
        <v>167</v>
      </c>
      <c r="N1552" s="52" t="str">
        <f>IF(AND('331-CT'!$E$7=TH!H1552,OR(L1552="331",M1552="331")),"331",IF(AND(OR(L1552="131",M1552="131"),H1552='131-CT'!$E$7),"131",""))</f>
        <v>131</v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894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>
        <f t="shared" si="119"/>
        <v>9</v>
      </c>
      <c r="C1553" s="191">
        <v>40804</v>
      </c>
      <c r="D1553" s="191" t="s">
        <v>978</v>
      </c>
      <c r="E1553" s="191">
        <v>40804</v>
      </c>
      <c r="F1553" s="192" t="s">
        <v>1024</v>
      </c>
      <c r="G1553" s="498" t="s">
        <v>1194</v>
      </c>
      <c r="H1553" s="193" t="s">
        <v>733</v>
      </c>
      <c r="I1553" s="256">
        <v>214</v>
      </c>
      <c r="J1553" s="256">
        <v>8398</v>
      </c>
      <c r="K1553" s="614">
        <v>1797172</v>
      </c>
      <c r="L1553" s="194" t="s">
        <v>259</v>
      </c>
      <c r="M1553" s="194" t="s">
        <v>167</v>
      </c>
      <c r="N1553" s="52" t="str">
        <f>IF(AND('331-CT'!$E$7=TH!H1553,OR(L1553="331",M1553="331")),"331",IF(AND(OR(L1553="131",M1553="131"),H1553='131-CT'!$E$7),"131",""))</f>
        <v>131</v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894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>
        <f t="shared" si="119"/>
        <v>9</v>
      </c>
      <c r="C1554" s="191">
        <v>40804</v>
      </c>
      <c r="D1554" s="191" t="s">
        <v>978</v>
      </c>
      <c r="E1554" s="191">
        <v>40804</v>
      </c>
      <c r="F1554" s="192" t="s">
        <v>1025</v>
      </c>
      <c r="G1554" s="498" t="s">
        <v>1194</v>
      </c>
      <c r="H1554" s="193" t="s">
        <v>733</v>
      </c>
      <c r="I1554" s="256">
        <v>281</v>
      </c>
      <c r="J1554" s="256">
        <v>10534</v>
      </c>
      <c r="K1554" s="614">
        <v>2960054</v>
      </c>
      <c r="L1554" s="194" t="s">
        <v>259</v>
      </c>
      <c r="M1554" s="194" t="s">
        <v>167</v>
      </c>
      <c r="N1554" s="52" t="str">
        <f>IF(AND('331-CT'!$E$7=TH!H1554,OR(L1554="331",M1554="331")),"331",IF(AND(OR(L1554="131",M1554="131"),H1554='131-CT'!$E$7),"131",""))</f>
        <v>131</v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894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>
        <f t="shared" si="119"/>
        <v>9</v>
      </c>
      <c r="C1555" s="191">
        <v>40804</v>
      </c>
      <c r="D1555" s="191" t="s">
        <v>978</v>
      </c>
      <c r="E1555" s="191">
        <v>40804</v>
      </c>
      <c r="F1555" s="192" t="s">
        <v>1176</v>
      </c>
      <c r="G1555" s="498" t="s">
        <v>1194</v>
      </c>
      <c r="H1555" s="193" t="s">
        <v>733</v>
      </c>
      <c r="I1555" s="256"/>
      <c r="J1555" s="256"/>
      <c r="K1555" s="614">
        <v>1240901</v>
      </c>
      <c r="L1555" s="194" t="s">
        <v>259</v>
      </c>
      <c r="M1555" s="194" t="s">
        <v>731</v>
      </c>
      <c r="N1555" s="52" t="str">
        <f>IF(AND('331-CT'!$E$7=TH!H1555,OR(L1555="331",M1555="331")),"331",IF(AND(OR(L1555="131",M1555="131"),H1555='131-CT'!$E$7),"131",""))</f>
        <v>131</v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894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>
        <f t="shared" si="119"/>
        <v>9</v>
      </c>
      <c r="C1556" s="37">
        <f t="shared" ref="C1556:C1571" si="126">E1556</f>
        <v>40804</v>
      </c>
      <c r="D1556" s="37" t="s">
        <v>1130</v>
      </c>
      <c r="E1556" s="37">
        <v>40804</v>
      </c>
      <c r="F1556" s="40" t="s">
        <v>1020</v>
      </c>
      <c r="G1556" s="40"/>
      <c r="H1556" s="628" t="s">
        <v>1092</v>
      </c>
      <c r="I1556" s="256">
        <v>123</v>
      </c>
      <c r="J1556" s="256">
        <v>18714.902800194133</v>
      </c>
      <c r="K1556" s="614">
        <f t="shared" ref="K1556:K1571" si="127">ROUND(I1556*J1556,0)</f>
        <v>2301933</v>
      </c>
      <c r="L1556" s="39" t="s">
        <v>159</v>
      </c>
      <c r="M1556" s="39" t="s">
        <v>157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894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>
        <f t="shared" si="119"/>
        <v>9</v>
      </c>
      <c r="C1557" s="37">
        <f t="shared" si="126"/>
        <v>40804</v>
      </c>
      <c r="D1557" s="37" t="s">
        <v>1130</v>
      </c>
      <c r="E1557" s="37">
        <v>40804</v>
      </c>
      <c r="F1557" s="40" t="s">
        <v>1021</v>
      </c>
      <c r="G1557" s="40"/>
      <c r="H1557" s="628" t="s">
        <v>1092</v>
      </c>
      <c r="I1557" s="256">
        <v>122</v>
      </c>
      <c r="J1557" s="256">
        <v>12041.39873515348</v>
      </c>
      <c r="K1557" s="614">
        <f t="shared" si="127"/>
        <v>1469051</v>
      </c>
      <c r="L1557" s="39" t="s">
        <v>159</v>
      </c>
      <c r="M1557" s="39" t="s">
        <v>157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894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>
        <f t="shared" si="119"/>
        <v>9</v>
      </c>
      <c r="C1558" s="37">
        <f t="shared" si="126"/>
        <v>40804</v>
      </c>
      <c r="D1558" s="37" t="s">
        <v>1130</v>
      </c>
      <c r="E1558" s="37">
        <v>40804</v>
      </c>
      <c r="F1558" s="192" t="s">
        <v>756</v>
      </c>
      <c r="G1558" s="40"/>
      <c r="H1558" s="628" t="s">
        <v>1092</v>
      </c>
      <c r="I1558" s="256">
        <v>120</v>
      </c>
      <c r="J1558" s="256">
        <v>2681.5987351534782</v>
      </c>
      <c r="K1558" s="614">
        <f t="shared" si="127"/>
        <v>321792</v>
      </c>
      <c r="L1558" s="39" t="s">
        <v>159</v>
      </c>
      <c r="M1558" s="39" t="s">
        <v>157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894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>
        <f t="shared" si="119"/>
        <v>9</v>
      </c>
      <c r="C1559" s="37">
        <f t="shared" si="126"/>
        <v>40804</v>
      </c>
      <c r="D1559" s="37" t="s">
        <v>1130</v>
      </c>
      <c r="E1559" s="37">
        <v>40804</v>
      </c>
      <c r="F1559" s="40" t="s">
        <v>1022</v>
      </c>
      <c r="G1559" s="40"/>
      <c r="H1559" s="628" t="s">
        <v>1092</v>
      </c>
      <c r="I1559" s="256">
        <v>52</v>
      </c>
      <c r="J1559" s="256">
        <v>9362.3987351534779</v>
      </c>
      <c r="K1559" s="614">
        <f t="shared" si="127"/>
        <v>486845</v>
      </c>
      <c r="L1559" s="39" t="s">
        <v>159</v>
      </c>
      <c r="M1559" s="39" t="s">
        <v>157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894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>
        <f t="shared" si="119"/>
        <v>9</v>
      </c>
      <c r="C1560" s="37">
        <f t="shared" si="126"/>
        <v>40804</v>
      </c>
      <c r="D1560" s="37" t="s">
        <v>1130</v>
      </c>
      <c r="E1560" s="37">
        <v>40804</v>
      </c>
      <c r="F1560" s="192" t="s">
        <v>756</v>
      </c>
      <c r="G1560" s="40"/>
      <c r="H1560" s="628" t="s">
        <v>1092</v>
      </c>
      <c r="I1560" s="256">
        <v>48</v>
      </c>
      <c r="J1560" s="256">
        <v>2685.8362351534784</v>
      </c>
      <c r="K1560" s="614">
        <f t="shared" si="127"/>
        <v>128920</v>
      </c>
      <c r="L1560" s="39" t="s">
        <v>159</v>
      </c>
      <c r="M1560" s="39" t="s">
        <v>157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894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>
        <f t="shared" ref="B1561:B1624" si="128">IF(C1561&lt;&gt;"",MONTH(C1561),"")</f>
        <v>9</v>
      </c>
      <c r="C1561" s="37">
        <f t="shared" si="126"/>
        <v>40804</v>
      </c>
      <c r="D1561" s="37" t="s">
        <v>1130</v>
      </c>
      <c r="E1561" s="37">
        <v>40804</v>
      </c>
      <c r="F1561" s="40" t="s">
        <v>1023</v>
      </c>
      <c r="G1561" s="40"/>
      <c r="H1561" s="628" t="s">
        <v>1092</v>
      </c>
      <c r="I1561" s="256">
        <v>142</v>
      </c>
      <c r="J1561" s="256">
        <v>18714.891692899957</v>
      </c>
      <c r="K1561" s="614">
        <f t="shared" si="127"/>
        <v>2657515</v>
      </c>
      <c r="L1561" s="39" t="s">
        <v>159</v>
      </c>
      <c r="M1561" s="39" t="s">
        <v>157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894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>
        <f t="shared" si="128"/>
        <v>9</v>
      </c>
      <c r="C1562" s="37">
        <f t="shared" si="126"/>
        <v>40804</v>
      </c>
      <c r="D1562" s="37" t="s">
        <v>1130</v>
      </c>
      <c r="E1562" s="37">
        <v>40804</v>
      </c>
      <c r="F1562" s="40" t="s">
        <v>1024</v>
      </c>
      <c r="G1562" s="40"/>
      <c r="H1562" s="628" t="s">
        <v>1092</v>
      </c>
      <c r="I1562" s="256">
        <v>214</v>
      </c>
      <c r="J1562" s="256">
        <v>7394.3987351534779</v>
      </c>
      <c r="K1562" s="614">
        <f t="shared" si="127"/>
        <v>1582401</v>
      </c>
      <c r="L1562" s="39" t="s">
        <v>159</v>
      </c>
      <c r="M1562" s="39" t="s">
        <v>157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894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>
        <f t="shared" si="128"/>
        <v>9</v>
      </c>
      <c r="C1563" s="37">
        <f t="shared" si="126"/>
        <v>40804</v>
      </c>
      <c r="D1563" s="37" t="s">
        <v>1130</v>
      </c>
      <c r="E1563" s="37">
        <v>40804</v>
      </c>
      <c r="F1563" s="40" t="s">
        <v>1025</v>
      </c>
      <c r="G1563" s="40"/>
      <c r="H1563" s="628" t="s">
        <v>1092</v>
      </c>
      <c r="I1563" s="256">
        <v>281</v>
      </c>
      <c r="J1563" s="256">
        <v>8748.5909059719834</v>
      </c>
      <c r="K1563" s="614">
        <f t="shared" si="127"/>
        <v>2458354</v>
      </c>
      <c r="L1563" s="39" t="s">
        <v>159</v>
      </c>
      <c r="M1563" s="39" t="s">
        <v>157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894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>
        <f t="shared" si="128"/>
        <v>9</v>
      </c>
      <c r="C1564" s="37">
        <f t="shared" si="126"/>
        <v>40804</v>
      </c>
      <c r="D1564" s="37" t="s">
        <v>978</v>
      </c>
      <c r="E1564" s="37">
        <v>40804</v>
      </c>
      <c r="F1564" s="40" t="s">
        <v>1020</v>
      </c>
      <c r="G1564" s="40" t="s">
        <v>1194</v>
      </c>
      <c r="H1564" s="628" t="s">
        <v>733</v>
      </c>
      <c r="I1564" s="256">
        <v>123</v>
      </c>
      <c r="J1564" s="256">
        <v>18714.902800194133</v>
      </c>
      <c r="K1564" s="614">
        <f t="shared" si="127"/>
        <v>2301933</v>
      </c>
      <c r="L1564" s="39" t="s">
        <v>165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894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>
        <f t="shared" si="128"/>
        <v>9</v>
      </c>
      <c r="C1565" s="37">
        <f t="shared" si="126"/>
        <v>40804</v>
      </c>
      <c r="D1565" s="37" t="s">
        <v>978</v>
      </c>
      <c r="E1565" s="37">
        <v>40804</v>
      </c>
      <c r="F1565" s="40" t="s">
        <v>1021</v>
      </c>
      <c r="G1565" s="40" t="s">
        <v>1194</v>
      </c>
      <c r="H1565" s="628" t="s">
        <v>733</v>
      </c>
      <c r="I1565" s="256">
        <v>122</v>
      </c>
      <c r="J1565" s="256">
        <v>12041.39873515348</v>
      </c>
      <c r="K1565" s="614">
        <f t="shared" si="127"/>
        <v>1469051</v>
      </c>
      <c r="L1565" s="39" t="s">
        <v>165</v>
      </c>
      <c r="M1565" s="39" t="s">
        <v>159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894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>
        <f t="shared" si="128"/>
        <v>9</v>
      </c>
      <c r="C1566" s="37">
        <f t="shared" si="126"/>
        <v>40804</v>
      </c>
      <c r="D1566" s="37" t="s">
        <v>978</v>
      </c>
      <c r="E1566" s="37">
        <v>40804</v>
      </c>
      <c r="F1566" s="192" t="s">
        <v>756</v>
      </c>
      <c r="G1566" s="40" t="s">
        <v>1194</v>
      </c>
      <c r="H1566" s="628" t="s">
        <v>733</v>
      </c>
      <c r="I1566" s="256">
        <v>120</v>
      </c>
      <c r="J1566" s="256">
        <v>2681.5987351534782</v>
      </c>
      <c r="K1566" s="614">
        <f t="shared" si="127"/>
        <v>321792</v>
      </c>
      <c r="L1566" s="39" t="s">
        <v>165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894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>
        <f t="shared" si="128"/>
        <v>9</v>
      </c>
      <c r="C1567" s="37">
        <f t="shared" si="126"/>
        <v>40804</v>
      </c>
      <c r="D1567" s="37" t="s">
        <v>978</v>
      </c>
      <c r="E1567" s="37">
        <v>40804</v>
      </c>
      <c r="F1567" s="40" t="s">
        <v>1022</v>
      </c>
      <c r="G1567" s="40" t="s">
        <v>1194</v>
      </c>
      <c r="H1567" s="628" t="s">
        <v>733</v>
      </c>
      <c r="I1567" s="256">
        <v>52</v>
      </c>
      <c r="J1567" s="256">
        <v>9362.3987351534779</v>
      </c>
      <c r="K1567" s="614">
        <f t="shared" si="127"/>
        <v>486845</v>
      </c>
      <c r="L1567" s="39" t="s">
        <v>165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894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>
        <f t="shared" si="128"/>
        <v>9</v>
      </c>
      <c r="C1568" s="37">
        <f t="shared" si="126"/>
        <v>40804</v>
      </c>
      <c r="D1568" s="37" t="s">
        <v>978</v>
      </c>
      <c r="E1568" s="37">
        <v>40804</v>
      </c>
      <c r="F1568" s="192" t="s">
        <v>756</v>
      </c>
      <c r="G1568" s="40" t="s">
        <v>1194</v>
      </c>
      <c r="H1568" s="628" t="s">
        <v>733</v>
      </c>
      <c r="I1568" s="256">
        <v>48</v>
      </c>
      <c r="J1568" s="256">
        <v>2685.8362351534784</v>
      </c>
      <c r="K1568" s="614">
        <f t="shared" si="127"/>
        <v>128920</v>
      </c>
      <c r="L1568" s="39" t="s">
        <v>165</v>
      </c>
      <c r="M1568" s="39" t="s">
        <v>159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894"/>
    </row>
    <row r="1569" spans="1:28" ht="15.75" customHeight="1">
      <c r="A1569" s="204" t="str">
        <f>IF(B1569&lt;&gt;"",IF(AND(B1569&gt;=_TM1,B1569&lt;=_TM2,OR(TH!L1569="1111",TH!M1569="1111")),TH!D1569,""),"")</f>
        <v/>
      </c>
      <c r="B1569" s="36">
        <f t="shared" si="128"/>
        <v>9</v>
      </c>
      <c r="C1569" s="37">
        <f t="shared" si="126"/>
        <v>40804</v>
      </c>
      <c r="D1569" s="37" t="s">
        <v>978</v>
      </c>
      <c r="E1569" s="37">
        <v>40804</v>
      </c>
      <c r="F1569" s="40" t="s">
        <v>1023</v>
      </c>
      <c r="G1569" s="40" t="s">
        <v>1194</v>
      </c>
      <c r="H1569" s="628" t="s">
        <v>733</v>
      </c>
      <c r="I1569" s="256">
        <v>142</v>
      </c>
      <c r="J1569" s="256">
        <v>18714.891692899957</v>
      </c>
      <c r="K1569" s="614">
        <f t="shared" si="127"/>
        <v>2657515</v>
      </c>
      <c r="L1569" s="39" t="s">
        <v>165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894"/>
    </row>
    <row r="1570" spans="1:28" ht="15.75" customHeight="1">
      <c r="A1570" s="204" t="str">
        <f>IF(B1570&lt;&gt;"",IF(AND(B1570&gt;=_TM1,B1570&lt;=_TM2,OR(TH!L1570="1111",TH!M1570="1111")),TH!D1570,""),"")</f>
        <v/>
      </c>
      <c r="B1570" s="36">
        <f t="shared" si="128"/>
        <v>9</v>
      </c>
      <c r="C1570" s="37">
        <f t="shared" si="126"/>
        <v>40804</v>
      </c>
      <c r="D1570" s="37" t="s">
        <v>978</v>
      </c>
      <c r="E1570" s="37">
        <v>40804</v>
      </c>
      <c r="F1570" s="40" t="s">
        <v>1024</v>
      </c>
      <c r="G1570" s="40" t="s">
        <v>1194</v>
      </c>
      <c r="H1570" s="628" t="s">
        <v>733</v>
      </c>
      <c r="I1570" s="256">
        <v>214</v>
      </c>
      <c r="J1570" s="256">
        <v>7394.3987351534779</v>
      </c>
      <c r="K1570" s="614">
        <f t="shared" si="127"/>
        <v>1582401</v>
      </c>
      <c r="L1570" s="39" t="s">
        <v>165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894"/>
    </row>
    <row r="1571" spans="1:28" ht="15.75" customHeight="1">
      <c r="A1571" s="204" t="str">
        <f>IF(B1571&lt;&gt;"",IF(AND(B1571&gt;=_TM1,B1571&lt;=_TM2,OR(TH!L1571="1111",TH!M1571="1111")),TH!D1571,""),"")</f>
        <v/>
      </c>
      <c r="B1571" s="36">
        <f t="shared" si="128"/>
        <v>9</v>
      </c>
      <c r="C1571" s="37">
        <f t="shared" si="126"/>
        <v>40804</v>
      </c>
      <c r="D1571" s="37" t="s">
        <v>978</v>
      </c>
      <c r="E1571" s="37">
        <v>40804</v>
      </c>
      <c r="F1571" s="40" t="s">
        <v>1025</v>
      </c>
      <c r="G1571" s="40" t="s">
        <v>1194</v>
      </c>
      <c r="H1571" s="628" t="s">
        <v>733</v>
      </c>
      <c r="I1571" s="256">
        <v>281</v>
      </c>
      <c r="J1571" s="256">
        <v>8748.5909059719834</v>
      </c>
      <c r="K1571" s="614">
        <f t="shared" si="127"/>
        <v>2458354</v>
      </c>
      <c r="L1571" s="39" t="s">
        <v>165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894"/>
    </row>
    <row r="1572" spans="1:28" ht="15.75" customHeight="1">
      <c r="A1572" s="204" t="str">
        <f>IF(B1572&lt;&gt;"",IF(AND(B1572&gt;=_TM1,B1572&lt;=_TM2,OR(TH!L1572="1111",TH!M1572="1111")),TH!D1572,""),"")</f>
        <v/>
      </c>
      <c r="B1572" s="36">
        <f t="shared" si="128"/>
        <v>9</v>
      </c>
      <c r="C1572" s="191">
        <v>40805</v>
      </c>
      <c r="D1572" s="184" t="s">
        <v>668</v>
      </c>
      <c r="E1572" s="191">
        <v>40805</v>
      </c>
      <c r="F1572" s="192" t="s">
        <v>1162</v>
      </c>
      <c r="G1572" s="498" t="s">
        <v>1163</v>
      </c>
      <c r="H1572" s="193" t="s">
        <v>1164</v>
      </c>
      <c r="I1572" s="256"/>
      <c r="J1572" s="256"/>
      <c r="K1572" s="614">
        <v>2640000</v>
      </c>
      <c r="L1572" s="194" t="s">
        <v>157</v>
      </c>
      <c r="M1572" s="194" t="s">
        <v>46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>x</v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894"/>
    </row>
    <row r="1573" spans="1:28" ht="15.75" customHeight="1">
      <c r="A1573" s="204" t="str">
        <f>IF(B1573&lt;&gt;"",IF(AND(B1573&gt;=_TM1,B1573&lt;=_TM2,OR(TH!L1573="1111",TH!M1573="1111")),TH!D1573,""),"")</f>
        <v/>
      </c>
      <c r="B1573" s="36">
        <f t="shared" si="128"/>
        <v>9</v>
      </c>
      <c r="C1573" s="191">
        <v>40805</v>
      </c>
      <c r="D1573" s="184" t="s">
        <v>668</v>
      </c>
      <c r="E1573" s="191">
        <v>40805</v>
      </c>
      <c r="F1573" s="192" t="s">
        <v>1165</v>
      </c>
      <c r="G1573" s="498" t="s">
        <v>1163</v>
      </c>
      <c r="H1573" s="193" t="s">
        <v>1164</v>
      </c>
      <c r="I1573" s="256"/>
      <c r="J1573" s="256"/>
      <c r="K1573" s="38">
        <v>264000</v>
      </c>
      <c r="L1573" s="194" t="s">
        <v>9</v>
      </c>
      <c r="M1573" s="194" t="s">
        <v>46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>x</v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894"/>
      <c r="AB1573" s="198">
        <v>9</v>
      </c>
    </row>
    <row r="1574" spans="1:28" ht="15.75" customHeight="1">
      <c r="A1574" s="204" t="str">
        <f>IF(B1574&lt;&gt;"",IF(AND(B1574&gt;=_TM1,B1574&lt;=_TM2,OR(TH!L1574="1111",TH!M1574="1111")),TH!D1574,""),"")</f>
        <v/>
      </c>
      <c r="B1574" s="36">
        <f t="shared" si="128"/>
        <v>9</v>
      </c>
      <c r="C1574" s="191">
        <v>40807</v>
      </c>
      <c r="D1574" s="184" t="s">
        <v>669</v>
      </c>
      <c r="E1574" s="191">
        <v>40807</v>
      </c>
      <c r="F1574" s="192" t="s">
        <v>468</v>
      </c>
      <c r="G1574" s="495" t="s">
        <v>1166</v>
      </c>
      <c r="H1574" s="45" t="s">
        <v>472</v>
      </c>
      <c r="I1574" s="258"/>
      <c r="J1574" s="256"/>
      <c r="K1574" s="38">
        <v>642847</v>
      </c>
      <c r="L1574" s="194" t="s">
        <v>75</v>
      </c>
      <c r="M1574" s="615" t="s">
        <v>46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>x</v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>x</v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894"/>
    </row>
    <row r="1575" spans="1:28" ht="15.75" customHeight="1">
      <c r="A1575" s="204" t="str">
        <f>IF(B1575&lt;&gt;"",IF(AND(B1575&gt;=_TM1,B1575&lt;=_TM2,OR(TH!L1575="1111",TH!M1575="1111")),TH!D1575,""),"")</f>
        <v/>
      </c>
      <c r="B1575" s="36">
        <f t="shared" si="128"/>
        <v>9</v>
      </c>
      <c r="C1575" s="191">
        <v>40807</v>
      </c>
      <c r="D1575" s="184" t="s">
        <v>669</v>
      </c>
      <c r="E1575" s="191">
        <v>40807</v>
      </c>
      <c r="F1575" s="192" t="s">
        <v>471</v>
      </c>
      <c r="G1575" s="495" t="s">
        <v>1166</v>
      </c>
      <c r="H1575" s="45" t="s">
        <v>472</v>
      </c>
      <c r="I1575" s="258"/>
      <c r="J1575" s="256"/>
      <c r="K1575" s="38">
        <v>64285</v>
      </c>
      <c r="L1575" s="194" t="s">
        <v>9</v>
      </c>
      <c r="M1575" s="615" t="s">
        <v>46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>x</v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894"/>
      <c r="AB1575" s="198">
        <v>9</v>
      </c>
    </row>
    <row r="1576" spans="1:28" ht="15.75" customHeight="1">
      <c r="A1576" s="204" t="str">
        <f>IF(B1576&lt;&gt;"",IF(AND(B1576&gt;=_TM1,B1576&lt;=_TM2,OR(TH!L1576="1111",TH!M1576="1111")),TH!D1576,""),"")</f>
        <v/>
      </c>
      <c r="B1576" s="36">
        <f t="shared" si="128"/>
        <v>9</v>
      </c>
      <c r="C1576" s="37">
        <f t="shared" ref="C1576:C1583" si="129">E1576</f>
        <v>40807</v>
      </c>
      <c r="D1576" s="37" t="s">
        <v>1215</v>
      </c>
      <c r="E1576" s="794">
        <v>40807</v>
      </c>
      <c r="F1576" s="189" t="s">
        <v>488</v>
      </c>
      <c r="G1576" s="40"/>
      <c r="H1576" s="628" t="s">
        <v>1092</v>
      </c>
      <c r="I1576" s="256">
        <v>2.5</v>
      </c>
      <c r="J1576" s="256">
        <v>16173</v>
      </c>
      <c r="K1576" s="614">
        <f t="shared" ref="K1576:K1583" si="130">ROUND(I1576*J1576,0)</f>
        <v>40433</v>
      </c>
      <c r="L1576" s="39" t="s">
        <v>157</v>
      </c>
      <c r="M1576" s="39" t="s">
        <v>151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894"/>
    </row>
    <row r="1577" spans="1:28" ht="15.75" customHeight="1">
      <c r="A1577" s="204" t="str">
        <f>IF(B1577&lt;&gt;"",IF(AND(B1577&gt;=_TM1,B1577&lt;=_TM2,OR(TH!L1577="1111",TH!M1577="1111")),TH!D1577,""),"")</f>
        <v/>
      </c>
      <c r="B1577" s="36">
        <f t="shared" si="128"/>
        <v>9</v>
      </c>
      <c r="C1577" s="37">
        <f t="shared" si="129"/>
        <v>40807</v>
      </c>
      <c r="D1577" s="37" t="s">
        <v>1215</v>
      </c>
      <c r="E1577" s="794">
        <v>40807</v>
      </c>
      <c r="F1577" s="40" t="s">
        <v>601</v>
      </c>
      <c r="G1577" s="40"/>
      <c r="H1577" s="628" t="s">
        <v>1092</v>
      </c>
      <c r="I1577" s="256">
        <v>0.5</v>
      </c>
      <c r="J1577" s="256">
        <v>16303</v>
      </c>
      <c r="K1577" s="614">
        <f t="shared" si="130"/>
        <v>8152</v>
      </c>
      <c r="L1577" s="39" t="s">
        <v>157</v>
      </c>
      <c r="M1577" s="39" t="s">
        <v>151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894"/>
    </row>
    <row r="1578" spans="1:28" ht="15.75" customHeight="1">
      <c r="A1578" s="204" t="str">
        <f>IF(B1578&lt;&gt;"",IF(AND(B1578&gt;=_TM1,B1578&lt;=_TM2,OR(TH!L1578="1111",TH!M1578="1111")),TH!D1578,""),"")</f>
        <v/>
      </c>
      <c r="B1578" s="36">
        <f t="shared" si="128"/>
        <v>9</v>
      </c>
      <c r="C1578" s="37">
        <f t="shared" si="129"/>
        <v>40807</v>
      </c>
      <c r="D1578" s="37" t="s">
        <v>1215</v>
      </c>
      <c r="E1578" s="794">
        <v>40807</v>
      </c>
      <c r="F1578" s="189" t="s">
        <v>519</v>
      </c>
      <c r="G1578" s="40"/>
      <c r="H1578" s="628" t="s">
        <v>1092</v>
      </c>
      <c r="I1578" s="256">
        <v>1</v>
      </c>
      <c r="J1578" s="256">
        <v>10603</v>
      </c>
      <c r="K1578" s="614">
        <f t="shared" si="130"/>
        <v>10603</v>
      </c>
      <c r="L1578" s="39" t="s">
        <v>157</v>
      </c>
      <c r="M1578" s="39" t="s">
        <v>151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894"/>
    </row>
    <row r="1579" spans="1:28" ht="15.75" customHeight="1">
      <c r="A1579" s="204" t="str">
        <f>IF(B1579&lt;&gt;"",IF(AND(B1579&gt;=_TM1,B1579&lt;=_TM2,OR(TH!L1579="1111",TH!M1579="1111")),TH!D1579,""),"")</f>
        <v/>
      </c>
      <c r="B1579" s="36">
        <f t="shared" si="128"/>
        <v>9</v>
      </c>
      <c r="C1579" s="37">
        <f t="shared" si="129"/>
        <v>40807</v>
      </c>
      <c r="D1579" s="37" t="s">
        <v>1215</v>
      </c>
      <c r="E1579" s="794">
        <v>40807</v>
      </c>
      <c r="F1579" s="298" t="s">
        <v>479</v>
      </c>
      <c r="G1579" s="40"/>
      <c r="H1579" s="628" t="s">
        <v>1092</v>
      </c>
      <c r="I1579" s="256">
        <v>3</v>
      </c>
      <c r="J1579" s="256">
        <v>6026</v>
      </c>
      <c r="K1579" s="614">
        <f t="shared" si="130"/>
        <v>18078</v>
      </c>
      <c r="L1579" s="39" t="s">
        <v>157</v>
      </c>
      <c r="M1579" s="39" t="s">
        <v>151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894"/>
    </row>
    <row r="1580" spans="1:28" ht="15.75" customHeight="1">
      <c r="A1580" s="204" t="str">
        <f>IF(B1580&lt;&gt;"",IF(AND(B1580&gt;=_TM1,B1580&lt;=_TM2,OR(TH!L1580="1111",TH!M1580="1111")),TH!D1580,""),"")</f>
        <v/>
      </c>
      <c r="B1580" s="36">
        <f t="shared" si="128"/>
        <v>9</v>
      </c>
      <c r="C1580" s="37">
        <f t="shared" si="129"/>
        <v>40807</v>
      </c>
      <c r="D1580" s="37" t="s">
        <v>1215</v>
      </c>
      <c r="E1580" s="794">
        <v>40807</v>
      </c>
      <c r="F1580" s="298" t="s">
        <v>479</v>
      </c>
      <c r="G1580" s="40"/>
      <c r="H1580" s="628" t="s">
        <v>1092</v>
      </c>
      <c r="I1580" s="256">
        <v>3</v>
      </c>
      <c r="J1580" s="256">
        <v>6026</v>
      </c>
      <c r="K1580" s="614">
        <f t="shared" si="130"/>
        <v>18078</v>
      </c>
      <c r="L1580" s="39" t="s">
        <v>157</v>
      </c>
      <c r="M1580" s="39" t="s">
        <v>151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894"/>
    </row>
    <row r="1581" spans="1:28" ht="15.75" customHeight="1">
      <c r="A1581" s="204" t="str">
        <f>IF(B1581&lt;&gt;"",IF(AND(B1581&gt;=_TM1,B1581&lt;=_TM2,OR(TH!L1581="1111",TH!M1581="1111")),TH!D1581,""),"")</f>
        <v/>
      </c>
      <c r="B1581" s="36">
        <f t="shared" si="128"/>
        <v>9</v>
      </c>
      <c r="C1581" s="37">
        <f t="shared" si="129"/>
        <v>40807</v>
      </c>
      <c r="D1581" s="37" t="s">
        <v>1215</v>
      </c>
      <c r="E1581" s="794">
        <v>40807</v>
      </c>
      <c r="F1581" s="189" t="s">
        <v>387</v>
      </c>
      <c r="G1581" s="40"/>
      <c r="H1581" s="628" t="s">
        <v>1092</v>
      </c>
      <c r="I1581" s="839">
        <v>1</v>
      </c>
      <c r="J1581" s="256">
        <v>4449</v>
      </c>
      <c r="K1581" s="614">
        <f t="shared" si="130"/>
        <v>4449</v>
      </c>
      <c r="L1581" s="39" t="s">
        <v>157</v>
      </c>
      <c r="M1581" s="39" t="s">
        <v>151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>x</v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894"/>
    </row>
    <row r="1582" spans="1:28" ht="15.75" customHeight="1">
      <c r="A1582" s="204" t="str">
        <f>IF(B1582&lt;&gt;"",IF(AND(B1582&gt;=_TM1,B1582&lt;=_TM2,OR(TH!L1582="1111",TH!M1582="1111")),TH!D1582,""),"")</f>
        <v/>
      </c>
      <c r="B1582" s="36">
        <f t="shared" si="128"/>
        <v>9</v>
      </c>
      <c r="C1582" s="37">
        <f t="shared" si="129"/>
        <v>40807</v>
      </c>
      <c r="D1582" s="37" t="s">
        <v>1215</v>
      </c>
      <c r="E1582" s="794">
        <v>40807</v>
      </c>
      <c r="F1582" s="189" t="s">
        <v>488</v>
      </c>
      <c r="G1582" s="40"/>
      <c r="H1582" s="628" t="s">
        <v>1092</v>
      </c>
      <c r="I1582" s="256">
        <v>0.5</v>
      </c>
      <c r="J1582" s="256">
        <v>16173</v>
      </c>
      <c r="K1582" s="614">
        <f t="shared" si="130"/>
        <v>8087</v>
      </c>
      <c r="L1582" s="39" t="s">
        <v>157</v>
      </c>
      <c r="M1582" s="39" t="s">
        <v>151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894"/>
    </row>
    <row r="1583" spans="1:28" ht="15.75" customHeight="1">
      <c r="A1583" s="204" t="str">
        <f>IF(B1583&lt;&gt;"",IF(AND(B1583&gt;=_TM1,B1583&lt;=_TM2,OR(TH!L1583="1111",TH!M1583="1111")),TH!D1583,""),"")</f>
        <v/>
      </c>
      <c r="B1583" s="36">
        <f t="shared" si="128"/>
        <v>9</v>
      </c>
      <c r="C1583" s="37">
        <f t="shared" si="129"/>
        <v>40807</v>
      </c>
      <c r="D1583" s="37" t="s">
        <v>1215</v>
      </c>
      <c r="E1583" s="794">
        <v>40807</v>
      </c>
      <c r="F1583" s="189" t="s">
        <v>387</v>
      </c>
      <c r="G1583" s="40"/>
      <c r="H1583" s="628" t="s">
        <v>1092</v>
      </c>
      <c r="I1583" s="839">
        <v>5</v>
      </c>
      <c r="J1583" s="256">
        <v>4449</v>
      </c>
      <c r="K1583" s="614">
        <f t="shared" si="130"/>
        <v>22245</v>
      </c>
      <c r="L1583" s="39" t="s">
        <v>157</v>
      </c>
      <c r="M1583" s="39" t="s">
        <v>151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>x</v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894"/>
    </row>
    <row r="1584" spans="1:28" ht="15.75" customHeight="1">
      <c r="A1584" s="204" t="str">
        <f>IF(B1584&lt;&gt;"",IF(AND(B1584&gt;=_TM1,B1584&lt;=_TM2,OR(TH!L1584="1111",TH!M1584="1111")),TH!D1584,""),"")</f>
        <v/>
      </c>
      <c r="B1584" s="36">
        <f t="shared" si="128"/>
        <v>9</v>
      </c>
      <c r="C1584" s="191">
        <v>40808</v>
      </c>
      <c r="D1584" s="184" t="s">
        <v>670</v>
      </c>
      <c r="E1584" s="191">
        <v>40808</v>
      </c>
      <c r="F1584" s="192" t="s">
        <v>637</v>
      </c>
      <c r="G1584" s="498" t="s">
        <v>1167</v>
      </c>
      <c r="H1584" s="7" t="s">
        <v>391</v>
      </c>
      <c r="I1584" s="258"/>
      <c r="J1584" s="258"/>
      <c r="K1584" s="38">
        <v>1375000</v>
      </c>
      <c r="L1584" s="194" t="s">
        <v>8</v>
      </c>
      <c r="M1584" s="194" t="s">
        <v>46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>x</v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894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>
        <f t="shared" si="128"/>
        <v>9</v>
      </c>
      <c r="C1585" s="191">
        <v>40808</v>
      </c>
      <c r="D1585" s="184" t="s">
        <v>671</v>
      </c>
      <c r="E1585" s="191">
        <v>40808</v>
      </c>
      <c r="F1585" s="192" t="s">
        <v>1168</v>
      </c>
      <c r="G1585" s="498" t="s">
        <v>1169</v>
      </c>
      <c r="H1585" s="193" t="s">
        <v>1146</v>
      </c>
      <c r="I1585" s="256"/>
      <c r="J1585" s="256"/>
      <c r="K1585" s="38">
        <v>500011</v>
      </c>
      <c r="L1585" s="194" t="s">
        <v>261</v>
      </c>
      <c r="M1585" s="615" t="s">
        <v>46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>641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894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>
        <f t="shared" si="128"/>
        <v>9</v>
      </c>
      <c r="C1586" s="191">
        <v>40808</v>
      </c>
      <c r="D1586" s="184" t="s">
        <v>695</v>
      </c>
      <c r="E1586" s="191">
        <v>40808</v>
      </c>
      <c r="F1586" s="189" t="s">
        <v>388</v>
      </c>
      <c r="G1586" s="498" t="s">
        <v>1167</v>
      </c>
      <c r="H1586" s="7" t="s">
        <v>391</v>
      </c>
      <c r="I1586" s="256">
        <v>50</v>
      </c>
      <c r="J1586" s="256">
        <v>25000</v>
      </c>
      <c r="K1586" s="614">
        <v>1250000</v>
      </c>
      <c r="L1586" s="194" t="s">
        <v>153</v>
      </c>
      <c r="M1586" s="194" t="s">
        <v>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>x</v>
      </c>
      <c r="Z1586" s="52" t="str">
        <f>IF(AND(B1586&lt;=NKC!$N$8,B1586&gt;=NKC!$M$8),"x","")</f>
        <v>x</v>
      </c>
      <c r="AA1586" s="894"/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>
        <f t="shared" si="128"/>
        <v>9</v>
      </c>
      <c r="C1587" s="191">
        <v>40808</v>
      </c>
      <c r="D1587" s="184" t="s">
        <v>695</v>
      </c>
      <c r="E1587" s="191">
        <v>40808</v>
      </c>
      <c r="F1587" s="189" t="s">
        <v>389</v>
      </c>
      <c r="G1587" s="498" t="s">
        <v>1167</v>
      </c>
      <c r="H1587" s="7" t="s">
        <v>391</v>
      </c>
      <c r="I1587" s="256"/>
      <c r="J1587" s="256"/>
      <c r="K1587" s="38">
        <v>125000</v>
      </c>
      <c r="L1587" s="194" t="s">
        <v>9</v>
      </c>
      <c r="M1587" s="194" t="s">
        <v>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894"/>
      <c r="AB1587" s="198">
        <v>9</v>
      </c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>
        <f t="shared" si="128"/>
        <v>9</v>
      </c>
      <c r="C1588" s="191">
        <v>40809</v>
      </c>
      <c r="D1588" s="191" t="s">
        <v>951</v>
      </c>
      <c r="E1588" s="191">
        <v>40809</v>
      </c>
      <c r="F1588" s="192" t="s">
        <v>335</v>
      </c>
      <c r="G1588" s="498" t="s">
        <v>1195</v>
      </c>
      <c r="H1588" s="210" t="s">
        <v>761</v>
      </c>
      <c r="I1588" s="256"/>
      <c r="J1588" s="256"/>
      <c r="K1588" s="614">
        <v>1610294</v>
      </c>
      <c r="L1588" s="194" t="s">
        <v>46</v>
      </c>
      <c r="M1588" s="194" t="s">
        <v>259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>x</v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894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>
        <f t="shared" si="128"/>
        <v>9</v>
      </c>
      <c r="C1589" s="191">
        <v>40809</v>
      </c>
      <c r="D1589" s="191" t="s">
        <v>979</v>
      </c>
      <c r="E1589" s="191">
        <v>40809</v>
      </c>
      <c r="F1589" s="192" t="s">
        <v>1026</v>
      </c>
      <c r="G1589" s="498" t="s">
        <v>1195</v>
      </c>
      <c r="H1589" s="210" t="s">
        <v>761</v>
      </c>
      <c r="I1589" s="256">
        <v>104</v>
      </c>
      <c r="J1589" s="256">
        <v>14076</v>
      </c>
      <c r="K1589" s="614">
        <v>1463904</v>
      </c>
      <c r="L1589" s="194" t="s">
        <v>259</v>
      </c>
      <c r="M1589" s="194" t="s">
        <v>167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894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>
        <f t="shared" si="128"/>
        <v>9</v>
      </c>
      <c r="C1590" s="191">
        <v>40809</v>
      </c>
      <c r="D1590" s="191" t="s">
        <v>979</v>
      </c>
      <c r="E1590" s="191">
        <v>40809</v>
      </c>
      <c r="F1590" s="192" t="s">
        <v>1196</v>
      </c>
      <c r="G1590" s="498" t="s">
        <v>1195</v>
      </c>
      <c r="H1590" s="210" t="s">
        <v>761</v>
      </c>
      <c r="I1590" s="256"/>
      <c r="J1590" s="256"/>
      <c r="K1590" s="614">
        <v>146390</v>
      </c>
      <c r="L1590" s="194" t="s">
        <v>259</v>
      </c>
      <c r="M1590" s="194" t="s">
        <v>731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894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>
        <f t="shared" si="128"/>
        <v>9</v>
      </c>
      <c r="C1591" s="37">
        <f t="shared" ref="C1591:C1599" si="131">E1591</f>
        <v>40809</v>
      </c>
      <c r="D1591" s="37" t="s">
        <v>1216</v>
      </c>
      <c r="E1591" s="794">
        <v>40809</v>
      </c>
      <c r="F1591" s="40" t="s">
        <v>620</v>
      </c>
      <c r="G1591" s="40"/>
      <c r="H1591" s="628" t="s">
        <v>1092</v>
      </c>
      <c r="I1591" s="256">
        <v>192</v>
      </c>
      <c r="J1591" s="256">
        <v>20440</v>
      </c>
      <c r="K1591" s="614">
        <f t="shared" ref="K1591:K1599" si="132">ROUND(I1591*J1591,0)</f>
        <v>3924480</v>
      </c>
      <c r="L1591" s="39" t="s">
        <v>157</v>
      </c>
      <c r="M1591" s="39" t="s">
        <v>151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894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>
        <f t="shared" si="128"/>
        <v>9</v>
      </c>
      <c r="C1592" s="37">
        <f t="shared" si="131"/>
        <v>40809</v>
      </c>
      <c r="D1592" s="37" t="s">
        <v>1216</v>
      </c>
      <c r="E1592" s="794">
        <v>40809</v>
      </c>
      <c r="F1592" s="189" t="s">
        <v>582</v>
      </c>
      <c r="G1592" s="40"/>
      <c r="H1592" s="628" t="s">
        <v>1092</v>
      </c>
      <c r="I1592" s="256">
        <v>62.5</v>
      </c>
      <c r="J1592" s="256">
        <v>19639</v>
      </c>
      <c r="K1592" s="614">
        <f t="shared" si="132"/>
        <v>1227438</v>
      </c>
      <c r="L1592" s="39" t="s">
        <v>157</v>
      </c>
      <c r="M1592" s="39" t="s">
        <v>151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894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>
        <f t="shared" si="128"/>
        <v>9</v>
      </c>
      <c r="C1593" s="37">
        <f t="shared" si="131"/>
        <v>40809</v>
      </c>
      <c r="D1593" s="37" t="s">
        <v>1216</v>
      </c>
      <c r="E1593" s="794">
        <v>40809</v>
      </c>
      <c r="F1593" s="40" t="s">
        <v>626</v>
      </c>
      <c r="G1593" s="40"/>
      <c r="H1593" s="628" t="s">
        <v>1092</v>
      </c>
      <c r="I1593" s="256">
        <v>288</v>
      </c>
      <c r="J1593" s="256">
        <v>23975</v>
      </c>
      <c r="K1593" s="614">
        <f t="shared" si="132"/>
        <v>6904800</v>
      </c>
      <c r="L1593" s="39" t="s">
        <v>157</v>
      </c>
      <c r="M1593" s="39" t="s">
        <v>151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894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>
        <f t="shared" si="128"/>
        <v>9</v>
      </c>
      <c r="C1594" s="37">
        <f t="shared" si="131"/>
        <v>40809</v>
      </c>
      <c r="D1594" s="37" t="s">
        <v>1216</v>
      </c>
      <c r="E1594" s="794">
        <v>40809</v>
      </c>
      <c r="F1594" s="40" t="s">
        <v>626</v>
      </c>
      <c r="G1594" s="40"/>
      <c r="H1594" s="628" t="s">
        <v>1092</v>
      </c>
      <c r="I1594" s="256">
        <v>300</v>
      </c>
      <c r="J1594" s="256">
        <v>23975</v>
      </c>
      <c r="K1594" s="614">
        <f t="shared" si="132"/>
        <v>7192500</v>
      </c>
      <c r="L1594" s="39" t="s">
        <v>157</v>
      </c>
      <c r="M1594" s="39" t="s">
        <v>151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894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>
        <f t="shared" si="128"/>
        <v>9</v>
      </c>
      <c r="C1595" s="37">
        <f t="shared" si="131"/>
        <v>40809</v>
      </c>
      <c r="D1595" s="37" t="s">
        <v>1216</v>
      </c>
      <c r="E1595" s="794">
        <v>40809</v>
      </c>
      <c r="F1595" s="189" t="s">
        <v>582</v>
      </c>
      <c r="G1595" s="40"/>
      <c r="H1595" s="628" t="s">
        <v>1092</v>
      </c>
      <c r="I1595" s="256">
        <v>62.5</v>
      </c>
      <c r="J1595" s="256">
        <v>19638.991999999998</v>
      </c>
      <c r="K1595" s="614">
        <f t="shared" si="132"/>
        <v>1227437</v>
      </c>
      <c r="L1595" s="39" t="s">
        <v>157</v>
      </c>
      <c r="M1595" s="39" t="s">
        <v>151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894"/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>
        <f t="shared" si="128"/>
        <v>9</v>
      </c>
      <c r="C1596" s="37">
        <f t="shared" si="131"/>
        <v>40809</v>
      </c>
      <c r="D1596" s="37" t="s">
        <v>1216</v>
      </c>
      <c r="E1596" s="794">
        <v>40809</v>
      </c>
      <c r="F1596" s="40" t="s">
        <v>624</v>
      </c>
      <c r="G1596" s="40"/>
      <c r="H1596" s="628" t="s">
        <v>1092</v>
      </c>
      <c r="I1596" s="256">
        <v>75</v>
      </c>
      <c r="J1596" s="256">
        <v>23688</v>
      </c>
      <c r="K1596" s="614">
        <f t="shared" si="132"/>
        <v>1776600</v>
      </c>
      <c r="L1596" s="39" t="s">
        <v>157</v>
      </c>
      <c r="M1596" s="39" t="s">
        <v>151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894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>
        <f t="shared" si="128"/>
        <v>9</v>
      </c>
      <c r="C1597" s="37">
        <f t="shared" si="131"/>
        <v>40809</v>
      </c>
      <c r="D1597" s="37" t="s">
        <v>1216</v>
      </c>
      <c r="E1597" s="794">
        <v>40809</v>
      </c>
      <c r="F1597" s="189" t="s">
        <v>555</v>
      </c>
      <c r="G1597" s="40"/>
      <c r="H1597" s="628" t="s">
        <v>1092</v>
      </c>
      <c r="I1597" s="256">
        <v>45</v>
      </c>
      <c r="J1597" s="256">
        <v>15345</v>
      </c>
      <c r="K1597" s="614">
        <f t="shared" si="132"/>
        <v>690525</v>
      </c>
      <c r="L1597" s="39" t="s">
        <v>157</v>
      </c>
      <c r="M1597" s="39" t="s">
        <v>151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894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>
        <f t="shared" si="128"/>
        <v>9</v>
      </c>
      <c r="C1598" s="37">
        <f t="shared" si="131"/>
        <v>40809</v>
      </c>
      <c r="D1598" s="37" t="s">
        <v>1131</v>
      </c>
      <c r="E1598" s="37">
        <v>40809</v>
      </c>
      <c r="F1598" s="40" t="s">
        <v>1026</v>
      </c>
      <c r="G1598" s="40"/>
      <c r="H1598" s="628" t="s">
        <v>1092</v>
      </c>
      <c r="I1598" s="256">
        <v>104</v>
      </c>
      <c r="J1598" s="256">
        <v>10643.937196691939</v>
      </c>
      <c r="K1598" s="614">
        <f t="shared" si="132"/>
        <v>1106969</v>
      </c>
      <c r="L1598" s="39" t="s">
        <v>159</v>
      </c>
      <c r="M1598" s="39" t="s">
        <v>157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894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>
        <f t="shared" si="128"/>
        <v>9</v>
      </c>
      <c r="C1599" s="37">
        <f t="shared" si="131"/>
        <v>40809</v>
      </c>
      <c r="D1599" s="37" t="s">
        <v>979</v>
      </c>
      <c r="E1599" s="37">
        <v>40809</v>
      </c>
      <c r="F1599" s="40" t="s">
        <v>1026</v>
      </c>
      <c r="G1599" s="40" t="s">
        <v>1195</v>
      </c>
      <c r="H1599" s="628" t="s">
        <v>761</v>
      </c>
      <c r="I1599" s="256">
        <v>104</v>
      </c>
      <c r="J1599" s="256">
        <v>10643.937196691939</v>
      </c>
      <c r="K1599" s="614">
        <f t="shared" si="132"/>
        <v>1106969</v>
      </c>
      <c r="L1599" s="39" t="s">
        <v>165</v>
      </c>
      <c r="M1599" s="39" t="s">
        <v>159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894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>
        <f t="shared" si="128"/>
        <v>9</v>
      </c>
      <c r="C1600" s="184">
        <v>40810</v>
      </c>
      <c r="D1600" s="184" t="s">
        <v>333</v>
      </c>
      <c r="E1600" s="184">
        <v>40810</v>
      </c>
      <c r="F1600" s="189" t="s">
        <v>364</v>
      </c>
      <c r="G1600" s="616" t="s">
        <v>330</v>
      </c>
      <c r="H1600" s="7"/>
      <c r="I1600" s="256"/>
      <c r="J1600" s="256"/>
      <c r="K1600" s="614">
        <v>44733</v>
      </c>
      <c r="L1600" s="615" t="s">
        <v>23</v>
      </c>
      <c r="M1600" s="615" t="s">
        <v>39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894"/>
    </row>
    <row r="1601" spans="1:27" ht="15.75" customHeight="1">
      <c r="A1601" s="204" t="str">
        <f>IF(B1601&lt;&gt;"",IF(AND(B1601&gt;=_TM1,B1601&lt;=_TM2,OR(TH!L1601="1111",TH!M1601="1111")),TH!D1601,""),"")</f>
        <v/>
      </c>
      <c r="B1601" s="36">
        <f t="shared" si="128"/>
        <v>9</v>
      </c>
      <c r="C1601" s="191">
        <v>40810</v>
      </c>
      <c r="D1601" s="191" t="s">
        <v>952</v>
      </c>
      <c r="E1601" s="191">
        <v>40810</v>
      </c>
      <c r="F1601" s="192" t="s">
        <v>335</v>
      </c>
      <c r="G1601" s="498" t="s">
        <v>1197</v>
      </c>
      <c r="H1601" s="210" t="s">
        <v>762</v>
      </c>
      <c r="I1601" s="256"/>
      <c r="J1601" s="256"/>
      <c r="K1601" s="614">
        <v>5078546</v>
      </c>
      <c r="L1601" s="194" t="s">
        <v>46</v>
      </c>
      <c r="M1601" s="194" t="s">
        <v>259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>x</v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894"/>
    </row>
    <row r="1602" spans="1:27" ht="15.75" customHeight="1">
      <c r="A1602" s="204" t="str">
        <f>IF(B1602&lt;&gt;"",IF(AND(B1602&gt;=_TM1,B1602&lt;=_TM2,OR(TH!L1602="1111",TH!M1602="1111")),TH!D1602,""),"")</f>
        <v/>
      </c>
      <c r="B1602" s="36">
        <f t="shared" si="128"/>
        <v>9</v>
      </c>
      <c r="C1602" s="191">
        <v>40810</v>
      </c>
      <c r="D1602" s="191" t="s">
        <v>980</v>
      </c>
      <c r="E1602" s="191">
        <v>40810</v>
      </c>
      <c r="F1602" s="192" t="s">
        <v>1027</v>
      </c>
      <c r="G1602" s="498" t="s">
        <v>1197</v>
      </c>
      <c r="H1602" s="210" t="s">
        <v>762</v>
      </c>
      <c r="I1602" s="256">
        <v>200</v>
      </c>
      <c r="J1602" s="256">
        <v>7340</v>
      </c>
      <c r="K1602" s="614">
        <v>1468000</v>
      </c>
      <c r="L1602" s="194" t="s">
        <v>259</v>
      </c>
      <c r="M1602" s="194" t="s">
        <v>167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894"/>
    </row>
    <row r="1603" spans="1:27" ht="15.75" customHeight="1">
      <c r="A1603" s="204" t="str">
        <f>IF(B1603&lt;&gt;"",IF(AND(B1603&gt;=_TM1,B1603&lt;=_TM2,OR(TH!L1603="1111",TH!M1603="1111")),TH!D1603,""),"")</f>
        <v/>
      </c>
      <c r="B1603" s="36">
        <f t="shared" si="128"/>
        <v>9</v>
      </c>
      <c r="C1603" s="191">
        <v>40810</v>
      </c>
      <c r="D1603" s="191" t="s">
        <v>980</v>
      </c>
      <c r="E1603" s="191">
        <v>40810</v>
      </c>
      <c r="F1603" s="192" t="s">
        <v>1028</v>
      </c>
      <c r="G1603" s="498" t="s">
        <v>1197</v>
      </c>
      <c r="H1603" s="210" t="s">
        <v>762</v>
      </c>
      <c r="I1603" s="256">
        <v>385</v>
      </c>
      <c r="J1603" s="256">
        <v>7340</v>
      </c>
      <c r="K1603" s="614">
        <v>2825900</v>
      </c>
      <c r="L1603" s="194" t="s">
        <v>259</v>
      </c>
      <c r="M1603" s="194" t="s">
        <v>167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894"/>
    </row>
    <row r="1604" spans="1:27" ht="15.75" customHeight="1">
      <c r="A1604" s="204" t="str">
        <f>IF(B1604&lt;&gt;"",IF(AND(B1604&gt;=_TM1,B1604&lt;=_TM2,OR(TH!L1604="1111",TH!M1604="1111")),TH!D1604,""),"")</f>
        <v/>
      </c>
      <c r="B1604" s="36">
        <f t="shared" si="128"/>
        <v>9</v>
      </c>
      <c r="C1604" s="191">
        <v>40810</v>
      </c>
      <c r="D1604" s="191" t="s">
        <v>980</v>
      </c>
      <c r="E1604" s="191">
        <v>40810</v>
      </c>
      <c r="F1604" s="192" t="s">
        <v>1029</v>
      </c>
      <c r="G1604" s="498" t="s">
        <v>1197</v>
      </c>
      <c r="H1604" s="210" t="s">
        <v>762</v>
      </c>
      <c r="I1604" s="256">
        <v>44</v>
      </c>
      <c r="J1604" s="256">
        <v>7340</v>
      </c>
      <c r="K1604" s="614">
        <v>322960</v>
      </c>
      <c r="L1604" s="194" t="s">
        <v>259</v>
      </c>
      <c r="M1604" s="194" t="s">
        <v>167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894"/>
    </row>
    <row r="1605" spans="1:27" ht="15.75" customHeight="1">
      <c r="A1605" s="204" t="str">
        <f>IF(B1605&lt;&gt;"",IF(AND(B1605&gt;=_TM1,B1605&lt;=_TM2,OR(TH!L1605="1111",TH!M1605="1111")),TH!D1605,""),"")</f>
        <v/>
      </c>
      <c r="B1605" s="36">
        <f t="shared" si="128"/>
        <v>9</v>
      </c>
      <c r="C1605" s="191">
        <v>40810</v>
      </c>
      <c r="D1605" s="191" t="s">
        <v>980</v>
      </c>
      <c r="E1605" s="191">
        <v>40810</v>
      </c>
      <c r="F1605" s="192" t="s">
        <v>1176</v>
      </c>
      <c r="G1605" s="498" t="s">
        <v>1197</v>
      </c>
      <c r="H1605" s="210" t="s">
        <v>762</v>
      </c>
      <c r="I1605" s="256"/>
      <c r="J1605" s="256"/>
      <c r="K1605" s="614">
        <v>461686</v>
      </c>
      <c r="L1605" s="194" t="s">
        <v>259</v>
      </c>
      <c r="M1605" s="194" t="s">
        <v>731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894"/>
    </row>
    <row r="1606" spans="1:27" ht="15.75" customHeight="1">
      <c r="A1606" s="204" t="str">
        <f>IF(B1606&lt;&gt;"",IF(AND(B1606&gt;=_TM1,B1606&lt;=_TM2,OR(TH!L1606="1111",TH!M1606="1111")),TH!D1606,""),"")</f>
        <v/>
      </c>
      <c r="B1606" s="36">
        <f t="shared" si="128"/>
        <v>9</v>
      </c>
      <c r="C1606" s="191">
        <v>40810</v>
      </c>
      <c r="D1606" s="191" t="s">
        <v>981</v>
      </c>
      <c r="E1606" s="191">
        <v>40810</v>
      </c>
      <c r="F1606" s="192" t="s">
        <v>1002</v>
      </c>
      <c r="G1606" s="498" t="s">
        <v>1198</v>
      </c>
      <c r="H1606" s="193" t="s">
        <v>733</v>
      </c>
      <c r="I1606" s="256">
        <v>727</v>
      </c>
      <c r="J1606" s="256">
        <v>14369</v>
      </c>
      <c r="K1606" s="614">
        <v>10446263</v>
      </c>
      <c r="L1606" s="194" t="s">
        <v>259</v>
      </c>
      <c r="M1606" s="194" t="s">
        <v>167</v>
      </c>
      <c r="N1606" s="52" t="str">
        <f>IF(AND('331-CT'!$E$7=TH!H1606,OR(L1606="331",M1606="331")),"331",IF(AND(OR(L1606="131",M1606="131"),H1606='131-CT'!$E$7),"131",""))</f>
        <v>131</v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894"/>
    </row>
    <row r="1607" spans="1:27" ht="15.75" customHeight="1">
      <c r="A1607" s="204" t="str">
        <f>IF(B1607&lt;&gt;"",IF(AND(B1607&gt;=_TM1,B1607&lt;=_TM2,OR(TH!L1607="1111",TH!M1607="1111")),TH!D1607,""),"")</f>
        <v/>
      </c>
      <c r="B1607" s="36">
        <f t="shared" si="128"/>
        <v>9</v>
      </c>
      <c r="C1607" s="191">
        <v>40810</v>
      </c>
      <c r="D1607" s="191" t="s">
        <v>981</v>
      </c>
      <c r="E1607" s="191">
        <v>40810</v>
      </c>
      <c r="F1607" s="192" t="s">
        <v>751</v>
      </c>
      <c r="G1607" s="498" t="s">
        <v>1198</v>
      </c>
      <c r="H1607" s="193" t="s">
        <v>733</v>
      </c>
      <c r="I1607" s="256">
        <v>2088</v>
      </c>
      <c r="J1607" s="256">
        <v>13939</v>
      </c>
      <c r="K1607" s="614">
        <v>29104632</v>
      </c>
      <c r="L1607" s="194" t="s">
        <v>259</v>
      </c>
      <c r="M1607" s="194" t="s">
        <v>167</v>
      </c>
      <c r="N1607" s="52" t="str">
        <f>IF(AND('331-CT'!$E$7=TH!H1607,OR(L1607="331",M1607="331")),"331",IF(AND(OR(L1607="131",M1607="131"),H1607='131-CT'!$E$7),"131",""))</f>
        <v>131</v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894"/>
    </row>
    <row r="1608" spans="1:27" ht="15.75" customHeight="1">
      <c r="A1608" s="204" t="str">
        <f>IF(B1608&lt;&gt;"",IF(AND(B1608&gt;=_TM1,B1608&lt;=_TM2,OR(TH!L1608="1111",TH!M1608="1111")),TH!D1608,""),"")</f>
        <v/>
      </c>
      <c r="B1608" s="36">
        <f t="shared" si="128"/>
        <v>9</v>
      </c>
      <c r="C1608" s="191">
        <v>40810</v>
      </c>
      <c r="D1608" s="191" t="s">
        <v>981</v>
      </c>
      <c r="E1608" s="191">
        <v>40810</v>
      </c>
      <c r="F1608" s="192" t="s">
        <v>1002</v>
      </c>
      <c r="G1608" s="498" t="s">
        <v>1198</v>
      </c>
      <c r="H1608" s="193" t="s">
        <v>733</v>
      </c>
      <c r="I1608" s="256">
        <v>1514</v>
      </c>
      <c r="J1608" s="256">
        <v>14369</v>
      </c>
      <c r="K1608" s="614">
        <v>21754666</v>
      </c>
      <c r="L1608" s="194" t="s">
        <v>259</v>
      </c>
      <c r="M1608" s="194" t="s">
        <v>167</v>
      </c>
      <c r="N1608" s="52" t="str">
        <f>IF(AND('331-CT'!$E$7=TH!H1608,OR(L1608="331",M1608="331")),"331",IF(AND(OR(L1608="131",M1608="131"),H1608='131-CT'!$E$7),"131",""))</f>
        <v>131</v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894"/>
    </row>
    <row r="1609" spans="1:27" ht="15.75" customHeight="1">
      <c r="A1609" s="204" t="str">
        <f>IF(B1609&lt;&gt;"",IF(AND(B1609&gt;=_TM1,B1609&lt;=_TM2,OR(TH!L1609="1111",TH!M1609="1111")),TH!D1609,""),"")</f>
        <v/>
      </c>
      <c r="B1609" s="36">
        <f t="shared" si="128"/>
        <v>9</v>
      </c>
      <c r="C1609" s="191">
        <v>40810</v>
      </c>
      <c r="D1609" s="191" t="s">
        <v>981</v>
      </c>
      <c r="E1609" s="191">
        <v>40810</v>
      </c>
      <c r="F1609" s="192" t="s">
        <v>746</v>
      </c>
      <c r="G1609" s="498" t="s">
        <v>1198</v>
      </c>
      <c r="H1609" s="193" t="s">
        <v>733</v>
      </c>
      <c r="I1609" s="256">
        <v>548</v>
      </c>
      <c r="J1609" s="256">
        <v>10534</v>
      </c>
      <c r="K1609" s="614">
        <v>5772632</v>
      </c>
      <c r="L1609" s="194" t="s">
        <v>259</v>
      </c>
      <c r="M1609" s="194" t="s">
        <v>167</v>
      </c>
      <c r="N1609" s="52" t="str">
        <f>IF(AND('331-CT'!$E$7=TH!H1609,OR(L1609="331",M1609="331")),"331",IF(AND(OR(L1609="131",M1609="131"),H1609='131-CT'!$E$7),"131",""))</f>
        <v>131</v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894"/>
    </row>
    <row r="1610" spans="1:27" ht="15.75" customHeight="1">
      <c r="A1610" s="204" t="str">
        <f>IF(B1610&lt;&gt;"",IF(AND(B1610&gt;=_TM1,B1610&lt;=_TM2,OR(TH!L1610="1111",TH!M1610="1111")),TH!D1610,""),"")</f>
        <v/>
      </c>
      <c r="B1610" s="36">
        <f t="shared" si="128"/>
        <v>9</v>
      </c>
      <c r="C1610" s="191">
        <v>40810</v>
      </c>
      <c r="D1610" s="191" t="s">
        <v>981</v>
      </c>
      <c r="E1610" s="191">
        <v>40810</v>
      </c>
      <c r="F1610" s="192" t="s">
        <v>750</v>
      </c>
      <c r="G1610" s="498" t="s">
        <v>1198</v>
      </c>
      <c r="H1610" s="193" t="s">
        <v>733</v>
      </c>
      <c r="I1610" s="256">
        <v>41</v>
      </c>
      <c r="J1610" s="256">
        <v>15549</v>
      </c>
      <c r="K1610" s="614">
        <v>637509</v>
      </c>
      <c r="L1610" s="194" t="s">
        <v>259</v>
      </c>
      <c r="M1610" s="194" t="s">
        <v>167</v>
      </c>
      <c r="N1610" s="52" t="str">
        <f>IF(AND('331-CT'!$E$7=TH!H1610,OR(L1610="331",M1610="331")),"331",IF(AND(OR(L1610="131",M1610="131"),H1610='131-CT'!$E$7),"131",""))</f>
        <v>131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894"/>
    </row>
    <row r="1611" spans="1:27" ht="15.75" customHeight="1">
      <c r="A1611" s="204" t="str">
        <f>IF(B1611&lt;&gt;"",IF(AND(B1611&gt;=_TM1,B1611&lt;=_TM2,OR(TH!L1611="1111",TH!M1611="1111")),TH!D1611,""),"")</f>
        <v/>
      </c>
      <c r="B1611" s="36">
        <f t="shared" si="128"/>
        <v>9</v>
      </c>
      <c r="C1611" s="191">
        <v>40810</v>
      </c>
      <c r="D1611" s="191" t="s">
        <v>981</v>
      </c>
      <c r="E1611" s="191">
        <v>40810</v>
      </c>
      <c r="F1611" s="192" t="s">
        <v>747</v>
      </c>
      <c r="G1611" s="498" t="s">
        <v>1198</v>
      </c>
      <c r="H1611" s="193" t="s">
        <v>733</v>
      </c>
      <c r="I1611" s="256">
        <v>20</v>
      </c>
      <c r="J1611" s="256">
        <v>11621</v>
      </c>
      <c r="K1611" s="614">
        <v>232420</v>
      </c>
      <c r="L1611" s="194" t="s">
        <v>259</v>
      </c>
      <c r="M1611" s="194" t="s">
        <v>167</v>
      </c>
      <c r="N1611" s="52" t="str">
        <f>IF(AND('331-CT'!$E$7=TH!H1611,OR(L1611="331",M1611="331")),"331",IF(AND(OR(L1611="131",M1611="131"),H1611='131-CT'!$E$7),"131",""))</f>
        <v>131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894"/>
    </row>
    <row r="1612" spans="1:27" ht="15.75" customHeight="1">
      <c r="A1612" s="204" t="str">
        <f>IF(B1612&lt;&gt;"",IF(AND(B1612&gt;=_TM1,B1612&lt;=_TM2,OR(TH!L1612="1111",TH!M1612="1111")),TH!D1612,""),"")</f>
        <v/>
      </c>
      <c r="B1612" s="36">
        <f t="shared" si="128"/>
        <v>9</v>
      </c>
      <c r="C1612" s="191">
        <v>40810</v>
      </c>
      <c r="D1612" s="191" t="s">
        <v>981</v>
      </c>
      <c r="E1612" s="191">
        <v>40810</v>
      </c>
      <c r="F1612" s="192" t="s">
        <v>1176</v>
      </c>
      <c r="G1612" s="498" t="s">
        <v>1198</v>
      </c>
      <c r="H1612" s="193" t="s">
        <v>733</v>
      </c>
      <c r="I1612" s="256"/>
      <c r="J1612" s="256"/>
      <c r="K1612" s="614">
        <f>6794812+1</f>
        <v>6794813</v>
      </c>
      <c r="L1612" s="194" t="s">
        <v>259</v>
      </c>
      <c r="M1612" s="194" t="s">
        <v>731</v>
      </c>
      <c r="N1612" s="52" t="str">
        <f>IF(AND('331-CT'!$E$7=TH!H1612,OR(L1612="331",M1612="331")),"331",IF(AND(OR(L1612="131",M1612="131"),H1612='131-CT'!$E$7),"131",""))</f>
        <v>131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894"/>
    </row>
    <row r="1613" spans="1:27" ht="15.75" customHeight="1">
      <c r="A1613" s="204" t="str">
        <f>IF(B1613&lt;&gt;"",IF(AND(B1613&gt;=_TM1,B1613&lt;=_TM2,OR(TH!L1613="1111",TH!M1613="1111")),TH!D1613,""),"")</f>
        <v/>
      </c>
      <c r="B1613" s="36">
        <f t="shared" si="128"/>
        <v>9</v>
      </c>
      <c r="C1613" s="37">
        <f t="shared" ref="C1613:C1630" si="133">E1613</f>
        <v>40810</v>
      </c>
      <c r="D1613" s="37" t="s">
        <v>1132</v>
      </c>
      <c r="E1613" s="37">
        <v>40810</v>
      </c>
      <c r="F1613" s="40" t="s">
        <v>1027</v>
      </c>
      <c r="G1613" s="40"/>
      <c r="H1613" s="628" t="s">
        <v>1092</v>
      </c>
      <c r="I1613" s="256">
        <v>200</v>
      </c>
      <c r="J1613" s="256">
        <v>7394.3987351534779</v>
      </c>
      <c r="K1613" s="614">
        <f t="shared" ref="K1613:K1630" si="134">ROUND(I1613*J1613,0)</f>
        <v>1478880</v>
      </c>
      <c r="L1613" s="39" t="s">
        <v>159</v>
      </c>
      <c r="M1613" s="39" t="s">
        <v>157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894"/>
    </row>
    <row r="1614" spans="1:27" ht="15.75" customHeight="1">
      <c r="A1614" s="204" t="str">
        <f>IF(B1614&lt;&gt;"",IF(AND(B1614&gt;=_TM1,B1614&lt;=_TM2,OR(TH!L1614="1111",TH!M1614="1111")),TH!D1614,""),"")</f>
        <v/>
      </c>
      <c r="B1614" s="36">
        <f t="shared" si="128"/>
        <v>9</v>
      </c>
      <c r="C1614" s="37">
        <f t="shared" si="133"/>
        <v>40810</v>
      </c>
      <c r="D1614" s="37" t="s">
        <v>1132</v>
      </c>
      <c r="E1614" s="37">
        <v>40810</v>
      </c>
      <c r="F1614" s="40" t="s">
        <v>1028</v>
      </c>
      <c r="G1614" s="40"/>
      <c r="H1614" s="628" t="s">
        <v>1092</v>
      </c>
      <c r="I1614" s="256">
        <v>385</v>
      </c>
      <c r="J1614" s="256">
        <v>7537.6688650236092</v>
      </c>
      <c r="K1614" s="614">
        <f t="shared" si="134"/>
        <v>2902003</v>
      </c>
      <c r="L1614" s="39" t="s">
        <v>159</v>
      </c>
      <c r="M1614" s="39" t="s">
        <v>157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894"/>
    </row>
    <row r="1615" spans="1:27" ht="15.75" customHeight="1">
      <c r="A1615" s="204" t="str">
        <f>IF(B1615&lt;&gt;"",IF(AND(B1615&gt;=_TM1,B1615&lt;=_TM2,OR(TH!L1615="1111",TH!M1615="1111")),TH!D1615,""),"")</f>
        <v/>
      </c>
      <c r="B1615" s="36">
        <f t="shared" si="128"/>
        <v>9</v>
      </c>
      <c r="C1615" s="37">
        <f t="shared" si="133"/>
        <v>40810</v>
      </c>
      <c r="D1615" s="37" t="s">
        <v>1132</v>
      </c>
      <c r="E1615" s="37">
        <v>40810</v>
      </c>
      <c r="F1615" s="40" t="s">
        <v>1029</v>
      </c>
      <c r="G1615" s="40"/>
      <c r="H1615" s="628" t="s">
        <v>1092</v>
      </c>
      <c r="I1615" s="256">
        <v>44</v>
      </c>
      <c r="J1615" s="256">
        <v>6671.398735153477</v>
      </c>
      <c r="K1615" s="614">
        <f t="shared" si="134"/>
        <v>293542</v>
      </c>
      <c r="L1615" s="39" t="s">
        <v>159</v>
      </c>
      <c r="M1615" s="39" t="s">
        <v>157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894"/>
    </row>
    <row r="1616" spans="1:27" ht="15.75" customHeight="1">
      <c r="A1616" s="204" t="str">
        <f>IF(B1616&lt;&gt;"",IF(AND(B1616&gt;=_TM1,B1616&lt;=_TM2,OR(TH!L1616="1111",TH!M1616="1111")),TH!D1616,""),"")</f>
        <v/>
      </c>
      <c r="B1616" s="36">
        <f t="shared" si="128"/>
        <v>9</v>
      </c>
      <c r="C1616" s="37">
        <f t="shared" si="133"/>
        <v>40810</v>
      </c>
      <c r="D1616" s="37" t="s">
        <v>1132</v>
      </c>
      <c r="E1616" s="37">
        <v>40810</v>
      </c>
      <c r="F1616" s="40" t="s">
        <v>1002</v>
      </c>
      <c r="G1616" s="40"/>
      <c r="H1616" s="628" t="s">
        <v>1092</v>
      </c>
      <c r="I1616" s="256">
        <v>727</v>
      </c>
      <c r="J1616" s="256">
        <v>12964.654581095709</v>
      </c>
      <c r="K1616" s="614">
        <f t="shared" si="134"/>
        <v>9425304</v>
      </c>
      <c r="L1616" s="39" t="s">
        <v>159</v>
      </c>
      <c r="M1616" s="39" t="s">
        <v>157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894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>
        <f t="shared" si="128"/>
        <v>9</v>
      </c>
      <c r="C1617" s="37">
        <f t="shared" si="133"/>
        <v>40810</v>
      </c>
      <c r="D1617" s="37" t="s">
        <v>1132</v>
      </c>
      <c r="E1617" s="37">
        <v>40810</v>
      </c>
      <c r="F1617" s="40" t="s">
        <v>751</v>
      </c>
      <c r="G1617" s="40"/>
      <c r="H1617" s="628" t="s">
        <v>1092</v>
      </c>
      <c r="I1617" s="256">
        <v>2088</v>
      </c>
      <c r="J1617" s="256">
        <v>8037.1975857281905</v>
      </c>
      <c r="K1617" s="614">
        <f t="shared" si="134"/>
        <v>16781669</v>
      </c>
      <c r="L1617" s="39" t="s">
        <v>159</v>
      </c>
      <c r="M1617" s="39" t="s">
        <v>157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894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>
        <f t="shared" si="128"/>
        <v>9</v>
      </c>
      <c r="C1618" s="37">
        <f t="shared" si="133"/>
        <v>40810</v>
      </c>
      <c r="D1618" s="37" t="s">
        <v>1132</v>
      </c>
      <c r="E1618" s="37">
        <v>40810</v>
      </c>
      <c r="F1618" s="40" t="s">
        <v>1002</v>
      </c>
      <c r="G1618" s="40"/>
      <c r="H1618" s="628" t="s">
        <v>1092</v>
      </c>
      <c r="I1618" s="256">
        <v>1514</v>
      </c>
      <c r="J1618" s="256">
        <v>12949.89873515348</v>
      </c>
      <c r="K1618" s="614">
        <f t="shared" si="134"/>
        <v>19606147</v>
      </c>
      <c r="L1618" s="39" t="s">
        <v>159</v>
      </c>
      <c r="M1618" s="39" t="s">
        <v>157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894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>
        <f t="shared" si="128"/>
        <v>9</v>
      </c>
      <c r="C1619" s="37">
        <f t="shared" si="133"/>
        <v>40810</v>
      </c>
      <c r="D1619" s="37" t="s">
        <v>1132</v>
      </c>
      <c r="E1619" s="37">
        <v>40810</v>
      </c>
      <c r="F1619" s="40" t="s">
        <v>746</v>
      </c>
      <c r="G1619" s="40"/>
      <c r="H1619" s="628" t="s">
        <v>1092</v>
      </c>
      <c r="I1619" s="256">
        <v>548</v>
      </c>
      <c r="J1619" s="256">
        <v>8878.7308519417984</v>
      </c>
      <c r="K1619" s="614">
        <f t="shared" si="134"/>
        <v>4865545</v>
      </c>
      <c r="L1619" s="39" t="s">
        <v>159</v>
      </c>
      <c r="M1619" s="39" t="s">
        <v>157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894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>
        <f t="shared" si="128"/>
        <v>9</v>
      </c>
      <c r="C1620" s="37">
        <f t="shared" si="133"/>
        <v>40810</v>
      </c>
      <c r="D1620" s="37" t="s">
        <v>1132</v>
      </c>
      <c r="E1620" s="37">
        <v>40810</v>
      </c>
      <c r="F1620" s="40" t="s">
        <v>750</v>
      </c>
      <c r="G1620" s="40"/>
      <c r="H1620" s="628" t="s">
        <v>1092</v>
      </c>
      <c r="I1620" s="256">
        <v>41</v>
      </c>
      <c r="J1620" s="256">
        <v>14530.447515641283</v>
      </c>
      <c r="K1620" s="614">
        <f t="shared" si="134"/>
        <v>595748</v>
      </c>
      <c r="L1620" s="39" t="s">
        <v>159</v>
      </c>
      <c r="M1620" s="39" t="s">
        <v>157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894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>
        <f t="shared" si="128"/>
        <v>9</v>
      </c>
      <c r="C1621" s="37">
        <f t="shared" si="133"/>
        <v>40810</v>
      </c>
      <c r="D1621" s="37" t="s">
        <v>1132</v>
      </c>
      <c r="E1621" s="37">
        <v>40810</v>
      </c>
      <c r="F1621" s="40" t="s">
        <v>747</v>
      </c>
      <c r="G1621" s="40"/>
      <c r="H1621" s="628" t="s">
        <v>1092</v>
      </c>
      <c r="I1621" s="256">
        <v>20</v>
      </c>
      <c r="J1621" s="256">
        <v>10708.89873515348</v>
      </c>
      <c r="K1621" s="614">
        <f t="shared" si="134"/>
        <v>214178</v>
      </c>
      <c r="L1621" s="39" t="s">
        <v>159</v>
      </c>
      <c r="M1621" s="39" t="s">
        <v>157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894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>
        <f t="shared" si="128"/>
        <v>9</v>
      </c>
      <c r="C1622" s="37">
        <f t="shared" si="133"/>
        <v>40810</v>
      </c>
      <c r="D1622" s="37" t="s">
        <v>980</v>
      </c>
      <c r="E1622" s="37">
        <v>40810</v>
      </c>
      <c r="F1622" s="40" t="s">
        <v>1027</v>
      </c>
      <c r="G1622" s="40" t="s">
        <v>1197</v>
      </c>
      <c r="H1622" s="628" t="s">
        <v>762</v>
      </c>
      <c r="I1622" s="256">
        <v>200</v>
      </c>
      <c r="J1622" s="256">
        <v>7394.3987351534779</v>
      </c>
      <c r="K1622" s="614">
        <f t="shared" si="134"/>
        <v>1478880</v>
      </c>
      <c r="L1622" s="39" t="s">
        <v>165</v>
      </c>
      <c r="M1622" s="39" t="s">
        <v>159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894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>
        <f t="shared" si="128"/>
        <v>9</v>
      </c>
      <c r="C1623" s="37">
        <f t="shared" si="133"/>
        <v>40810</v>
      </c>
      <c r="D1623" s="37" t="s">
        <v>980</v>
      </c>
      <c r="E1623" s="37">
        <v>40810</v>
      </c>
      <c r="F1623" s="40" t="s">
        <v>1028</v>
      </c>
      <c r="G1623" s="40" t="s">
        <v>1197</v>
      </c>
      <c r="H1623" s="628" t="s">
        <v>762</v>
      </c>
      <c r="I1623" s="256">
        <v>385</v>
      </c>
      <c r="J1623" s="256">
        <v>7537.6688650236092</v>
      </c>
      <c r="K1623" s="614">
        <f t="shared" si="134"/>
        <v>2902003</v>
      </c>
      <c r="L1623" s="39" t="s">
        <v>165</v>
      </c>
      <c r="M1623" s="39" t="s">
        <v>159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894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>
        <f t="shared" si="128"/>
        <v>9</v>
      </c>
      <c r="C1624" s="37">
        <f t="shared" si="133"/>
        <v>40810</v>
      </c>
      <c r="D1624" s="37" t="s">
        <v>980</v>
      </c>
      <c r="E1624" s="37">
        <v>40810</v>
      </c>
      <c r="F1624" s="40" t="s">
        <v>1029</v>
      </c>
      <c r="G1624" s="40" t="s">
        <v>1197</v>
      </c>
      <c r="H1624" s="628" t="s">
        <v>762</v>
      </c>
      <c r="I1624" s="256">
        <v>44</v>
      </c>
      <c r="J1624" s="256">
        <v>6671.398735153477</v>
      </c>
      <c r="K1624" s="614">
        <f t="shared" si="134"/>
        <v>293542</v>
      </c>
      <c r="L1624" s="39" t="s">
        <v>165</v>
      </c>
      <c r="M1624" s="39" t="s">
        <v>159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894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>
        <f t="shared" ref="B1625:B1688" si="135">IF(C1625&lt;&gt;"",MONTH(C1625),"")</f>
        <v>9</v>
      </c>
      <c r="C1625" s="37">
        <f t="shared" si="133"/>
        <v>40810</v>
      </c>
      <c r="D1625" s="37" t="s">
        <v>981</v>
      </c>
      <c r="E1625" s="37">
        <v>40810</v>
      </c>
      <c r="F1625" s="40" t="s">
        <v>1002</v>
      </c>
      <c r="G1625" s="40" t="s">
        <v>1198</v>
      </c>
      <c r="H1625" s="628" t="s">
        <v>733</v>
      </c>
      <c r="I1625" s="256">
        <v>727</v>
      </c>
      <c r="J1625" s="256">
        <v>12964.654581095709</v>
      </c>
      <c r="K1625" s="614">
        <f t="shared" si="134"/>
        <v>9425304</v>
      </c>
      <c r="L1625" s="39" t="s">
        <v>165</v>
      </c>
      <c r="M1625" s="39" t="s">
        <v>159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894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>
        <f t="shared" si="135"/>
        <v>9</v>
      </c>
      <c r="C1626" s="37">
        <f t="shared" si="133"/>
        <v>40810</v>
      </c>
      <c r="D1626" s="37" t="s">
        <v>981</v>
      </c>
      <c r="E1626" s="37">
        <v>40810</v>
      </c>
      <c r="F1626" s="40" t="s">
        <v>751</v>
      </c>
      <c r="G1626" s="40" t="s">
        <v>1198</v>
      </c>
      <c r="H1626" s="628" t="s">
        <v>733</v>
      </c>
      <c r="I1626" s="256">
        <v>2088</v>
      </c>
      <c r="J1626" s="256">
        <v>8037.1975857281905</v>
      </c>
      <c r="K1626" s="614">
        <f t="shared" si="134"/>
        <v>16781669</v>
      </c>
      <c r="L1626" s="39" t="s">
        <v>165</v>
      </c>
      <c r="M1626" s="39" t="s">
        <v>159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894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>
        <f t="shared" si="135"/>
        <v>9</v>
      </c>
      <c r="C1627" s="37">
        <f t="shared" si="133"/>
        <v>40810</v>
      </c>
      <c r="D1627" s="37" t="s">
        <v>981</v>
      </c>
      <c r="E1627" s="37">
        <v>40810</v>
      </c>
      <c r="F1627" s="40" t="s">
        <v>1002</v>
      </c>
      <c r="G1627" s="40" t="s">
        <v>1198</v>
      </c>
      <c r="H1627" s="628" t="s">
        <v>733</v>
      </c>
      <c r="I1627" s="256">
        <v>1514</v>
      </c>
      <c r="J1627" s="256">
        <v>12949.89873515348</v>
      </c>
      <c r="K1627" s="614">
        <f t="shared" si="134"/>
        <v>19606147</v>
      </c>
      <c r="L1627" s="39" t="s">
        <v>165</v>
      </c>
      <c r="M1627" s="39" t="s">
        <v>159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894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>
        <f t="shared" si="135"/>
        <v>9</v>
      </c>
      <c r="C1628" s="37">
        <f t="shared" si="133"/>
        <v>40810</v>
      </c>
      <c r="D1628" s="37" t="s">
        <v>981</v>
      </c>
      <c r="E1628" s="37">
        <v>40810</v>
      </c>
      <c r="F1628" s="40" t="s">
        <v>746</v>
      </c>
      <c r="G1628" s="40" t="s">
        <v>1198</v>
      </c>
      <c r="H1628" s="628" t="s">
        <v>733</v>
      </c>
      <c r="I1628" s="256">
        <v>548</v>
      </c>
      <c r="J1628" s="256">
        <v>8878.7308519417984</v>
      </c>
      <c r="K1628" s="614">
        <f t="shared" si="134"/>
        <v>4865545</v>
      </c>
      <c r="L1628" s="39" t="s">
        <v>165</v>
      </c>
      <c r="M1628" s="39" t="s">
        <v>159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894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>
        <f t="shared" si="135"/>
        <v>9</v>
      </c>
      <c r="C1629" s="37">
        <f t="shared" si="133"/>
        <v>40810</v>
      </c>
      <c r="D1629" s="37" t="s">
        <v>981</v>
      </c>
      <c r="E1629" s="37">
        <v>40810</v>
      </c>
      <c r="F1629" s="40" t="s">
        <v>750</v>
      </c>
      <c r="G1629" s="40" t="s">
        <v>1198</v>
      </c>
      <c r="H1629" s="628" t="s">
        <v>733</v>
      </c>
      <c r="I1629" s="256">
        <v>41</v>
      </c>
      <c r="J1629" s="256">
        <v>14530.447515641283</v>
      </c>
      <c r="K1629" s="614">
        <f t="shared" si="134"/>
        <v>595748</v>
      </c>
      <c r="L1629" s="39" t="s">
        <v>165</v>
      </c>
      <c r="M1629" s="39" t="s">
        <v>159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894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>
        <f t="shared" si="135"/>
        <v>9</v>
      </c>
      <c r="C1630" s="37">
        <f t="shared" si="133"/>
        <v>40810</v>
      </c>
      <c r="D1630" s="37" t="s">
        <v>981</v>
      </c>
      <c r="E1630" s="37">
        <v>40810</v>
      </c>
      <c r="F1630" s="40" t="s">
        <v>747</v>
      </c>
      <c r="G1630" s="40" t="s">
        <v>1198</v>
      </c>
      <c r="H1630" s="628" t="s">
        <v>733</v>
      </c>
      <c r="I1630" s="256">
        <v>20</v>
      </c>
      <c r="J1630" s="256">
        <v>10708.89873515348</v>
      </c>
      <c r="K1630" s="614">
        <f t="shared" si="134"/>
        <v>214178</v>
      </c>
      <c r="L1630" s="39" t="s">
        <v>165</v>
      </c>
      <c r="M1630" s="39" t="s">
        <v>159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894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>
        <f t="shared" si="135"/>
        <v>9</v>
      </c>
      <c r="C1631" s="191">
        <v>40811</v>
      </c>
      <c r="D1631" s="191" t="s">
        <v>982</v>
      </c>
      <c r="E1631" s="191">
        <v>40811</v>
      </c>
      <c r="F1631" s="192" t="s">
        <v>922</v>
      </c>
      <c r="G1631" s="498" t="s">
        <v>1199</v>
      </c>
      <c r="H1631" s="193" t="s">
        <v>733</v>
      </c>
      <c r="I1631" s="256">
        <v>106</v>
      </c>
      <c r="J1631" s="256">
        <v>8398</v>
      </c>
      <c r="K1631" s="614">
        <v>890188</v>
      </c>
      <c r="L1631" s="194" t="s">
        <v>259</v>
      </c>
      <c r="M1631" s="194" t="s">
        <v>167</v>
      </c>
      <c r="N1631" s="52" t="str">
        <f>IF(AND('331-CT'!$E$7=TH!H1631,OR(L1631="331",M1631="331")),"331",IF(AND(OR(L1631="131",M1631="131"),H1631='131-CT'!$E$7),"131",""))</f>
        <v>131</v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894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>
        <f t="shared" si="135"/>
        <v>9</v>
      </c>
      <c r="C1632" s="191">
        <v>40811</v>
      </c>
      <c r="D1632" s="191" t="s">
        <v>982</v>
      </c>
      <c r="E1632" s="191">
        <v>40811</v>
      </c>
      <c r="F1632" s="192" t="s">
        <v>926</v>
      </c>
      <c r="G1632" s="498" t="s">
        <v>1199</v>
      </c>
      <c r="H1632" s="193" t="s">
        <v>733</v>
      </c>
      <c r="I1632" s="256">
        <v>499</v>
      </c>
      <c r="J1632" s="256">
        <v>9538</v>
      </c>
      <c r="K1632" s="614">
        <v>4759462</v>
      </c>
      <c r="L1632" s="194" t="s">
        <v>259</v>
      </c>
      <c r="M1632" s="194" t="s">
        <v>167</v>
      </c>
      <c r="N1632" s="52" t="str">
        <f>IF(AND('331-CT'!$E$7=TH!H1632,OR(L1632="331",M1632="331")),"331",IF(AND(OR(L1632="131",M1632="131"),H1632='131-CT'!$E$7),"131",""))</f>
        <v>131</v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894"/>
    </row>
    <row r="1633" spans="1:27" ht="15.75" customHeight="1">
      <c r="A1633" s="204" t="str">
        <f>IF(B1633&lt;&gt;"",IF(AND(B1633&gt;=_TM1,B1633&lt;=_TM2,OR(TH!L1633="1111",TH!M1633="1111")),TH!D1633,""),"")</f>
        <v/>
      </c>
      <c r="B1633" s="36">
        <f t="shared" si="135"/>
        <v>9</v>
      </c>
      <c r="C1633" s="191">
        <v>40811</v>
      </c>
      <c r="D1633" s="191" t="s">
        <v>982</v>
      </c>
      <c r="E1633" s="191">
        <v>40811</v>
      </c>
      <c r="F1633" s="192" t="s">
        <v>757</v>
      </c>
      <c r="G1633" s="498" t="s">
        <v>1199</v>
      </c>
      <c r="H1633" s="193" t="s">
        <v>733</v>
      </c>
      <c r="I1633" s="256">
        <v>3</v>
      </c>
      <c r="J1633" s="256">
        <v>5166</v>
      </c>
      <c r="K1633" s="614">
        <v>15498</v>
      </c>
      <c r="L1633" s="194" t="s">
        <v>259</v>
      </c>
      <c r="M1633" s="194" t="s">
        <v>167</v>
      </c>
      <c r="N1633" s="52" t="str">
        <f>IF(AND('331-CT'!$E$7=TH!H1633,OR(L1633="331",M1633="331")),"331",IF(AND(OR(L1633="131",M1633="131"),H1633='131-CT'!$E$7),"131",""))</f>
        <v>131</v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894"/>
    </row>
    <row r="1634" spans="1:27" ht="15.75" customHeight="1">
      <c r="A1634" s="204" t="str">
        <f>IF(B1634&lt;&gt;"",IF(AND(B1634&gt;=_TM1,B1634&lt;=_TM2,OR(TH!L1634="1111",TH!M1634="1111")),TH!D1634,""),"")</f>
        <v/>
      </c>
      <c r="B1634" s="36">
        <f t="shared" si="135"/>
        <v>9</v>
      </c>
      <c r="C1634" s="191">
        <v>40811</v>
      </c>
      <c r="D1634" s="191" t="s">
        <v>982</v>
      </c>
      <c r="E1634" s="191">
        <v>40811</v>
      </c>
      <c r="F1634" s="192" t="s">
        <v>748</v>
      </c>
      <c r="G1634" s="498" t="s">
        <v>1199</v>
      </c>
      <c r="H1634" s="193" t="s">
        <v>733</v>
      </c>
      <c r="I1634" s="256">
        <v>13</v>
      </c>
      <c r="J1634" s="256">
        <v>10189</v>
      </c>
      <c r="K1634" s="614">
        <v>132457</v>
      </c>
      <c r="L1634" s="194" t="s">
        <v>259</v>
      </c>
      <c r="M1634" s="194" t="s">
        <v>167</v>
      </c>
      <c r="N1634" s="52" t="str">
        <f>IF(AND('331-CT'!$E$7=TH!H1634,OR(L1634="331",M1634="331")),"331",IF(AND(OR(L1634="131",M1634="131"),H1634='131-CT'!$E$7),"131",""))</f>
        <v>131</v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894"/>
    </row>
    <row r="1635" spans="1:27" ht="15.75" customHeight="1">
      <c r="A1635" s="204" t="str">
        <f>IF(B1635&lt;&gt;"",IF(AND(B1635&gt;=_TM1,B1635&lt;=_TM2,OR(TH!L1635="1111",TH!M1635="1111")),TH!D1635,""),"")</f>
        <v/>
      </c>
      <c r="B1635" s="36">
        <f t="shared" si="135"/>
        <v>9</v>
      </c>
      <c r="C1635" s="191">
        <v>40811</v>
      </c>
      <c r="D1635" s="191" t="s">
        <v>982</v>
      </c>
      <c r="E1635" s="191">
        <v>40811</v>
      </c>
      <c r="F1635" s="192" t="s">
        <v>1271</v>
      </c>
      <c r="G1635" s="498" t="s">
        <v>1199</v>
      </c>
      <c r="H1635" s="193" t="s">
        <v>733</v>
      </c>
      <c r="I1635" s="256">
        <v>1</v>
      </c>
      <c r="J1635" s="256">
        <v>10211</v>
      </c>
      <c r="K1635" s="614">
        <v>10211</v>
      </c>
      <c r="L1635" s="194" t="s">
        <v>259</v>
      </c>
      <c r="M1635" s="194" t="s">
        <v>167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894"/>
    </row>
    <row r="1636" spans="1:27" ht="15.75" customHeight="1">
      <c r="A1636" s="204" t="str">
        <f>IF(B1636&lt;&gt;"",IF(AND(B1636&gt;=_TM1,B1636&lt;=_TM2,OR(TH!L1636="1111",TH!M1636="1111")),TH!D1636,""),"")</f>
        <v/>
      </c>
      <c r="B1636" s="36">
        <f t="shared" si="135"/>
        <v>9</v>
      </c>
      <c r="C1636" s="191">
        <v>40811</v>
      </c>
      <c r="D1636" s="191" t="s">
        <v>982</v>
      </c>
      <c r="E1636" s="191">
        <v>40811</v>
      </c>
      <c r="F1636" s="189" t="s">
        <v>924</v>
      </c>
      <c r="G1636" s="498" t="s">
        <v>1199</v>
      </c>
      <c r="H1636" s="193" t="s">
        <v>733</v>
      </c>
      <c r="I1636" s="256">
        <v>6</v>
      </c>
      <c r="J1636" s="256">
        <v>7042</v>
      </c>
      <c r="K1636" s="614">
        <v>42252</v>
      </c>
      <c r="L1636" s="194" t="s">
        <v>259</v>
      </c>
      <c r="M1636" s="194" t="s">
        <v>167</v>
      </c>
      <c r="N1636" s="52" t="str">
        <f>IF(AND('331-CT'!$E$7=TH!H1636,OR(L1636="331",M1636="331")),"331",IF(AND(OR(L1636="131",M1636="131"),H1636='131-CT'!$E$7),"131",""))</f>
        <v>131</v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894"/>
    </row>
    <row r="1637" spans="1:27" ht="15.75" customHeight="1">
      <c r="A1637" s="204" t="str">
        <f>IF(B1637&lt;&gt;"",IF(AND(B1637&gt;=_TM1,B1637&lt;=_TM2,OR(TH!L1637="1111",TH!M1637="1111")),TH!D1637,""),"")</f>
        <v/>
      </c>
      <c r="B1637" s="36">
        <f t="shared" si="135"/>
        <v>9</v>
      </c>
      <c r="C1637" s="191">
        <v>40811</v>
      </c>
      <c r="D1637" s="191" t="s">
        <v>982</v>
      </c>
      <c r="E1637" s="191">
        <v>40811</v>
      </c>
      <c r="F1637" s="192" t="s">
        <v>999</v>
      </c>
      <c r="G1637" s="498" t="s">
        <v>1199</v>
      </c>
      <c r="H1637" s="193" t="s">
        <v>733</v>
      </c>
      <c r="I1637" s="256">
        <v>2</v>
      </c>
      <c r="J1637" s="256">
        <v>6510</v>
      </c>
      <c r="K1637" s="614">
        <v>13020</v>
      </c>
      <c r="L1637" s="194" t="s">
        <v>259</v>
      </c>
      <c r="M1637" s="194" t="s">
        <v>167</v>
      </c>
      <c r="N1637" s="52" t="str">
        <f>IF(AND('331-CT'!$E$7=TH!H1637,OR(L1637="331",M1637="331")),"331",IF(AND(OR(L1637="131",M1637="131"),H1637='131-CT'!$E$7),"131",""))</f>
        <v>131</v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894"/>
    </row>
    <row r="1638" spans="1:27" ht="15.75" customHeight="1">
      <c r="A1638" s="204" t="str">
        <f>IF(B1638&lt;&gt;"",IF(AND(B1638&gt;=_TM1,B1638&lt;=_TM2,OR(TH!L1638="1111",TH!M1638="1111")),TH!D1638,""),"")</f>
        <v/>
      </c>
      <c r="B1638" s="36">
        <f t="shared" si="135"/>
        <v>9</v>
      </c>
      <c r="C1638" s="191">
        <v>40811</v>
      </c>
      <c r="D1638" s="191" t="s">
        <v>982</v>
      </c>
      <c r="E1638" s="191">
        <v>40811</v>
      </c>
      <c r="F1638" s="192" t="s">
        <v>1031</v>
      </c>
      <c r="G1638" s="498" t="s">
        <v>1199</v>
      </c>
      <c r="H1638" s="193" t="s">
        <v>733</v>
      </c>
      <c r="I1638" s="256">
        <v>2</v>
      </c>
      <c r="J1638" s="256">
        <v>7229</v>
      </c>
      <c r="K1638" s="614">
        <v>14458</v>
      </c>
      <c r="L1638" s="194" t="s">
        <v>259</v>
      </c>
      <c r="M1638" s="194" t="s">
        <v>167</v>
      </c>
      <c r="N1638" s="52" t="str">
        <f>IF(AND('331-CT'!$E$7=TH!H1638,OR(L1638="331",M1638="331")),"331",IF(AND(OR(L1638="131",M1638="131"),H1638='131-CT'!$E$7),"131",""))</f>
        <v>131</v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894"/>
    </row>
    <row r="1639" spans="1:27" ht="15.75" customHeight="1">
      <c r="A1639" s="204" t="str">
        <f>IF(B1639&lt;&gt;"",IF(AND(B1639&gt;=_TM1,B1639&lt;=_TM2,OR(TH!L1639="1111",TH!M1639="1111")),TH!D1639,""),"")</f>
        <v/>
      </c>
      <c r="B1639" s="36">
        <f t="shared" si="135"/>
        <v>9</v>
      </c>
      <c r="C1639" s="191">
        <v>40811</v>
      </c>
      <c r="D1639" s="191" t="s">
        <v>982</v>
      </c>
      <c r="E1639" s="191">
        <v>40811</v>
      </c>
      <c r="F1639" s="192" t="s">
        <v>1176</v>
      </c>
      <c r="G1639" s="498" t="s">
        <v>1199</v>
      </c>
      <c r="H1639" s="193" t="s">
        <v>733</v>
      </c>
      <c r="I1639" s="256"/>
      <c r="J1639" s="256"/>
      <c r="K1639" s="614">
        <v>587755</v>
      </c>
      <c r="L1639" s="194" t="s">
        <v>259</v>
      </c>
      <c r="M1639" s="194" t="s">
        <v>731</v>
      </c>
      <c r="N1639" s="52" t="str">
        <f>IF(AND('331-CT'!$E$7=TH!H1639,OR(L1639="331",M1639="331")),"331",IF(AND(OR(L1639="131",M1639="131"),H1639='131-CT'!$E$7),"131",""))</f>
        <v>131</v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894"/>
    </row>
    <row r="1640" spans="1:27" ht="15.75" customHeight="1">
      <c r="A1640" s="204" t="str">
        <f>IF(B1640&lt;&gt;"",IF(AND(B1640&gt;=_TM1,B1640&lt;=_TM2,OR(TH!L1640="1111",TH!M1640="1111")),TH!D1640,""),"")</f>
        <v/>
      </c>
      <c r="B1640" s="36">
        <f t="shared" si="135"/>
        <v>9</v>
      </c>
      <c r="C1640" s="37">
        <f t="shared" ref="C1640:C1659" si="136">E1640</f>
        <v>40811</v>
      </c>
      <c r="D1640" s="37" t="s">
        <v>1217</v>
      </c>
      <c r="E1640" s="794">
        <v>40811</v>
      </c>
      <c r="F1640" s="189" t="s">
        <v>581</v>
      </c>
      <c r="G1640" s="40"/>
      <c r="H1640" s="628" t="s">
        <v>1092</v>
      </c>
      <c r="I1640" s="256">
        <v>100</v>
      </c>
      <c r="J1640" s="256">
        <v>16787</v>
      </c>
      <c r="K1640" s="614">
        <f t="shared" ref="K1640:K1659" si="137">ROUND(I1640*J1640,0)</f>
        <v>1678700</v>
      </c>
      <c r="L1640" s="39" t="s">
        <v>157</v>
      </c>
      <c r="M1640" s="39" t="s">
        <v>151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894"/>
    </row>
    <row r="1641" spans="1:27" ht="15.75" customHeight="1">
      <c r="A1641" s="204" t="str">
        <f>IF(B1641&lt;&gt;"",IF(AND(B1641&gt;=_TM1,B1641&lt;=_TM2,OR(TH!L1641="1111",TH!M1641="1111")),TH!D1641,""),"")</f>
        <v/>
      </c>
      <c r="B1641" s="36">
        <f t="shared" si="135"/>
        <v>9</v>
      </c>
      <c r="C1641" s="37">
        <f t="shared" si="136"/>
        <v>40811</v>
      </c>
      <c r="D1641" s="37" t="s">
        <v>1217</v>
      </c>
      <c r="E1641" s="794">
        <v>40811</v>
      </c>
      <c r="F1641" s="298" t="s">
        <v>479</v>
      </c>
      <c r="G1641" s="40"/>
      <c r="H1641" s="628" t="s">
        <v>1092</v>
      </c>
      <c r="I1641" s="256">
        <v>110</v>
      </c>
      <c r="J1641" s="256">
        <v>6026</v>
      </c>
      <c r="K1641" s="614">
        <f t="shared" si="137"/>
        <v>662860</v>
      </c>
      <c r="L1641" s="39" t="s">
        <v>157</v>
      </c>
      <c r="M1641" s="39" t="s">
        <v>151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894"/>
    </row>
    <row r="1642" spans="1:27" ht="15.75" customHeight="1">
      <c r="A1642" s="204" t="str">
        <f>IF(B1642&lt;&gt;"",IF(AND(B1642&gt;=_TM1,B1642&lt;=_TM2,OR(TH!L1642="1111",TH!M1642="1111")),TH!D1642,""),"")</f>
        <v/>
      </c>
      <c r="B1642" s="36">
        <f t="shared" si="135"/>
        <v>9</v>
      </c>
      <c r="C1642" s="37">
        <f t="shared" si="136"/>
        <v>40811</v>
      </c>
      <c r="D1642" s="37" t="s">
        <v>1217</v>
      </c>
      <c r="E1642" s="794">
        <v>40811</v>
      </c>
      <c r="F1642" s="40" t="s">
        <v>597</v>
      </c>
      <c r="G1642" s="40"/>
      <c r="H1642" s="628" t="s">
        <v>1092</v>
      </c>
      <c r="I1642" s="256">
        <v>138</v>
      </c>
      <c r="J1642" s="256">
        <v>25942</v>
      </c>
      <c r="K1642" s="614">
        <f t="shared" si="137"/>
        <v>3579996</v>
      </c>
      <c r="L1642" s="39" t="s">
        <v>157</v>
      </c>
      <c r="M1642" s="39" t="s">
        <v>151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894"/>
    </row>
    <row r="1643" spans="1:27" ht="15.75" customHeight="1">
      <c r="A1643" s="204" t="str">
        <f>IF(B1643&lt;&gt;"",IF(AND(B1643&gt;=_TM1,B1643&lt;=_TM2,OR(TH!L1643="1111",TH!M1643="1111")),TH!D1643,""),"")</f>
        <v/>
      </c>
      <c r="B1643" s="36">
        <f t="shared" si="135"/>
        <v>9</v>
      </c>
      <c r="C1643" s="37">
        <f t="shared" si="136"/>
        <v>40811</v>
      </c>
      <c r="D1643" s="37" t="s">
        <v>1217</v>
      </c>
      <c r="E1643" s="794">
        <v>40811</v>
      </c>
      <c r="F1643" s="189" t="s">
        <v>542</v>
      </c>
      <c r="G1643" s="40"/>
      <c r="H1643" s="628" t="s">
        <v>1092</v>
      </c>
      <c r="I1643" s="256">
        <v>115</v>
      </c>
      <c r="J1643" s="256">
        <v>19638</v>
      </c>
      <c r="K1643" s="614">
        <f t="shared" si="137"/>
        <v>2258370</v>
      </c>
      <c r="L1643" s="39" t="s">
        <v>157</v>
      </c>
      <c r="M1643" s="39" t="s">
        <v>151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894"/>
    </row>
    <row r="1644" spans="1:27" ht="15.75" customHeight="1">
      <c r="A1644" s="204" t="str">
        <f>IF(B1644&lt;&gt;"",IF(AND(B1644&gt;=_TM1,B1644&lt;=_TM2,OR(TH!L1644="1111",TH!M1644="1111")),TH!D1644,""),"")</f>
        <v/>
      </c>
      <c r="B1644" s="36">
        <f t="shared" si="135"/>
        <v>9</v>
      </c>
      <c r="C1644" s="37">
        <f t="shared" si="136"/>
        <v>40811</v>
      </c>
      <c r="D1644" s="37" t="s">
        <v>1210</v>
      </c>
      <c r="E1644" s="37">
        <v>40811</v>
      </c>
      <c r="F1644" s="192" t="s">
        <v>922</v>
      </c>
      <c r="G1644" s="40"/>
      <c r="H1644" s="628" t="s">
        <v>1092</v>
      </c>
      <c r="I1644" s="256">
        <v>106</v>
      </c>
      <c r="J1644" s="256">
        <v>7394.3987351534788</v>
      </c>
      <c r="K1644" s="614">
        <f t="shared" si="137"/>
        <v>783806</v>
      </c>
      <c r="L1644" s="39" t="s">
        <v>159</v>
      </c>
      <c r="M1644" s="39" t="s">
        <v>157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894"/>
    </row>
    <row r="1645" spans="1:27" ht="15.75" customHeight="1">
      <c r="A1645" s="204" t="str">
        <f>IF(B1645&lt;&gt;"",IF(AND(B1645&gt;=_TM1,B1645&lt;=_TM2,OR(TH!L1645="1111",TH!M1645="1111")),TH!D1645,""),"")</f>
        <v/>
      </c>
      <c r="B1645" s="36">
        <f t="shared" si="135"/>
        <v>9</v>
      </c>
      <c r="C1645" s="37">
        <f t="shared" si="136"/>
        <v>40811</v>
      </c>
      <c r="D1645" s="37" t="s">
        <v>1210</v>
      </c>
      <c r="E1645" s="37">
        <v>40811</v>
      </c>
      <c r="F1645" s="192" t="s">
        <v>926</v>
      </c>
      <c r="G1645" s="40"/>
      <c r="H1645" s="628" t="s">
        <v>1092</v>
      </c>
      <c r="I1645" s="256">
        <v>499</v>
      </c>
      <c r="J1645" s="256">
        <v>8248.3987351534797</v>
      </c>
      <c r="K1645" s="614">
        <f t="shared" si="137"/>
        <v>4115951</v>
      </c>
      <c r="L1645" s="39" t="s">
        <v>159</v>
      </c>
      <c r="M1645" s="39" t="s">
        <v>157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894"/>
    </row>
    <row r="1646" spans="1:27" ht="15.75" customHeight="1">
      <c r="A1646" s="204" t="str">
        <f>IF(B1646&lt;&gt;"",IF(AND(B1646&gt;=_TM1,B1646&lt;=_TM2,OR(TH!L1646="1111",TH!M1646="1111")),TH!D1646,""),"")</f>
        <v/>
      </c>
      <c r="B1646" s="36">
        <f t="shared" si="135"/>
        <v>9</v>
      </c>
      <c r="C1646" s="37">
        <f t="shared" si="136"/>
        <v>40811</v>
      </c>
      <c r="D1646" s="37" t="s">
        <v>1210</v>
      </c>
      <c r="E1646" s="37">
        <v>40811</v>
      </c>
      <c r="F1646" s="40" t="s">
        <v>757</v>
      </c>
      <c r="G1646" s="40"/>
      <c r="H1646" s="628" t="s">
        <v>1092</v>
      </c>
      <c r="I1646" s="256">
        <v>3</v>
      </c>
      <c r="J1646" s="256">
        <v>5188.3987351534788</v>
      </c>
      <c r="K1646" s="614">
        <f t="shared" si="137"/>
        <v>15565</v>
      </c>
      <c r="L1646" s="39" t="s">
        <v>159</v>
      </c>
      <c r="M1646" s="39" t="s">
        <v>157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894"/>
    </row>
    <row r="1647" spans="1:27" ht="15.75" customHeight="1">
      <c r="A1647" s="204" t="str">
        <f>IF(B1647&lt;&gt;"",IF(AND(B1647&gt;=_TM1,B1647&lt;=_TM2,OR(TH!L1647="1111",TH!M1647="1111")),TH!D1647,""),"")</f>
        <v/>
      </c>
      <c r="B1647" s="36">
        <f t="shared" si="135"/>
        <v>9</v>
      </c>
      <c r="C1647" s="37">
        <f t="shared" si="136"/>
        <v>40811</v>
      </c>
      <c r="D1647" s="37" t="s">
        <v>1210</v>
      </c>
      <c r="E1647" s="37">
        <v>40811</v>
      </c>
      <c r="F1647" s="40" t="s">
        <v>748</v>
      </c>
      <c r="G1647" s="40"/>
      <c r="H1647" s="628" t="s">
        <v>1092</v>
      </c>
      <c r="I1647" s="256">
        <v>13</v>
      </c>
      <c r="J1647" s="256">
        <v>8263.9371966919389</v>
      </c>
      <c r="K1647" s="614">
        <f t="shared" si="137"/>
        <v>107431</v>
      </c>
      <c r="L1647" s="39" t="s">
        <v>159</v>
      </c>
      <c r="M1647" s="39" t="s">
        <v>157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894"/>
    </row>
    <row r="1648" spans="1:27" ht="15.75" customHeight="1">
      <c r="A1648" s="204" t="str">
        <f>IF(B1648&lt;&gt;"",IF(AND(B1648&gt;=_TM1,B1648&lt;=_TM2,OR(TH!L1648="1111",TH!M1648="1111")),TH!D1648,""),"")</f>
        <v/>
      </c>
      <c r="B1648" s="36">
        <f t="shared" si="135"/>
        <v>9</v>
      </c>
      <c r="C1648" s="37">
        <f t="shared" si="136"/>
        <v>40811</v>
      </c>
      <c r="D1648" s="37" t="s">
        <v>1210</v>
      </c>
      <c r="E1648" s="37">
        <v>40811</v>
      </c>
      <c r="F1648" s="192" t="s">
        <v>1271</v>
      </c>
      <c r="G1648" s="40"/>
      <c r="H1648" s="628" t="s">
        <v>1092</v>
      </c>
      <c r="I1648" s="256">
        <v>1</v>
      </c>
      <c r="J1648" s="256">
        <v>9490.3987351534779</v>
      </c>
      <c r="K1648" s="614">
        <f t="shared" si="137"/>
        <v>9490</v>
      </c>
      <c r="L1648" s="39" t="s">
        <v>159</v>
      </c>
      <c r="M1648" s="39" t="s">
        <v>157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894"/>
    </row>
    <row r="1649" spans="1:27" ht="15.75" customHeight="1">
      <c r="A1649" s="204" t="str">
        <f>IF(B1649&lt;&gt;"",IF(AND(B1649&gt;=_TM1,B1649&lt;=_TM2,OR(TH!L1649="1111",TH!M1649="1111")),TH!D1649,""),"")</f>
        <v/>
      </c>
      <c r="B1649" s="36">
        <f t="shared" si="135"/>
        <v>9</v>
      </c>
      <c r="C1649" s="37">
        <f t="shared" si="136"/>
        <v>40811</v>
      </c>
      <c r="D1649" s="37" t="s">
        <v>1210</v>
      </c>
      <c r="E1649" s="37">
        <v>40811</v>
      </c>
      <c r="F1649" s="189" t="s">
        <v>924</v>
      </c>
      <c r="G1649" s="40"/>
      <c r="H1649" s="628" t="s">
        <v>1092</v>
      </c>
      <c r="I1649" s="256">
        <v>6</v>
      </c>
      <c r="J1649" s="256">
        <v>6671.3987351534788</v>
      </c>
      <c r="K1649" s="614">
        <f t="shared" si="137"/>
        <v>40028</v>
      </c>
      <c r="L1649" s="39" t="s">
        <v>159</v>
      </c>
      <c r="M1649" s="39" t="s">
        <v>157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894"/>
    </row>
    <row r="1650" spans="1:27" ht="15.75" customHeight="1">
      <c r="A1650" s="204" t="str">
        <f>IF(B1650&lt;&gt;"",IF(AND(B1650&gt;=_TM1,B1650&lt;=_TM2,OR(TH!L1650="1111",TH!M1650="1111")),TH!D1650,""),"")</f>
        <v/>
      </c>
      <c r="B1650" s="36">
        <f t="shared" si="135"/>
        <v>9</v>
      </c>
      <c r="C1650" s="37">
        <f t="shared" si="136"/>
        <v>40811</v>
      </c>
      <c r="D1650" s="37" t="s">
        <v>1210</v>
      </c>
      <c r="E1650" s="37">
        <v>40811</v>
      </c>
      <c r="F1650" s="40" t="s">
        <v>999</v>
      </c>
      <c r="G1650" s="40"/>
      <c r="H1650" s="628" t="s">
        <v>1092</v>
      </c>
      <c r="I1650" s="256">
        <v>2</v>
      </c>
      <c r="J1650" s="256">
        <v>6671.3987351534788</v>
      </c>
      <c r="K1650" s="614">
        <f t="shared" si="137"/>
        <v>13343</v>
      </c>
      <c r="L1650" s="39" t="s">
        <v>159</v>
      </c>
      <c r="M1650" s="39" t="s">
        <v>157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894"/>
    </row>
    <row r="1651" spans="1:27" ht="15.75" customHeight="1">
      <c r="A1651" s="204" t="str">
        <f>IF(B1651&lt;&gt;"",IF(AND(B1651&gt;=_TM1,B1651&lt;=_TM2,OR(TH!L1651="1111",TH!M1651="1111")),TH!D1651,""),"")</f>
        <v/>
      </c>
      <c r="B1651" s="36">
        <f t="shared" si="135"/>
        <v>9</v>
      </c>
      <c r="C1651" s="37">
        <f t="shared" si="136"/>
        <v>40811</v>
      </c>
      <c r="D1651" s="37" t="s">
        <v>1210</v>
      </c>
      <c r="E1651" s="37">
        <v>40811</v>
      </c>
      <c r="F1651" s="40" t="s">
        <v>1031</v>
      </c>
      <c r="G1651" s="40"/>
      <c r="H1651" s="628" t="s">
        <v>1092</v>
      </c>
      <c r="I1651" s="256">
        <v>2</v>
      </c>
      <c r="J1651" s="256">
        <v>6671.3987351534788</v>
      </c>
      <c r="K1651" s="614">
        <f t="shared" si="137"/>
        <v>13343</v>
      </c>
      <c r="L1651" s="39" t="s">
        <v>159</v>
      </c>
      <c r="M1651" s="39" t="s">
        <v>157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894"/>
    </row>
    <row r="1652" spans="1:27" ht="15.75" customHeight="1">
      <c r="A1652" s="204" t="str">
        <f>IF(B1652&lt;&gt;"",IF(AND(B1652&gt;=_TM1,B1652&lt;=_TM2,OR(TH!L1652="1111",TH!M1652="1111")),TH!D1652,""),"")</f>
        <v/>
      </c>
      <c r="B1652" s="36">
        <f t="shared" si="135"/>
        <v>9</v>
      </c>
      <c r="C1652" s="37">
        <f t="shared" si="136"/>
        <v>40811</v>
      </c>
      <c r="D1652" s="37" t="s">
        <v>982</v>
      </c>
      <c r="E1652" s="37">
        <v>40811</v>
      </c>
      <c r="F1652" s="192" t="s">
        <v>922</v>
      </c>
      <c r="G1652" s="40" t="s">
        <v>1199</v>
      </c>
      <c r="H1652" s="628" t="s">
        <v>733</v>
      </c>
      <c r="I1652" s="256">
        <v>106</v>
      </c>
      <c r="J1652" s="256">
        <v>7394.3987351534788</v>
      </c>
      <c r="K1652" s="614">
        <f t="shared" si="137"/>
        <v>783806</v>
      </c>
      <c r="L1652" s="39" t="s">
        <v>165</v>
      </c>
      <c r="M1652" s="39" t="s">
        <v>159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894"/>
    </row>
    <row r="1653" spans="1:27" ht="15.75" customHeight="1">
      <c r="A1653" s="204" t="str">
        <f>IF(B1653&lt;&gt;"",IF(AND(B1653&gt;=_TM1,B1653&lt;=_TM2,OR(TH!L1653="1111",TH!M1653="1111")),TH!D1653,""),"")</f>
        <v/>
      </c>
      <c r="B1653" s="36">
        <f t="shared" si="135"/>
        <v>9</v>
      </c>
      <c r="C1653" s="37">
        <f t="shared" si="136"/>
        <v>40811</v>
      </c>
      <c r="D1653" s="37" t="s">
        <v>982</v>
      </c>
      <c r="E1653" s="37">
        <v>40811</v>
      </c>
      <c r="F1653" s="192" t="s">
        <v>926</v>
      </c>
      <c r="G1653" s="40" t="s">
        <v>1199</v>
      </c>
      <c r="H1653" s="628" t="s">
        <v>733</v>
      </c>
      <c r="I1653" s="256">
        <v>499</v>
      </c>
      <c r="J1653" s="256">
        <v>8248.3987351534797</v>
      </c>
      <c r="K1653" s="614">
        <f t="shared" si="137"/>
        <v>4115951</v>
      </c>
      <c r="L1653" s="39" t="s">
        <v>165</v>
      </c>
      <c r="M1653" s="39" t="s">
        <v>159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894"/>
    </row>
    <row r="1654" spans="1:27" ht="15.75" customHeight="1">
      <c r="A1654" s="204" t="str">
        <f>IF(B1654&lt;&gt;"",IF(AND(B1654&gt;=_TM1,B1654&lt;=_TM2,OR(TH!L1654="1111",TH!M1654="1111")),TH!D1654,""),"")</f>
        <v/>
      </c>
      <c r="B1654" s="36">
        <f t="shared" si="135"/>
        <v>9</v>
      </c>
      <c r="C1654" s="37">
        <f t="shared" si="136"/>
        <v>40811</v>
      </c>
      <c r="D1654" s="37" t="s">
        <v>982</v>
      </c>
      <c r="E1654" s="37">
        <v>40811</v>
      </c>
      <c r="F1654" s="40" t="s">
        <v>757</v>
      </c>
      <c r="G1654" s="40" t="s">
        <v>1199</v>
      </c>
      <c r="H1654" s="628" t="s">
        <v>733</v>
      </c>
      <c r="I1654" s="256">
        <v>3</v>
      </c>
      <c r="J1654" s="256">
        <v>5188.3987351534788</v>
      </c>
      <c r="K1654" s="614">
        <f t="shared" si="137"/>
        <v>15565</v>
      </c>
      <c r="L1654" s="39" t="s">
        <v>165</v>
      </c>
      <c r="M1654" s="39" t="s">
        <v>159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894"/>
    </row>
    <row r="1655" spans="1:27" ht="15.75" customHeight="1">
      <c r="A1655" s="204" t="str">
        <f>IF(B1655&lt;&gt;"",IF(AND(B1655&gt;=_TM1,B1655&lt;=_TM2,OR(TH!L1655="1111",TH!M1655="1111")),TH!D1655,""),"")</f>
        <v/>
      </c>
      <c r="B1655" s="36">
        <f t="shared" si="135"/>
        <v>9</v>
      </c>
      <c r="C1655" s="37">
        <f t="shared" si="136"/>
        <v>40811</v>
      </c>
      <c r="D1655" s="37" t="s">
        <v>982</v>
      </c>
      <c r="E1655" s="37">
        <v>40811</v>
      </c>
      <c r="F1655" s="40" t="s">
        <v>748</v>
      </c>
      <c r="G1655" s="40" t="s">
        <v>1199</v>
      </c>
      <c r="H1655" s="628" t="s">
        <v>733</v>
      </c>
      <c r="I1655" s="256">
        <v>13</v>
      </c>
      <c r="J1655" s="256">
        <v>8263.9371966919389</v>
      </c>
      <c r="K1655" s="614">
        <f t="shared" si="137"/>
        <v>107431</v>
      </c>
      <c r="L1655" s="39" t="s">
        <v>165</v>
      </c>
      <c r="M1655" s="39" t="s">
        <v>159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894"/>
    </row>
    <row r="1656" spans="1:27" ht="15.75" customHeight="1">
      <c r="A1656" s="204" t="str">
        <f>IF(B1656&lt;&gt;"",IF(AND(B1656&gt;=_TM1,B1656&lt;=_TM2,OR(TH!L1656="1111",TH!M1656="1111")),TH!D1656,""),"")</f>
        <v/>
      </c>
      <c r="B1656" s="36">
        <f t="shared" si="135"/>
        <v>9</v>
      </c>
      <c r="C1656" s="37">
        <f t="shared" si="136"/>
        <v>40811</v>
      </c>
      <c r="D1656" s="37" t="s">
        <v>982</v>
      </c>
      <c r="E1656" s="37">
        <v>40811</v>
      </c>
      <c r="F1656" s="192" t="s">
        <v>1271</v>
      </c>
      <c r="G1656" s="40" t="s">
        <v>1199</v>
      </c>
      <c r="H1656" s="628" t="s">
        <v>733</v>
      </c>
      <c r="I1656" s="256">
        <v>1</v>
      </c>
      <c r="J1656" s="256">
        <v>9490.3987351534779</v>
      </c>
      <c r="K1656" s="614">
        <f t="shared" si="137"/>
        <v>9490</v>
      </c>
      <c r="L1656" s="39" t="s">
        <v>165</v>
      </c>
      <c r="M1656" s="39" t="s">
        <v>159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894"/>
    </row>
    <row r="1657" spans="1:27" ht="15.75" customHeight="1">
      <c r="A1657" s="204" t="str">
        <f>IF(B1657&lt;&gt;"",IF(AND(B1657&gt;=_TM1,B1657&lt;=_TM2,OR(TH!L1657="1111",TH!M1657="1111")),TH!D1657,""),"")</f>
        <v/>
      </c>
      <c r="B1657" s="36">
        <f t="shared" si="135"/>
        <v>9</v>
      </c>
      <c r="C1657" s="37">
        <f t="shared" si="136"/>
        <v>40811</v>
      </c>
      <c r="D1657" s="37" t="s">
        <v>982</v>
      </c>
      <c r="E1657" s="37">
        <v>40811</v>
      </c>
      <c r="F1657" s="189" t="s">
        <v>924</v>
      </c>
      <c r="G1657" s="40" t="s">
        <v>1199</v>
      </c>
      <c r="H1657" s="628" t="s">
        <v>733</v>
      </c>
      <c r="I1657" s="256">
        <v>6</v>
      </c>
      <c r="J1657" s="256">
        <v>6671.3987351534788</v>
      </c>
      <c r="K1657" s="614">
        <f t="shared" si="137"/>
        <v>40028</v>
      </c>
      <c r="L1657" s="39" t="s">
        <v>165</v>
      </c>
      <c r="M1657" s="39" t="s">
        <v>159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894"/>
    </row>
    <row r="1658" spans="1:27" ht="15.75" customHeight="1">
      <c r="A1658" s="204" t="str">
        <f>IF(B1658&lt;&gt;"",IF(AND(B1658&gt;=_TM1,B1658&lt;=_TM2,OR(TH!L1658="1111",TH!M1658="1111")),TH!D1658,""),"")</f>
        <v/>
      </c>
      <c r="B1658" s="36">
        <f t="shared" si="135"/>
        <v>9</v>
      </c>
      <c r="C1658" s="37">
        <f t="shared" si="136"/>
        <v>40811</v>
      </c>
      <c r="D1658" s="37" t="s">
        <v>982</v>
      </c>
      <c r="E1658" s="37">
        <v>40811</v>
      </c>
      <c r="F1658" s="40" t="s">
        <v>999</v>
      </c>
      <c r="G1658" s="40" t="s">
        <v>1199</v>
      </c>
      <c r="H1658" s="628" t="s">
        <v>733</v>
      </c>
      <c r="I1658" s="256">
        <v>2</v>
      </c>
      <c r="J1658" s="256">
        <v>6671.3987351534788</v>
      </c>
      <c r="K1658" s="614">
        <f t="shared" si="137"/>
        <v>13343</v>
      </c>
      <c r="L1658" s="39" t="s">
        <v>165</v>
      </c>
      <c r="M1658" s="39" t="s">
        <v>159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894"/>
    </row>
    <row r="1659" spans="1:27" ht="15.75" customHeight="1">
      <c r="A1659" s="204" t="str">
        <f>IF(B1659&lt;&gt;"",IF(AND(B1659&gt;=_TM1,B1659&lt;=_TM2,OR(TH!L1659="1111",TH!M1659="1111")),TH!D1659,""),"")</f>
        <v/>
      </c>
      <c r="B1659" s="36">
        <f t="shared" si="135"/>
        <v>9</v>
      </c>
      <c r="C1659" s="37">
        <f t="shared" si="136"/>
        <v>40811</v>
      </c>
      <c r="D1659" s="37" t="s">
        <v>982</v>
      </c>
      <c r="E1659" s="37">
        <v>40811</v>
      </c>
      <c r="F1659" s="40" t="s">
        <v>1031</v>
      </c>
      <c r="G1659" s="40" t="s">
        <v>1199</v>
      </c>
      <c r="H1659" s="628" t="s">
        <v>733</v>
      </c>
      <c r="I1659" s="256">
        <v>2</v>
      </c>
      <c r="J1659" s="256">
        <v>6671.3987351534788</v>
      </c>
      <c r="K1659" s="614">
        <f t="shared" si="137"/>
        <v>13343</v>
      </c>
      <c r="L1659" s="39" t="s">
        <v>165</v>
      </c>
      <c r="M1659" s="39" t="s">
        <v>159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894"/>
    </row>
    <row r="1660" spans="1:27" ht="15.75" customHeight="1">
      <c r="A1660" s="204" t="str">
        <f>IF(B1660&lt;&gt;"",IF(AND(B1660&gt;=_TM1,B1660&lt;=_TM2,OR(TH!L1660="1111",TH!M1660="1111")),TH!D1660,""),"")</f>
        <v/>
      </c>
      <c r="B1660" s="36">
        <f t="shared" si="135"/>
        <v>9</v>
      </c>
      <c r="C1660" s="191">
        <v>40812</v>
      </c>
      <c r="D1660" s="191" t="s">
        <v>983</v>
      </c>
      <c r="E1660" s="191">
        <v>40812</v>
      </c>
      <c r="F1660" s="192" t="s">
        <v>755</v>
      </c>
      <c r="G1660" s="498" t="s">
        <v>1200</v>
      </c>
      <c r="H1660" s="193" t="s">
        <v>733</v>
      </c>
      <c r="I1660" s="256">
        <v>5</v>
      </c>
      <c r="J1660" s="256">
        <v>12109</v>
      </c>
      <c r="K1660" s="614">
        <v>60545</v>
      </c>
      <c r="L1660" s="194" t="s">
        <v>259</v>
      </c>
      <c r="M1660" s="194" t="s">
        <v>167</v>
      </c>
      <c r="N1660" s="52" t="str">
        <f>IF(AND('331-CT'!$E$7=TH!H1660,OR(L1660="331",M1660="331")),"331",IF(AND(OR(L1660="131",M1660="131"),H1660='131-CT'!$E$7),"131",""))</f>
        <v>131</v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894"/>
    </row>
    <row r="1661" spans="1:27" ht="15.75" customHeight="1">
      <c r="A1661" s="204" t="str">
        <f>IF(B1661&lt;&gt;"",IF(AND(B1661&gt;=_TM1,B1661&lt;=_TM2,OR(TH!L1661="1111",TH!M1661="1111")),TH!D1661,""),"")</f>
        <v/>
      </c>
      <c r="B1661" s="36">
        <f t="shared" si="135"/>
        <v>9</v>
      </c>
      <c r="C1661" s="191">
        <v>40812</v>
      </c>
      <c r="D1661" s="191" t="s">
        <v>983</v>
      </c>
      <c r="E1661" s="191">
        <v>40812</v>
      </c>
      <c r="F1661" s="192" t="s">
        <v>1032</v>
      </c>
      <c r="G1661" s="498" t="s">
        <v>1200</v>
      </c>
      <c r="H1661" s="193" t="s">
        <v>733</v>
      </c>
      <c r="I1661" s="256">
        <v>1</v>
      </c>
      <c r="J1661" s="256">
        <v>11245</v>
      </c>
      <c r="K1661" s="614">
        <v>11245</v>
      </c>
      <c r="L1661" s="194" t="s">
        <v>259</v>
      </c>
      <c r="M1661" s="194" t="s">
        <v>167</v>
      </c>
      <c r="N1661" s="52" t="str">
        <f>IF(AND('331-CT'!$E$7=TH!H1661,OR(L1661="331",M1661="331")),"331",IF(AND(OR(L1661="131",M1661="131"),H1661='131-CT'!$E$7),"131",""))</f>
        <v>131</v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894"/>
    </row>
    <row r="1662" spans="1:27" ht="15.75" customHeight="1">
      <c r="A1662" s="204" t="str">
        <f>IF(B1662&lt;&gt;"",IF(AND(B1662&gt;=_TM1,B1662&lt;=_TM2,OR(TH!L1662="1111",TH!M1662="1111")),TH!D1662,""),"")</f>
        <v/>
      </c>
      <c r="B1662" s="36">
        <f t="shared" si="135"/>
        <v>9</v>
      </c>
      <c r="C1662" s="191">
        <v>40812</v>
      </c>
      <c r="D1662" s="191" t="s">
        <v>983</v>
      </c>
      <c r="E1662" s="191">
        <v>40812</v>
      </c>
      <c r="F1662" s="192" t="s">
        <v>1010</v>
      </c>
      <c r="G1662" s="498" t="s">
        <v>1200</v>
      </c>
      <c r="H1662" s="193" t="s">
        <v>733</v>
      </c>
      <c r="I1662" s="256">
        <v>1</v>
      </c>
      <c r="J1662" s="256">
        <v>13027</v>
      </c>
      <c r="K1662" s="614">
        <v>13027</v>
      </c>
      <c r="L1662" s="194" t="s">
        <v>259</v>
      </c>
      <c r="M1662" s="194" t="s">
        <v>167</v>
      </c>
      <c r="N1662" s="52" t="str">
        <f>IF(AND('331-CT'!$E$7=TH!H1662,OR(L1662="331",M1662="331")),"331",IF(AND(OR(L1662="131",M1662="131"),H1662='131-CT'!$E$7),"131",""))</f>
        <v>131</v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894"/>
    </row>
    <row r="1663" spans="1:27" ht="15.75" customHeight="1">
      <c r="A1663" s="204" t="str">
        <f>IF(B1663&lt;&gt;"",IF(AND(B1663&gt;=_TM1,B1663&lt;=_TM2,OR(TH!L1663="1111",TH!M1663="1111")),TH!D1663,""),"")</f>
        <v/>
      </c>
      <c r="B1663" s="36">
        <f t="shared" si="135"/>
        <v>9</v>
      </c>
      <c r="C1663" s="191">
        <v>40812</v>
      </c>
      <c r="D1663" s="191" t="s">
        <v>983</v>
      </c>
      <c r="E1663" s="191">
        <v>40812</v>
      </c>
      <c r="F1663" s="192" t="s">
        <v>1297</v>
      </c>
      <c r="G1663" s="498" t="s">
        <v>1200</v>
      </c>
      <c r="H1663" s="193" t="s">
        <v>733</v>
      </c>
      <c r="I1663" s="256">
        <v>3</v>
      </c>
      <c r="J1663" s="256">
        <v>9960</v>
      </c>
      <c r="K1663" s="614">
        <v>29880</v>
      </c>
      <c r="L1663" s="194" t="s">
        <v>259</v>
      </c>
      <c r="M1663" s="194" t="s">
        <v>167</v>
      </c>
      <c r="N1663" s="52" t="str">
        <f>IF(AND('331-CT'!$E$7=TH!H1663,OR(L1663="331",M1663="331")),"331",IF(AND(OR(L1663="131",M1663="131"),H1663='131-CT'!$E$7),"131",""))</f>
        <v>131</v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894"/>
    </row>
    <row r="1664" spans="1:27" ht="15.75" customHeight="1">
      <c r="A1664" s="204" t="str">
        <f>IF(B1664&lt;&gt;"",IF(AND(B1664&gt;=_TM1,B1664&lt;=_TM2,OR(TH!L1664="1111",TH!M1664="1111")),TH!D1664,""),"")</f>
        <v/>
      </c>
      <c r="B1664" s="36">
        <f t="shared" si="135"/>
        <v>9</v>
      </c>
      <c r="C1664" s="191">
        <v>40812</v>
      </c>
      <c r="D1664" s="191" t="s">
        <v>983</v>
      </c>
      <c r="E1664" s="191">
        <v>40812</v>
      </c>
      <c r="F1664" s="192" t="s">
        <v>745</v>
      </c>
      <c r="G1664" s="498" t="s">
        <v>1200</v>
      </c>
      <c r="H1664" s="193" t="s">
        <v>733</v>
      </c>
      <c r="I1664" s="256">
        <v>3</v>
      </c>
      <c r="J1664" s="256">
        <v>9202</v>
      </c>
      <c r="K1664" s="614">
        <v>27606</v>
      </c>
      <c r="L1664" s="194" t="s">
        <v>259</v>
      </c>
      <c r="M1664" s="194" t="s">
        <v>167</v>
      </c>
      <c r="N1664" s="52" t="str">
        <f>IF(AND('331-CT'!$E$7=TH!H1664,OR(L1664="331",M1664="331")),"331",IF(AND(OR(L1664="131",M1664="131"),H1664='131-CT'!$E$7),"131",""))</f>
        <v>131</v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894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>
        <f t="shared" si="135"/>
        <v>9</v>
      </c>
      <c r="C1665" s="191">
        <v>40812</v>
      </c>
      <c r="D1665" s="191" t="s">
        <v>983</v>
      </c>
      <c r="E1665" s="191">
        <v>40812</v>
      </c>
      <c r="F1665" s="192" t="s">
        <v>1033</v>
      </c>
      <c r="G1665" s="498" t="s">
        <v>1200</v>
      </c>
      <c r="H1665" s="193" t="s">
        <v>733</v>
      </c>
      <c r="I1665" s="256">
        <v>1</v>
      </c>
      <c r="J1665" s="256">
        <v>7302</v>
      </c>
      <c r="K1665" s="614">
        <v>7302</v>
      </c>
      <c r="L1665" s="194" t="s">
        <v>259</v>
      </c>
      <c r="M1665" s="194" t="s">
        <v>167</v>
      </c>
      <c r="N1665" s="52" t="str">
        <f>IF(AND('331-CT'!$E$7=TH!H1665,OR(L1665="331",M1665="331")),"331",IF(AND(OR(L1665="131",M1665="131"),H1665='131-CT'!$E$7),"131",""))</f>
        <v>131</v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894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>
        <f t="shared" si="135"/>
        <v>9</v>
      </c>
      <c r="C1666" s="191">
        <v>40812</v>
      </c>
      <c r="D1666" s="191" t="s">
        <v>983</v>
      </c>
      <c r="E1666" s="191">
        <v>40812</v>
      </c>
      <c r="F1666" s="192" t="s">
        <v>749</v>
      </c>
      <c r="G1666" s="498" t="s">
        <v>1200</v>
      </c>
      <c r="H1666" s="193" t="s">
        <v>733</v>
      </c>
      <c r="I1666" s="256">
        <v>1</v>
      </c>
      <c r="J1666" s="256">
        <v>12495</v>
      </c>
      <c r="K1666" s="614">
        <v>12495</v>
      </c>
      <c r="L1666" s="194" t="s">
        <v>259</v>
      </c>
      <c r="M1666" s="194" t="s">
        <v>167</v>
      </c>
      <c r="N1666" s="52" t="str">
        <f>IF(AND('331-CT'!$E$7=TH!H1666,OR(L1666="331",M1666="331")),"331",IF(AND(OR(L1666="131",M1666="131"),H1666='131-CT'!$E$7),"131",""))</f>
        <v>131</v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894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>
        <f t="shared" si="135"/>
        <v>9</v>
      </c>
      <c r="C1667" s="191">
        <v>40812</v>
      </c>
      <c r="D1667" s="191" t="s">
        <v>983</v>
      </c>
      <c r="E1667" s="191">
        <v>40812</v>
      </c>
      <c r="F1667" s="192" t="s">
        <v>758</v>
      </c>
      <c r="G1667" s="498" t="s">
        <v>1200</v>
      </c>
      <c r="H1667" s="193" t="s">
        <v>733</v>
      </c>
      <c r="I1667" s="256">
        <v>5</v>
      </c>
      <c r="J1667" s="256">
        <v>7295</v>
      </c>
      <c r="K1667" s="614">
        <v>36475</v>
      </c>
      <c r="L1667" s="194" t="s">
        <v>259</v>
      </c>
      <c r="M1667" s="194" t="s">
        <v>167</v>
      </c>
      <c r="N1667" s="52" t="str">
        <f>IF(AND('331-CT'!$E$7=TH!H1667,OR(L1667="331",M1667="331")),"331",IF(AND(OR(L1667="131",M1667="131"),H1667='131-CT'!$E$7),"131",""))</f>
        <v>131</v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894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>
        <f t="shared" si="135"/>
        <v>9</v>
      </c>
      <c r="C1668" s="191">
        <v>40812</v>
      </c>
      <c r="D1668" s="191" t="s">
        <v>983</v>
      </c>
      <c r="E1668" s="191">
        <v>40812</v>
      </c>
      <c r="F1668" s="192" t="s">
        <v>1176</v>
      </c>
      <c r="G1668" s="498" t="s">
        <v>1200</v>
      </c>
      <c r="H1668" s="193" t="s">
        <v>733</v>
      </c>
      <c r="I1668" s="256"/>
      <c r="J1668" s="256"/>
      <c r="K1668" s="614">
        <v>19858</v>
      </c>
      <c r="L1668" s="194" t="s">
        <v>259</v>
      </c>
      <c r="M1668" s="194" t="s">
        <v>731</v>
      </c>
      <c r="N1668" s="52" t="str">
        <f>IF(AND('331-CT'!$E$7=TH!H1668,OR(L1668="331",M1668="331")),"331",IF(AND(OR(L1668="131",M1668="131"),H1668='131-CT'!$E$7),"131",""))</f>
        <v>131</v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894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>
        <f t="shared" si="135"/>
        <v>9</v>
      </c>
      <c r="C1669" s="37">
        <f t="shared" ref="C1669:C1684" si="138">E1669</f>
        <v>40812</v>
      </c>
      <c r="D1669" s="37" t="s">
        <v>1211</v>
      </c>
      <c r="E1669" s="37">
        <v>40812</v>
      </c>
      <c r="F1669" s="40" t="s">
        <v>755</v>
      </c>
      <c r="G1669" s="40"/>
      <c r="H1669" s="628" t="s">
        <v>1092</v>
      </c>
      <c r="I1669" s="256">
        <v>5</v>
      </c>
      <c r="J1669" s="256">
        <v>10308.99873515348</v>
      </c>
      <c r="K1669" s="614">
        <f t="shared" ref="K1669:K1684" si="139">ROUND(I1669*J1669,0)</f>
        <v>51545</v>
      </c>
      <c r="L1669" s="39" t="s">
        <v>159</v>
      </c>
      <c r="M1669" s="39" t="s">
        <v>157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894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>
        <f t="shared" si="135"/>
        <v>9</v>
      </c>
      <c r="C1670" s="37">
        <f t="shared" si="138"/>
        <v>40812</v>
      </c>
      <c r="D1670" s="37" t="s">
        <v>1211</v>
      </c>
      <c r="E1670" s="37">
        <v>40812</v>
      </c>
      <c r="F1670" s="40" t="s">
        <v>1032</v>
      </c>
      <c r="G1670" s="40"/>
      <c r="H1670" s="628" t="s">
        <v>1092</v>
      </c>
      <c r="I1670" s="256">
        <v>1</v>
      </c>
      <c r="J1670" s="256">
        <v>10374.398735153478</v>
      </c>
      <c r="K1670" s="614">
        <f t="shared" si="139"/>
        <v>10374</v>
      </c>
      <c r="L1670" s="39" t="s">
        <v>159</v>
      </c>
      <c r="M1670" s="39" t="s">
        <v>157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894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>
        <f t="shared" si="135"/>
        <v>9</v>
      </c>
      <c r="C1671" s="37">
        <f t="shared" si="138"/>
        <v>40812</v>
      </c>
      <c r="D1671" s="37" t="s">
        <v>1211</v>
      </c>
      <c r="E1671" s="37">
        <v>40812</v>
      </c>
      <c r="F1671" s="40" t="s">
        <v>1010</v>
      </c>
      <c r="G1671" s="40"/>
      <c r="H1671" s="628" t="s">
        <v>1092</v>
      </c>
      <c r="I1671" s="256">
        <v>1</v>
      </c>
      <c r="J1671" s="256">
        <v>12825.398735153478</v>
      </c>
      <c r="K1671" s="614">
        <f t="shared" si="139"/>
        <v>12825</v>
      </c>
      <c r="L1671" s="39" t="s">
        <v>159</v>
      </c>
      <c r="M1671" s="39" t="s">
        <v>157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894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>
        <f t="shared" si="135"/>
        <v>9</v>
      </c>
      <c r="C1672" s="37">
        <f t="shared" si="138"/>
        <v>40812</v>
      </c>
      <c r="D1672" s="37" t="s">
        <v>1211</v>
      </c>
      <c r="E1672" s="37">
        <v>40812</v>
      </c>
      <c r="F1672" s="192" t="s">
        <v>1297</v>
      </c>
      <c r="G1672" s="40"/>
      <c r="H1672" s="628" t="s">
        <v>1092</v>
      </c>
      <c r="I1672" s="256">
        <v>3</v>
      </c>
      <c r="J1672" s="256">
        <v>8248.3987351534797</v>
      </c>
      <c r="K1672" s="614">
        <f t="shared" si="139"/>
        <v>24745</v>
      </c>
      <c r="L1672" s="39" t="s">
        <v>159</v>
      </c>
      <c r="M1672" s="39" t="s">
        <v>157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894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>
        <f t="shared" si="135"/>
        <v>9</v>
      </c>
      <c r="C1673" s="37">
        <f t="shared" si="138"/>
        <v>40812</v>
      </c>
      <c r="D1673" s="37" t="s">
        <v>1211</v>
      </c>
      <c r="E1673" s="37">
        <v>40812</v>
      </c>
      <c r="F1673" s="40" t="s">
        <v>745</v>
      </c>
      <c r="G1673" s="40"/>
      <c r="H1673" s="628" t="s">
        <v>1092</v>
      </c>
      <c r="I1673" s="256">
        <v>3</v>
      </c>
      <c r="J1673" s="256">
        <v>8248.3987351534797</v>
      </c>
      <c r="K1673" s="614">
        <f t="shared" si="139"/>
        <v>24745</v>
      </c>
      <c r="L1673" s="39" t="s">
        <v>159</v>
      </c>
      <c r="M1673" s="39" t="s">
        <v>157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894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>
        <f t="shared" si="135"/>
        <v>9</v>
      </c>
      <c r="C1674" s="37">
        <f t="shared" si="138"/>
        <v>40812</v>
      </c>
      <c r="D1674" s="37" t="s">
        <v>1211</v>
      </c>
      <c r="E1674" s="37">
        <v>40812</v>
      </c>
      <c r="F1674" s="40" t="s">
        <v>1033</v>
      </c>
      <c r="G1674" s="40"/>
      <c r="H1674" s="628" t="s">
        <v>1092</v>
      </c>
      <c r="I1674" s="256">
        <v>1</v>
      </c>
      <c r="J1674" s="256">
        <v>6671.3987351534788</v>
      </c>
      <c r="K1674" s="614">
        <f t="shared" si="139"/>
        <v>6671</v>
      </c>
      <c r="L1674" s="39" t="s">
        <v>159</v>
      </c>
      <c r="M1674" s="39" t="s">
        <v>157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894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>
        <f t="shared" si="135"/>
        <v>9</v>
      </c>
      <c r="C1675" s="37">
        <f t="shared" si="138"/>
        <v>40812</v>
      </c>
      <c r="D1675" s="37" t="s">
        <v>1211</v>
      </c>
      <c r="E1675" s="37">
        <v>40812</v>
      </c>
      <c r="F1675" s="40" t="s">
        <v>749</v>
      </c>
      <c r="G1675" s="40"/>
      <c r="H1675" s="628" t="s">
        <v>1092</v>
      </c>
      <c r="I1675" s="256">
        <v>1</v>
      </c>
      <c r="J1675" s="256">
        <v>10309.398735153478</v>
      </c>
      <c r="K1675" s="614">
        <f t="shared" si="139"/>
        <v>10309</v>
      </c>
      <c r="L1675" s="39" t="s">
        <v>159</v>
      </c>
      <c r="M1675" s="39" t="s">
        <v>157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894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>
        <f t="shared" si="135"/>
        <v>9</v>
      </c>
      <c r="C1676" s="37">
        <f t="shared" si="138"/>
        <v>40812</v>
      </c>
      <c r="D1676" s="37" t="s">
        <v>1211</v>
      </c>
      <c r="E1676" s="37">
        <v>40812</v>
      </c>
      <c r="F1676" s="40" t="s">
        <v>758</v>
      </c>
      <c r="G1676" s="40"/>
      <c r="H1676" s="628" t="s">
        <v>1092</v>
      </c>
      <c r="I1676" s="256">
        <v>5</v>
      </c>
      <c r="J1676" s="256">
        <v>6671.3987351534788</v>
      </c>
      <c r="K1676" s="614">
        <f t="shared" si="139"/>
        <v>33357</v>
      </c>
      <c r="L1676" s="39" t="s">
        <v>159</v>
      </c>
      <c r="M1676" s="39" t="s">
        <v>157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894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>
        <f t="shared" si="135"/>
        <v>9</v>
      </c>
      <c r="C1677" s="37">
        <f t="shared" si="138"/>
        <v>40812</v>
      </c>
      <c r="D1677" s="37" t="s">
        <v>983</v>
      </c>
      <c r="E1677" s="37">
        <v>40812</v>
      </c>
      <c r="F1677" s="40" t="s">
        <v>755</v>
      </c>
      <c r="G1677" s="40" t="s">
        <v>1200</v>
      </c>
      <c r="H1677" s="628" t="s">
        <v>733</v>
      </c>
      <c r="I1677" s="256">
        <v>5</v>
      </c>
      <c r="J1677" s="256">
        <v>10308.99873515348</v>
      </c>
      <c r="K1677" s="614">
        <f t="shared" si="139"/>
        <v>51545</v>
      </c>
      <c r="L1677" s="39" t="s">
        <v>165</v>
      </c>
      <c r="M1677" s="39" t="s">
        <v>159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894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>
        <f t="shared" si="135"/>
        <v>9</v>
      </c>
      <c r="C1678" s="37">
        <f t="shared" si="138"/>
        <v>40812</v>
      </c>
      <c r="D1678" s="37" t="s">
        <v>983</v>
      </c>
      <c r="E1678" s="37">
        <v>40812</v>
      </c>
      <c r="F1678" s="40" t="s">
        <v>1032</v>
      </c>
      <c r="G1678" s="40" t="s">
        <v>1200</v>
      </c>
      <c r="H1678" s="628" t="s">
        <v>733</v>
      </c>
      <c r="I1678" s="256">
        <v>1</v>
      </c>
      <c r="J1678" s="256">
        <v>10374.398735153478</v>
      </c>
      <c r="K1678" s="614">
        <f t="shared" si="139"/>
        <v>10374</v>
      </c>
      <c r="L1678" s="39" t="s">
        <v>165</v>
      </c>
      <c r="M1678" s="39" t="s">
        <v>159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894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>
        <f t="shared" si="135"/>
        <v>9</v>
      </c>
      <c r="C1679" s="37">
        <f t="shared" si="138"/>
        <v>40812</v>
      </c>
      <c r="D1679" s="37" t="s">
        <v>983</v>
      </c>
      <c r="E1679" s="37">
        <v>40812</v>
      </c>
      <c r="F1679" s="40" t="s">
        <v>1010</v>
      </c>
      <c r="G1679" s="40" t="s">
        <v>1200</v>
      </c>
      <c r="H1679" s="628" t="s">
        <v>733</v>
      </c>
      <c r="I1679" s="256">
        <v>1</v>
      </c>
      <c r="J1679" s="256">
        <v>12825.398735153478</v>
      </c>
      <c r="K1679" s="614">
        <f t="shared" si="139"/>
        <v>12825</v>
      </c>
      <c r="L1679" s="39" t="s">
        <v>165</v>
      </c>
      <c r="M1679" s="39" t="s">
        <v>159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894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>
        <f t="shared" si="135"/>
        <v>9</v>
      </c>
      <c r="C1680" s="37">
        <f t="shared" si="138"/>
        <v>40812</v>
      </c>
      <c r="D1680" s="37" t="s">
        <v>983</v>
      </c>
      <c r="E1680" s="37">
        <v>40812</v>
      </c>
      <c r="F1680" s="192" t="s">
        <v>1297</v>
      </c>
      <c r="G1680" s="40" t="s">
        <v>1200</v>
      </c>
      <c r="H1680" s="628" t="s">
        <v>733</v>
      </c>
      <c r="I1680" s="256">
        <v>3</v>
      </c>
      <c r="J1680" s="256">
        <v>8248.3987351534797</v>
      </c>
      <c r="K1680" s="614">
        <f t="shared" si="139"/>
        <v>24745</v>
      </c>
      <c r="L1680" s="39" t="s">
        <v>165</v>
      </c>
      <c r="M1680" s="39" t="s">
        <v>159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894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>
        <f t="shared" si="135"/>
        <v>9</v>
      </c>
      <c r="C1681" s="37">
        <f t="shared" si="138"/>
        <v>40812</v>
      </c>
      <c r="D1681" s="37" t="s">
        <v>983</v>
      </c>
      <c r="E1681" s="37">
        <v>40812</v>
      </c>
      <c r="F1681" s="40" t="s">
        <v>745</v>
      </c>
      <c r="G1681" s="40" t="s">
        <v>1200</v>
      </c>
      <c r="H1681" s="628" t="s">
        <v>733</v>
      </c>
      <c r="I1681" s="256">
        <v>3</v>
      </c>
      <c r="J1681" s="256">
        <v>8248.3987351534797</v>
      </c>
      <c r="K1681" s="614">
        <f t="shared" si="139"/>
        <v>24745</v>
      </c>
      <c r="L1681" s="39" t="s">
        <v>165</v>
      </c>
      <c r="M1681" s="39" t="s">
        <v>159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894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>
        <f t="shared" si="135"/>
        <v>9</v>
      </c>
      <c r="C1682" s="37">
        <f t="shared" si="138"/>
        <v>40812</v>
      </c>
      <c r="D1682" s="37" t="s">
        <v>983</v>
      </c>
      <c r="E1682" s="37">
        <v>40812</v>
      </c>
      <c r="F1682" s="40" t="s">
        <v>1033</v>
      </c>
      <c r="G1682" s="40" t="s">
        <v>1200</v>
      </c>
      <c r="H1682" s="628" t="s">
        <v>733</v>
      </c>
      <c r="I1682" s="256">
        <v>1</v>
      </c>
      <c r="J1682" s="256">
        <v>6671.3987351534788</v>
      </c>
      <c r="K1682" s="614">
        <f t="shared" si="139"/>
        <v>6671</v>
      </c>
      <c r="L1682" s="39" t="s">
        <v>165</v>
      </c>
      <c r="M1682" s="39" t="s">
        <v>159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894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>
        <f t="shared" si="135"/>
        <v>9</v>
      </c>
      <c r="C1683" s="37">
        <f t="shared" si="138"/>
        <v>40812</v>
      </c>
      <c r="D1683" s="37" t="s">
        <v>983</v>
      </c>
      <c r="E1683" s="37">
        <v>40812</v>
      </c>
      <c r="F1683" s="40" t="s">
        <v>749</v>
      </c>
      <c r="G1683" s="40" t="s">
        <v>1200</v>
      </c>
      <c r="H1683" s="628" t="s">
        <v>733</v>
      </c>
      <c r="I1683" s="256">
        <v>1</v>
      </c>
      <c r="J1683" s="256">
        <v>10309.398735153478</v>
      </c>
      <c r="K1683" s="614">
        <f t="shared" si="139"/>
        <v>10309</v>
      </c>
      <c r="L1683" s="39" t="s">
        <v>165</v>
      </c>
      <c r="M1683" s="39" t="s">
        <v>159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894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>
        <f t="shared" si="135"/>
        <v>9</v>
      </c>
      <c r="C1684" s="37">
        <f t="shared" si="138"/>
        <v>40812</v>
      </c>
      <c r="D1684" s="37" t="s">
        <v>983</v>
      </c>
      <c r="E1684" s="37">
        <v>40812</v>
      </c>
      <c r="F1684" s="40" t="s">
        <v>758</v>
      </c>
      <c r="G1684" s="40" t="s">
        <v>1200</v>
      </c>
      <c r="H1684" s="628" t="s">
        <v>733</v>
      </c>
      <c r="I1684" s="256">
        <v>5</v>
      </c>
      <c r="J1684" s="256">
        <v>6671.3987351534788</v>
      </c>
      <c r="K1684" s="614">
        <f t="shared" si="139"/>
        <v>33357</v>
      </c>
      <c r="L1684" s="39" t="s">
        <v>165</v>
      </c>
      <c r="M1684" s="39" t="s">
        <v>159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894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>
        <f t="shared" si="135"/>
        <v>9</v>
      </c>
      <c r="C1685" s="191">
        <v>40813</v>
      </c>
      <c r="D1685" s="191" t="s">
        <v>953</v>
      </c>
      <c r="E1685" s="191">
        <v>40813</v>
      </c>
      <c r="F1685" s="192" t="s">
        <v>335</v>
      </c>
      <c r="G1685" s="498" t="s">
        <v>1202</v>
      </c>
      <c r="H1685" s="834" t="s">
        <v>766</v>
      </c>
      <c r="I1685" s="256"/>
      <c r="J1685" s="256"/>
      <c r="K1685" s="614">
        <v>18998716</v>
      </c>
      <c r="L1685" s="194" t="s">
        <v>46</v>
      </c>
      <c r="M1685" s="194" t="s">
        <v>259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>x</v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894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>
        <f t="shared" si="135"/>
        <v>9</v>
      </c>
      <c r="C1686" s="191">
        <v>40813</v>
      </c>
      <c r="D1686" s="191" t="s">
        <v>984</v>
      </c>
      <c r="E1686" s="191">
        <v>40813</v>
      </c>
      <c r="F1686" s="192" t="s">
        <v>1034</v>
      </c>
      <c r="G1686" s="498" t="s">
        <v>1202</v>
      </c>
      <c r="H1686" s="834" t="s">
        <v>766</v>
      </c>
      <c r="I1686" s="256">
        <v>380</v>
      </c>
      <c r="J1686" s="256">
        <v>14892</v>
      </c>
      <c r="K1686" s="614">
        <v>5658960</v>
      </c>
      <c r="L1686" s="194" t="s">
        <v>259</v>
      </c>
      <c r="M1686" s="194" t="s">
        <v>167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894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>
        <f t="shared" si="135"/>
        <v>9</v>
      </c>
      <c r="C1687" s="191">
        <v>40813</v>
      </c>
      <c r="D1687" s="191" t="s">
        <v>984</v>
      </c>
      <c r="E1687" s="191">
        <v>40813</v>
      </c>
      <c r="F1687" s="192" t="s">
        <v>1035</v>
      </c>
      <c r="G1687" s="498" t="s">
        <v>1202</v>
      </c>
      <c r="H1687" s="834" t="s">
        <v>766</v>
      </c>
      <c r="I1687" s="256">
        <v>125</v>
      </c>
      <c r="J1687" s="256">
        <v>13169</v>
      </c>
      <c r="K1687" s="614">
        <v>1646125</v>
      </c>
      <c r="L1687" s="194" t="s">
        <v>259</v>
      </c>
      <c r="M1687" s="194" t="s">
        <v>167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894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>
        <f t="shared" si="135"/>
        <v>9</v>
      </c>
      <c r="C1688" s="191">
        <v>40813</v>
      </c>
      <c r="D1688" s="191" t="s">
        <v>984</v>
      </c>
      <c r="E1688" s="191">
        <v>40813</v>
      </c>
      <c r="F1688" s="192" t="s">
        <v>1036</v>
      </c>
      <c r="G1688" s="498" t="s">
        <v>1202</v>
      </c>
      <c r="H1688" s="834" t="s">
        <v>766</v>
      </c>
      <c r="I1688" s="256">
        <v>575</v>
      </c>
      <c r="J1688" s="256">
        <v>17333</v>
      </c>
      <c r="K1688" s="614">
        <v>9966475</v>
      </c>
      <c r="L1688" s="194" t="s">
        <v>259</v>
      </c>
      <c r="M1688" s="194" t="s">
        <v>167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894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>
        <f t="shared" ref="B1689:B1752" si="140">IF(C1689&lt;&gt;"",MONTH(C1689),"")</f>
        <v>9</v>
      </c>
      <c r="C1689" s="191">
        <v>40813</v>
      </c>
      <c r="D1689" s="191" t="s">
        <v>984</v>
      </c>
      <c r="E1689" s="191">
        <v>40813</v>
      </c>
      <c r="F1689" s="192" t="s">
        <v>1176</v>
      </c>
      <c r="G1689" s="498" t="s">
        <v>1202</v>
      </c>
      <c r="H1689" s="834" t="s">
        <v>766</v>
      </c>
      <c r="I1689" s="256"/>
      <c r="J1689" s="256"/>
      <c r="K1689" s="614">
        <v>1727156</v>
      </c>
      <c r="L1689" s="194" t="s">
        <v>259</v>
      </c>
      <c r="M1689" s="194" t="s">
        <v>731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894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>
        <f t="shared" si="140"/>
        <v>9</v>
      </c>
      <c r="C1690" s="191">
        <v>40813</v>
      </c>
      <c r="D1690" s="191" t="s">
        <v>1201</v>
      </c>
      <c r="E1690" s="191">
        <v>40813</v>
      </c>
      <c r="F1690" s="192" t="s">
        <v>1036</v>
      </c>
      <c r="G1690" s="498" t="s">
        <v>1204</v>
      </c>
      <c r="H1690" s="834" t="s">
        <v>766</v>
      </c>
      <c r="I1690" s="256">
        <v>600</v>
      </c>
      <c r="J1690" s="256">
        <v>17333</v>
      </c>
      <c r="K1690" s="614">
        <v>10399800</v>
      </c>
      <c r="L1690" s="194" t="s">
        <v>259</v>
      </c>
      <c r="M1690" s="194" t="s">
        <v>167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894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>
        <f t="shared" si="140"/>
        <v>9</v>
      </c>
      <c r="C1691" s="191">
        <v>40813</v>
      </c>
      <c r="D1691" s="191" t="s">
        <v>1201</v>
      </c>
      <c r="E1691" s="191">
        <v>40813</v>
      </c>
      <c r="F1691" s="192" t="s">
        <v>1035</v>
      </c>
      <c r="G1691" s="498" t="s">
        <v>1204</v>
      </c>
      <c r="H1691" s="834" t="s">
        <v>766</v>
      </c>
      <c r="I1691" s="256">
        <v>125</v>
      </c>
      <c r="J1691" s="256">
        <v>13169</v>
      </c>
      <c r="K1691" s="614">
        <v>1646125</v>
      </c>
      <c r="L1691" s="194" t="s">
        <v>259</v>
      </c>
      <c r="M1691" s="194" t="s">
        <v>167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894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>
        <f t="shared" si="140"/>
        <v>9</v>
      </c>
      <c r="C1692" s="191">
        <v>40813</v>
      </c>
      <c r="D1692" s="191" t="s">
        <v>1201</v>
      </c>
      <c r="E1692" s="191">
        <v>40813</v>
      </c>
      <c r="F1692" s="192" t="s">
        <v>1037</v>
      </c>
      <c r="G1692" s="498" t="s">
        <v>1204</v>
      </c>
      <c r="H1692" s="834" t="s">
        <v>766</v>
      </c>
      <c r="I1692" s="256">
        <v>150</v>
      </c>
      <c r="J1692" s="256">
        <v>15453</v>
      </c>
      <c r="K1692" s="614">
        <v>2317950</v>
      </c>
      <c r="L1692" s="194" t="s">
        <v>259</v>
      </c>
      <c r="M1692" s="194" t="s">
        <v>167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894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>
        <f t="shared" si="140"/>
        <v>9</v>
      </c>
      <c r="C1693" s="191">
        <v>40813</v>
      </c>
      <c r="D1693" s="191" t="s">
        <v>1201</v>
      </c>
      <c r="E1693" s="191">
        <v>40813</v>
      </c>
      <c r="F1693" s="192" t="s">
        <v>1038</v>
      </c>
      <c r="G1693" s="498" t="s">
        <v>1204</v>
      </c>
      <c r="H1693" s="834" t="s">
        <v>766</v>
      </c>
      <c r="I1693" s="256">
        <v>90</v>
      </c>
      <c r="J1693" s="256">
        <v>11613</v>
      </c>
      <c r="K1693" s="614">
        <v>1045170</v>
      </c>
      <c r="L1693" s="194" t="s">
        <v>259</v>
      </c>
      <c r="M1693" s="194" t="s">
        <v>167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894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>
        <f t="shared" si="140"/>
        <v>9</v>
      </c>
      <c r="C1694" s="191">
        <v>40813</v>
      </c>
      <c r="D1694" s="191" t="s">
        <v>1201</v>
      </c>
      <c r="E1694" s="191">
        <v>40813</v>
      </c>
      <c r="F1694" s="192" t="s">
        <v>1176</v>
      </c>
      <c r="G1694" s="498" t="s">
        <v>1204</v>
      </c>
      <c r="H1694" s="834" t="s">
        <v>766</v>
      </c>
      <c r="I1694" s="256"/>
      <c r="J1694" s="256"/>
      <c r="K1694" s="614">
        <v>1540905</v>
      </c>
      <c r="L1694" s="194" t="s">
        <v>259</v>
      </c>
      <c r="M1694" s="194" t="s">
        <v>731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894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>
        <f t="shared" si="140"/>
        <v>9</v>
      </c>
      <c r="C1695" s="191">
        <v>40813</v>
      </c>
      <c r="D1695" s="191" t="s">
        <v>1203</v>
      </c>
      <c r="E1695" s="191">
        <v>40813</v>
      </c>
      <c r="F1695" s="192" t="s">
        <v>1038</v>
      </c>
      <c r="G1695" s="498" t="s">
        <v>1205</v>
      </c>
      <c r="H1695" s="834" t="s">
        <v>766</v>
      </c>
      <c r="I1695" s="256">
        <v>200</v>
      </c>
      <c r="J1695" s="256">
        <v>11613</v>
      </c>
      <c r="K1695" s="614">
        <v>2322600</v>
      </c>
      <c r="L1695" s="194" t="s">
        <v>259</v>
      </c>
      <c r="M1695" s="194" t="s">
        <v>167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894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>
        <f t="shared" si="140"/>
        <v>9</v>
      </c>
      <c r="C1696" s="191">
        <v>40813</v>
      </c>
      <c r="D1696" s="191" t="s">
        <v>1203</v>
      </c>
      <c r="E1696" s="191">
        <v>40813</v>
      </c>
      <c r="F1696" s="192" t="s">
        <v>1039</v>
      </c>
      <c r="G1696" s="498" t="s">
        <v>1205</v>
      </c>
      <c r="H1696" s="834" t="s">
        <v>766</v>
      </c>
      <c r="I1696" s="256">
        <v>110</v>
      </c>
      <c r="J1696" s="256">
        <v>10580</v>
      </c>
      <c r="K1696" s="614">
        <v>1163800</v>
      </c>
      <c r="L1696" s="194" t="s">
        <v>259</v>
      </c>
      <c r="M1696" s="194" t="s">
        <v>167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894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>
        <f t="shared" si="140"/>
        <v>9</v>
      </c>
      <c r="C1697" s="191">
        <v>40813</v>
      </c>
      <c r="D1697" s="191" t="s">
        <v>1203</v>
      </c>
      <c r="E1697" s="191">
        <v>40813</v>
      </c>
      <c r="F1697" s="192" t="s">
        <v>1037</v>
      </c>
      <c r="G1697" s="498" t="s">
        <v>1205</v>
      </c>
      <c r="H1697" s="834" t="s">
        <v>766</v>
      </c>
      <c r="I1697" s="256">
        <v>275</v>
      </c>
      <c r="J1697" s="256">
        <v>15453</v>
      </c>
      <c r="K1697" s="614">
        <v>4249575</v>
      </c>
      <c r="L1697" s="194" t="s">
        <v>259</v>
      </c>
      <c r="M1697" s="194" t="s">
        <v>167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894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>
        <f t="shared" si="140"/>
        <v>9</v>
      </c>
      <c r="C1698" s="191">
        <v>40813</v>
      </c>
      <c r="D1698" s="191" t="s">
        <v>1203</v>
      </c>
      <c r="E1698" s="191">
        <v>40813</v>
      </c>
      <c r="F1698" s="192" t="s">
        <v>1037</v>
      </c>
      <c r="G1698" s="498" t="s">
        <v>1205</v>
      </c>
      <c r="H1698" s="834" t="s">
        <v>766</v>
      </c>
      <c r="I1698" s="256">
        <v>230</v>
      </c>
      <c r="J1698" s="256">
        <v>13169</v>
      </c>
      <c r="K1698" s="614">
        <v>3028870</v>
      </c>
      <c r="L1698" s="194" t="s">
        <v>259</v>
      </c>
      <c r="M1698" s="194" t="s">
        <v>167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894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>
        <f t="shared" si="140"/>
        <v>9</v>
      </c>
      <c r="C1699" s="191">
        <v>40813</v>
      </c>
      <c r="D1699" s="191" t="s">
        <v>1203</v>
      </c>
      <c r="E1699" s="191">
        <v>40813</v>
      </c>
      <c r="F1699" s="192" t="s">
        <v>1176</v>
      </c>
      <c r="G1699" s="498" t="s">
        <v>1205</v>
      </c>
      <c r="H1699" s="834" t="s">
        <v>766</v>
      </c>
      <c r="I1699" s="256"/>
      <c r="J1699" s="256"/>
      <c r="K1699" s="614">
        <f>1076485+1</f>
        <v>1076486</v>
      </c>
      <c r="L1699" s="194" t="s">
        <v>259</v>
      </c>
      <c r="M1699" s="194" t="s">
        <v>731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894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>
        <f t="shared" si="140"/>
        <v>9</v>
      </c>
      <c r="C1700" s="37">
        <f t="shared" ref="C1700:C1721" si="141">E1700</f>
        <v>40813</v>
      </c>
      <c r="D1700" s="37" t="s">
        <v>1212</v>
      </c>
      <c r="E1700" s="37">
        <v>40813</v>
      </c>
      <c r="F1700" s="40" t="s">
        <v>1034</v>
      </c>
      <c r="G1700" s="40"/>
      <c r="H1700" s="628" t="s">
        <v>1092</v>
      </c>
      <c r="I1700" s="256">
        <v>380</v>
      </c>
      <c r="J1700" s="256">
        <v>12549.9776825219</v>
      </c>
      <c r="K1700" s="614">
        <f t="shared" ref="K1700:K1721" si="142">ROUND(I1700*J1700,0)</f>
        <v>4768992</v>
      </c>
      <c r="L1700" s="39" t="s">
        <v>159</v>
      </c>
      <c r="M1700" s="39" t="s">
        <v>157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894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>
        <f t="shared" si="140"/>
        <v>9</v>
      </c>
      <c r="C1701" s="37">
        <f t="shared" si="141"/>
        <v>40813</v>
      </c>
      <c r="D1701" s="37" t="s">
        <v>1212</v>
      </c>
      <c r="E1701" s="37">
        <v>40813</v>
      </c>
      <c r="F1701" s="40" t="s">
        <v>1035</v>
      </c>
      <c r="G1701" s="40"/>
      <c r="H1701" s="628" t="s">
        <v>1092</v>
      </c>
      <c r="I1701" s="256">
        <v>125</v>
      </c>
      <c r="J1701" s="256">
        <v>12041.902735153477</v>
      </c>
      <c r="K1701" s="614">
        <f t="shared" si="142"/>
        <v>1505238</v>
      </c>
      <c r="L1701" s="39" t="s">
        <v>159</v>
      </c>
      <c r="M1701" s="39" t="s">
        <v>157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94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>
        <f t="shared" si="140"/>
        <v>9</v>
      </c>
      <c r="C1702" s="37">
        <f t="shared" si="141"/>
        <v>40813</v>
      </c>
      <c r="D1702" s="37" t="s">
        <v>1212</v>
      </c>
      <c r="E1702" s="37">
        <v>40813</v>
      </c>
      <c r="F1702" s="40" t="s">
        <v>1036</v>
      </c>
      <c r="G1702" s="40"/>
      <c r="H1702" s="628" t="s">
        <v>1092</v>
      </c>
      <c r="I1702" s="256">
        <v>575</v>
      </c>
      <c r="J1702" s="256">
        <v>14230.746561240434</v>
      </c>
      <c r="K1702" s="614">
        <f t="shared" si="142"/>
        <v>8182679</v>
      </c>
      <c r="L1702" s="39" t="s">
        <v>159</v>
      </c>
      <c r="M1702" s="39" t="s">
        <v>157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94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>
        <f t="shared" si="140"/>
        <v>9</v>
      </c>
      <c r="C1703" s="37">
        <f t="shared" si="141"/>
        <v>40813</v>
      </c>
      <c r="D1703" s="37" t="s">
        <v>1212</v>
      </c>
      <c r="E1703" s="37">
        <v>40813</v>
      </c>
      <c r="F1703" s="40" t="s">
        <v>1036</v>
      </c>
      <c r="G1703" s="40"/>
      <c r="H1703" s="628" t="s">
        <v>1092</v>
      </c>
      <c r="I1703" s="256">
        <v>600</v>
      </c>
      <c r="J1703" s="256">
        <v>14209.898735153476</v>
      </c>
      <c r="K1703" s="614">
        <f t="shared" si="142"/>
        <v>8525939</v>
      </c>
      <c r="L1703" s="39" t="s">
        <v>159</v>
      </c>
      <c r="M1703" s="39" t="s">
        <v>157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94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>
        <f t="shared" si="140"/>
        <v>9</v>
      </c>
      <c r="C1704" s="37">
        <f t="shared" si="141"/>
        <v>40813</v>
      </c>
      <c r="D1704" s="37" t="s">
        <v>1212</v>
      </c>
      <c r="E1704" s="37">
        <v>40813</v>
      </c>
      <c r="F1704" s="40" t="s">
        <v>1035</v>
      </c>
      <c r="G1704" s="40"/>
      <c r="H1704" s="628" t="s">
        <v>1092</v>
      </c>
      <c r="I1704" s="256">
        <v>125</v>
      </c>
      <c r="J1704" s="256">
        <v>12041.894735153477</v>
      </c>
      <c r="K1704" s="614">
        <f t="shared" si="142"/>
        <v>1505237</v>
      </c>
      <c r="L1704" s="39" t="s">
        <v>159</v>
      </c>
      <c r="M1704" s="39" t="s">
        <v>157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94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>
        <f t="shared" si="140"/>
        <v>9</v>
      </c>
      <c r="C1705" s="37">
        <f t="shared" si="141"/>
        <v>40813</v>
      </c>
      <c r="D1705" s="37" t="s">
        <v>1212</v>
      </c>
      <c r="E1705" s="37">
        <v>40813</v>
      </c>
      <c r="F1705" s="40" t="s">
        <v>1037</v>
      </c>
      <c r="G1705" s="40"/>
      <c r="H1705" s="628" t="s">
        <v>1092</v>
      </c>
      <c r="I1705" s="256">
        <v>150</v>
      </c>
      <c r="J1705" s="256">
        <v>14066.398735153476</v>
      </c>
      <c r="K1705" s="614">
        <f t="shared" si="142"/>
        <v>2109960</v>
      </c>
      <c r="L1705" s="39" t="s">
        <v>159</v>
      </c>
      <c r="M1705" s="39" t="s">
        <v>157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94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>
        <f t="shared" si="140"/>
        <v>9</v>
      </c>
      <c r="C1706" s="37">
        <f t="shared" si="141"/>
        <v>40813</v>
      </c>
      <c r="D1706" s="37" t="s">
        <v>1212</v>
      </c>
      <c r="E1706" s="37">
        <v>40813</v>
      </c>
      <c r="F1706" s="40" t="s">
        <v>1038</v>
      </c>
      <c r="G1706" s="40"/>
      <c r="H1706" s="628" t="s">
        <v>1092</v>
      </c>
      <c r="I1706" s="256">
        <v>90</v>
      </c>
      <c r="J1706" s="256">
        <v>9894.8987351534779</v>
      </c>
      <c r="K1706" s="614">
        <f t="shared" si="142"/>
        <v>890541</v>
      </c>
      <c r="L1706" s="39" t="s">
        <v>159</v>
      </c>
      <c r="M1706" s="39" t="s">
        <v>157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94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>
        <f t="shared" si="140"/>
        <v>9</v>
      </c>
      <c r="C1707" s="37">
        <f t="shared" si="141"/>
        <v>40813</v>
      </c>
      <c r="D1707" s="37" t="s">
        <v>1213</v>
      </c>
      <c r="E1707" s="37">
        <v>40813</v>
      </c>
      <c r="F1707" s="40" t="s">
        <v>1038</v>
      </c>
      <c r="G1707" s="40"/>
      <c r="H1707" s="628" t="s">
        <v>1092</v>
      </c>
      <c r="I1707" s="256">
        <v>200</v>
      </c>
      <c r="J1707" s="256">
        <v>10615.898735153478</v>
      </c>
      <c r="K1707" s="614">
        <f t="shared" si="142"/>
        <v>2123180</v>
      </c>
      <c r="L1707" s="39" t="s">
        <v>159</v>
      </c>
      <c r="M1707" s="39" t="s">
        <v>157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94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>
        <f t="shared" si="140"/>
        <v>9</v>
      </c>
      <c r="C1708" s="37">
        <f t="shared" si="141"/>
        <v>40813</v>
      </c>
      <c r="D1708" s="37" t="s">
        <v>1213</v>
      </c>
      <c r="E1708" s="37">
        <v>40813</v>
      </c>
      <c r="F1708" s="40" t="s">
        <v>1039</v>
      </c>
      <c r="G1708" s="40"/>
      <c r="H1708" s="628" t="s">
        <v>1092</v>
      </c>
      <c r="I1708" s="256">
        <v>110</v>
      </c>
      <c r="J1708" s="256">
        <v>8248.3987351534797</v>
      </c>
      <c r="K1708" s="614">
        <f t="shared" si="142"/>
        <v>907324</v>
      </c>
      <c r="L1708" s="39" t="s">
        <v>159</v>
      </c>
      <c r="M1708" s="39" t="s">
        <v>157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94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>
        <f t="shared" si="140"/>
        <v>9</v>
      </c>
      <c r="C1709" s="37">
        <f t="shared" si="141"/>
        <v>40813</v>
      </c>
      <c r="D1709" s="37" t="s">
        <v>1213</v>
      </c>
      <c r="E1709" s="37">
        <v>40813</v>
      </c>
      <c r="F1709" s="40" t="s">
        <v>1037</v>
      </c>
      <c r="G1709" s="40"/>
      <c r="H1709" s="628" t="s">
        <v>1092</v>
      </c>
      <c r="I1709" s="256">
        <v>275</v>
      </c>
      <c r="J1709" s="256">
        <v>15240.56600788075</v>
      </c>
      <c r="K1709" s="614">
        <f t="shared" si="142"/>
        <v>4191156</v>
      </c>
      <c r="L1709" s="39" t="s">
        <v>159</v>
      </c>
      <c r="M1709" s="39" t="s">
        <v>157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94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>
        <f t="shared" si="140"/>
        <v>9</v>
      </c>
      <c r="C1710" s="37">
        <f t="shared" si="141"/>
        <v>40813</v>
      </c>
      <c r="D1710" s="37" t="s">
        <v>1213</v>
      </c>
      <c r="E1710" s="37">
        <v>40813</v>
      </c>
      <c r="F1710" s="40" t="s">
        <v>1037</v>
      </c>
      <c r="G1710" s="40"/>
      <c r="H1710" s="628" t="s">
        <v>1092</v>
      </c>
      <c r="I1710" s="256">
        <v>230</v>
      </c>
      <c r="J1710" s="256">
        <v>12041.398735153478</v>
      </c>
      <c r="K1710" s="614">
        <f t="shared" si="142"/>
        <v>2769522</v>
      </c>
      <c r="L1710" s="39" t="s">
        <v>159</v>
      </c>
      <c r="M1710" s="39" t="s">
        <v>157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94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>
        <f t="shared" si="140"/>
        <v>9</v>
      </c>
      <c r="C1711" s="37">
        <f t="shared" si="141"/>
        <v>40813</v>
      </c>
      <c r="D1711" s="37" t="s">
        <v>984</v>
      </c>
      <c r="E1711" s="37">
        <v>40813</v>
      </c>
      <c r="F1711" s="40" t="s">
        <v>1034</v>
      </c>
      <c r="G1711" s="40" t="s">
        <v>1202</v>
      </c>
      <c r="H1711" s="628" t="s">
        <v>766</v>
      </c>
      <c r="I1711" s="256">
        <v>380</v>
      </c>
      <c r="J1711" s="256">
        <v>12549.9776825219</v>
      </c>
      <c r="K1711" s="614">
        <f t="shared" si="142"/>
        <v>4768992</v>
      </c>
      <c r="L1711" s="39" t="s">
        <v>165</v>
      </c>
      <c r="M1711" s="39" t="s">
        <v>159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94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>
        <f t="shared" si="140"/>
        <v>9</v>
      </c>
      <c r="C1712" s="37">
        <f t="shared" si="141"/>
        <v>40813</v>
      </c>
      <c r="D1712" s="37" t="s">
        <v>984</v>
      </c>
      <c r="E1712" s="37">
        <v>40813</v>
      </c>
      <c r="F1712" s="40" t="s">
        <v>1035</v>
      </c>
      <c r="G1712" s="40" t="s">
        <v>1202</v>
      </c>
      <c r="H1712" s="628" t="s">
        <v>766</v>
      </c>
      <c r="I1712" s="256">
        <v>125</v>
      </c>
      <c r="J1712" s="256">
        <v>12041.902735153477</v>
      </c>
      <c r="K1712" s="614">
        <f t="shared" si="142"/>
        <v>1505238</v>
      </c>
      <c r="L1712" s="39" t="s">
        <v>165</v>
      </c>
      <c r="M1712" s="39" t="s">
        <v>159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94"/>
    </row>
    <row r="1713" spans="1:28" ht="15.75" customHeight="1">
      <c r="A1713" s="204" t="str">
        <f>IF(B1713&lt;&gt;"",IF(AND(B1713&gt;=_TM1,B1713&lt;=_TM2,OR(TH!L1713="1111",TH!M1713="1111")),TH!D1713,""),"")</f>
        <v/>
      </c>
      <c r="B1713" s="36">
        <f t="shared" si="140"/>
        <v>9</v>
      </c>
      <c r="C1713" s="37">
        <f t="shared" si="141"/>
        <v>40813</v>
      </c>
      <c r="D1713" s="37" t="s">
        <v>984</v>
      </c>
      <c r="E1713" s="37">
        <v>40813</v>
      </c>
      <c r="F1713" s="40" t="s">
        <v>1036</v>
      </c>
      <c r="G1713" s="40" t="s">
        <v>1202</v>
      </c>
      <c r="H1713" s="628" t="s">
        <v>766</v>
      </c>
      <c r="I1713" s="256">
        <v>575</v>
      </c>
      <c r="J1713" s="256">
        <v>14230.746561240434</v>
      </c>
      <c r="K1713" s="614">
        <f t="shared" si="142"/>
        <v>8182679</v>
      </c>
      <c r="L1713" s="39" t="s">
        <v>165</v>
      </c>
      <c r="M1713" s="39" t="s">
        <v>159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94"/>
    </row>
    <row r="1714" spans="1:28" ht="15.75" customHeight="1">
      <c r="A1714" s="204" t="str">
        <f>IF(B1714&lt;&gt;"",IF(AND(B1714&gt;=_TM1,B1714&lt;=_TM2,OR(TH!L1714="1111",TH!M1714="1111")),TH!D1714,""),"")</f>
        <v/>
      </c>
      <c r="B1714" s="36">
        <f t="shared" si="140"/>
        <v>9</v>
      </c>
      <c r="C1714" s="37">
        <f t="shared" si="141"/>
        <v>40813</v>
      </c>
      <c r="D1714" s="37" t="s">
        <v>1201</v>
      </c>
      <c r="E1714" s="37">
        <v>40813</v>
      </c>
      <c r="F1714" s="40" t="s">
        <v>1036</v>
      </c>
      <c r="G1714" s="40" t="s">
        <v>1204</v>
      </c>
      <c r="H1714" s="628" t="s">
        <v>766</v>
      </c>
      <c r="I1714" s="256">
        <v>600</v>
      </c>
      <c r="J1714" s="256">
        <v>14209.898735153476</v>
      </c>
      <c r="K1714" s="614">
        <f t="shared" si="142"/>
        <v>8525939</v>
      </c>
      <c r="L1714" s="39" t="s">
        <v>165</v>
      </c>
      <c r="M1714" s="39" t="s">
        <v>159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94"/>
    </row>
    <row r="1715" spans="1:28" ht="15.75" customHeight="1">
      <c r="A1715" s="204" t="str">
        <f>IF(B1715&lt;&gt;"",IF(AND(B1715&gt;=_TM1,B1715&lt;=_TM2,OR(TH!L1715="1111",TH!M1715="1111")),TH!D1715,""),"")</f>
        <v/>
      </c>
      <c r="B1715" s="36">
        <f t="shared" si="140"/>
        <v>9</v>
      </c>
      <c r="C1715" s="37">
        <f t="shared" si="141"/>
        <v>40813</v>
      </c>
      <c r="D1715" s="37" t="s">
        <v>1201</v>
      </c>
      <c r="E1715" s="37">
        <v>40813</v>
      </c>
      <c r="F1715" s="40" t="s">
        <v>1035</v>
      </c>
      <c r="G1715" s="40" t="s">
        <v>1204</v>
      </c>
      <c r="H1715" s="628" t="s">
        <v>766</v>
      </c>
      <c r="I1715" s="256">
        <v>125</v>
      </c>
      <c r="J1715" s="256">
        <v>12041.894735153477</v>
      </c>
      <c r="K1715" s="614">
        <f t="shared" si="142"/>
        <v>1505237</v>
      </c>
      <c r="L1715" s="39" t="s">
        <v>165</v>
      </c>
      <c r="M1715" s="39" t="s">
        <v>159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94"/>
    </row>
    <row r="1716" spans="1:28" ht="15.75" customHeight="1">
      <c r="A1716" s="204" t="str">
        <f>IF(B1716&lt;&gt;"",IF(AND(B1716&gt;=_TM1,B1716&lt;=_TM2,OR(TH!L1716="1111",TH!M1716="1111")),TH!D1716,""),"")</f>
        <v/>
      </c>
      <c r="B1716" s="36">
        <f t="shared" si="140"/>
        <v>9</v>
      </c>
      <c r="C1716" s="37">
        <f t="shared" si="141"/>
        <v>40813</v>
      </c>
      <c r="D1716" s="37" t="s">
        <v>1201</v>
      </c>
      <c r="E1716" s="37">
        <v>40813</v>
      </c>
      <c r="F1716" s="40" t="s">
        <v>1037</v>
      </c>
      <c r="G1716" s="40" t="s">
        <v>1204</v>
      </c>
      <c r="H1716" s="628" t="s">
        <v>766</v>
      </c>
      <c r="I1716" s="256">
        <v>150</v>
      </c>
      <c r="J1716" s="256">
        <v>14066.398735153476</v>
      </c>
      <c r="K1716" s="614">
        <f t="shared" si="142"/>
        <v>2109960</v>
      </c>
      <c r="L1716" s="39" t="s">
        <v>165</v>
      </c>
      <c r="M1716" s="39" t="s">
        <v>159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94"/>
    </row>
    <row r="1717" spans="1:28" ht="15.75" customHeight="1">
      <c r="A1717" s="204" t="str">
        <f>IF(B1717&lt;&gt;"",IF(AND(B1717&gt;=_TM1,B1717&lt;=_TM2,OR(TH!L1717="1111",TH!M1717="1111")),TH!D1717,""),"")</f>
        <v/>
      </c>
      <c r="B1717" s="36">
        <f t="shared" si="140"/>
        <v>9</v>
      </c>
      <c r="C1717" s="37">
        <f t="shared" si="141"/>
        <v>40813</v>
      </c>
      <c r="D1717" s="37" t="s">
        <v>1201</v>
      </c>
      <c r="E1717" s="37">
        <v>40813</v>
      </c>
      <c r="F1717" s="40" t="s">
        <v>1038</v>
      </c>
      <c r="G1717" s="40" t="s">
        <v>1204</v>
      </c>
      <c r="H1717" s="628" t="s">
        <v>766</v>
      </c>
      <c r="I1717" s="256">
        <v>90</v>
      </c>
      <c r="J1717" s="256">
        <v>9894.8987351534779</v>
      </c>
      <c r="K1717" s="614">
        <f t="shared" si="142"/>
        <v>890541</v>
      </c>
      <c r="L1717" s="39" t="s">
        <v>165</v>
      </c>
      <c r="M1717" s="39" t="s">
        <v>159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94"/>
    </row>
    <row r="1718" spans="1:28" ht="15.75" customHeight="1">
      <c r="A1718" s="204" t="str">
        <f>IF(B1718&lt;&gt;"",IF(AND(B1718&gt;=_TM1,B1718&lt;=_TM2,OR(TH!L1718="1111",TH!M1718="1111")),TH!D1718,""),"")</f>
        <v/>
      </c>
      <c r="B1718" s="36">
        <f t="shared" si="140"/>
        <v>9</v>
      </c>
      <c r="C1718" s="37">
        <f t="shared" si="141"/>
        <v>40813</v>
      </c>
      <c r="D1718" s="37" t="s">
        <v>1203</v>
      </c>
      <c r="E1718" s="37">
        <v>40813</v>
      </c>
      <c r="F1718" s="40" t="s">
        <v>1038</v>
      </c>
      <c r="G1718" s="40" t="s">
        <v>1205</v>
      </c>
      <c r="H1718" s="628" t="s">
        <v>766</v>
      </c>
      <c r="I1718" s="256">
        <v>200</v>
      </c>
      <c r="J1718" s="256">
        <v>10615.898735153478</v>
      </c>
      <c r="K1718" s="614">
        <f t="shared" si="142"/>
        <v>2123180</v>
      </c>
      <c r="L1718" s="39" t="s">
        <v>165</v>
      </c>
      <c r="M1718" s="39" t="s">
        <v>159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94"/>
    </row>
    <row r="1719" spans="1:28" ht="15.75" customHeight="1">
      <c r="A1719" s="204" t="str">
        <f>IF(B1719&lt;&gt;"",IF(AND(B1719&gt;=_TM1,B1719&lt;=_TM2,OR(TH!L1719="1111",TH!M1719="1111")),TH!D1719,""),"")</f>
        <v/>
      </c>
      <c r="B1719" s="36">
        <f t="shared" si="140"/>
        <v>9</v>
      </c>
      <c r="C1719" s="37">
        <f t="shared" si="141"/>
        <v>40813</v>
      </c>
      <c r="D1719" s="37" t="s">
        <v>1203</v>
      </c>
      <c r="E1719" s="37">
        <v>40813</v>
      </c>
      <c r="F1719" s="40" t="s">
        <v>1039</v>
      </c>
      <c r="G1719" s="40" t="s">
        <v>1205</v>
      </c>
      <c r="H1719" s="628" t="s">
        <v>766</v>
      </c>
      <c r="I1719" s="256">
        <v>110</v>
      </c>
      <c r="J1719" s="256">
        <v>8248.3987351534797</v>
      </c>
      <c r="K1719" s="614">
        <f t="shared" si="142"/>
        <v>907324</v>
      </c>
      <c r="L1719" s="39" t="s">
        <v>165</v>
      </c>
      <c r="M1719" s="39" t="s">
        <v>159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94"/>
    </row>
    <row r="1720" spans="1:28" ht="15.75" customHeight="1">
      <c r="A1720" s="204" t="str">
        <f>IF(B1720&lt;&gt;"",IF(AND(B1720&gt;=_TM1,B1720&lt;=_TM2,OR(TH!L1720="1111",TH!M1720="1111")),TH!D1720,""),"")</f>
        <v/>
      </c>
      <c r="B1720" s="36">
        <f t="shared" si="140"/>
        <v>9</v>
      </c>
      <c r="C1720" s="37">
        <f t="shared" si="141"/>
        <v>40813</v>
      </c>
      <c r="D1720" s="37" t="s">
        <v>1203</v>
      </c>
      <c r="E1720" s="37">
        <v>40813</v>
      </c>
      <c r="F1720" s="40" t="s">
        <v>1037</v>
      </c>
      <c r="G1720" s="40" t="s">
        <v>1205</v>
      </c>
      <c r="H1720" s="628" t="s">
        <v>766</v>
      </c>
      <c r="I1720" s="256">
        <v>275</v>
      </c>
      <c r="J1720" s="256">
        <v>15240.56600788075</v>
      </c>
      <c r="K1720" s="614">
        <f t="shared" si="142"/>
        <v>4191156</v>
      </c>
      <c r="L1720" s="39" t="s">
        <v>165</v>
      </c>
      <c r="M1720" s="39" t="s">
        <v>159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94"/>
    </row>
    <row r="1721" spans="1:28" ht="15.75" customHeight="1">
      <c r="A1721" s="204" t="str">
        <f>IF(B1721&lt;&gt;"",IF(AND(B1721&gt;=_TM1,B1721&lt;=_TM2,OR(TH!L1721="1111",TH!M1721="1111")),TH!D1721,""),"")</f>
        <v/>
      </c>
      <c r="B1721" s="36">
        <f t="shared" si="140"/>
        <v>9</v>
      </c>
      <c r="C1721" s="37">
        <f t="shared" si="141"/>
        <v>40813</v>
      </c>
      <c r="D1721" s="37" t="s">
        <v>1203</v>
      </c>
      <c r="E1721" s="37">
        <v>40813</v>
      </c>
      <c r="F1721" s="40" t="s">
        <v>1037</v>
      </c>
      <c r="G1721" s="40" t="s">
        <v>1205</v>
      </c>
      <c r="H1721" s="628" t="s">
        <v>766</v>
      </c>
      <c r="I1721" s="256">
        <v>230</v>
      </c>
      <c r="J1721" s="256">
        <v>12041.398735153478</v>
      </c>
      <c r="K1721" s="614">
        <f t="shared" si="142"/>
        <v>2769522</v>
      </c>
      <c r="L1721" s="39" t="s">
        <v>165</v>
      </c>
      <c r="M1721" s="39" t="s">
        <v>159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94"/>
    </row>
    <row r="1722" spans="1:28" ht="15.75" customHeight="1">
      <c r="A1722" s="204" t="str">
        <f>IF(B1722&lt;&gt;"",IF(AND(B1722&gt;=_TM1,B1722&lt;=_TM2,OR(TH!L1722="1111",TH!M1722="1111")),TH!D1722,""),"")</f>
        <v/>
      </c>
      <c r="B1722" s="36">
        <f t="shared" si="140"/>
        <v>9</v>
      </c>
      <c r="C1722" s="720">
        <v>40816</v>
      </c>
      <c r="D1722" s="720" t="s">
        <v>672</v>
      </c>
      <c r="E1722" s="835">
        <v>40816</v>
      </c>
      <c r="F1722" s="721" t="s">
        <v>1135</v>
      </c>
      <c r="G1722" s="722"/>
      <c r="H1722" s="628" t="s">
        <v>363</v>
      </c>
      <c r="I1722" s="494"/>
      <c r="J1722" s="494"/>
      <c r="K1722" s="723">
        <v>13250000</v>
      </c>
      <c r="L1722" s="724" t="s">
        <v>262</v>
      </c>
      <c r="M1722" s="724" t="s">
        <v>46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>x</v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94"/>
    </row>
    <row r="1723" spans="1:28" ht="15.75" customHeight="1">
      <c r="A1723" s="204" t="str">
        <f>IF(B1723&lt;&gt;"",IF(AND(B1723&gt;=_TM1,B1723&lt;=_TM2,OR(TH!L1723="1111",TH!M1723="1111")),TH!D1723,""),"")</f>
        <v/>
      </c>
      <c r="B1723" s="36">
        <f t="shared" si="140"/>
        <v>9</v>
      </c>
      <c r="C1723" s="184">
        <v>40816</v>
      </c>
      <c r="D1723" s="720" t="s">
        <v>673</v>
      </c>
      <c r="E1723" s="184">
        <v>40816</v>
      </c>
      <c r="F1723" s="189" t="s">
        <v>362</v>
      </c>
      <c r="G1723" s="616" t="s">
        <v>330</v>
      </c>
      <c r="H1723" s="193" t="s">
        <v>363</v>
      </c>
      <c r="I1723" s="256"/>
      <c r="J1723" s="256"/>
      <c r="K1723" s="614">
        <v>105600000</v>
      </c>
      <c r="L1723" s="615" t="s">
        <v>23</v>
      </c>
      <c r="M1723" s="615" t="s">
        <v>46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>x</v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94"/>
    </row>
    <row r="1724" spans="1:28" ht="15.75" customHeight="1">
      <c r="A1724" s="204" t="str">
        <f>IF(B1724&lt;&gt;"",IF(AND(B1724&gt;=_TM1,B1724&lt;=_TM2,OR(TH!L1724="1111",TH!M1724="1111")),TH!D1724,""),"")</f>
        <v/>
      </c>
      <c r="B1724" s="36">
        <f t="shared" si="140"/>
        <v>9</v>
      </c>
      <c r="C1724" s="191">
        <v>40816</v>
      </c>
      <c r="D1724" s="184" t="s">
        <v>674</v>
      </c>
      <c r="E1724" s="191">
        <v>40816</v>
      </c>
      <c r="F1724" s="298" t="s">
        <v>1170</v>
      </c>
      <c r="G1724" s="498" t="s">
        <v>1171</v>
      </c>
      <c r="H1724" s="7" t="s">
        <v>371</v>
      </c>
      <c r="I1724" s="256">
        <v>20</v>
      </c>
      <c r="J1724" s="256">
        <v>58000</v>
      </c>
      <c r="K1724" s="614">
        <v>1160000</v>
      </c>
      <c r="L1724" s="194" t="s">
        <v>157</v>
      </c>
      <c r="M1724" s="194" t="s">
        <v>46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>x</v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94"/>
    </row>
    <row r="1725" spans="1:28" ht="15.75" customHeight="1">
      <c r="A1725" s="204" t="str">
        <f>IF(B1725&lt;&gt;"",IF(AND(B1725&gt;=_TM1,B1725&lt;=_TM2,OR(TH!L1725="1111",TH!M1725="1111")),TH!D1725,""),"")</f>
        <v/>
      </c>
      <c r="B1725" s="36">
        <f t="shared" si="140"/>
        <v>9</v>
      </c>
      <c r="C1725" s="191">
        <v>40816</v>
      </c>
      <c r="D1725" s="184" t="s">
        <v>674</v>
      </c>
      <c r="E1725" s="191">
        <v>40816</v>
      </c>
      <c r="F1725" s="298" t="s">
        <v>1172</v>
      </c>
      <c r="G1725" s="498" t="s">
        <v>1171</v>
      </c>
      <c r="H1725" s="7" t="s">
        <v>371</v>
      </c>
      <c r="I1725" s="258"/>
      <c r="J1725" s="258"/>
      <c r="K1725" s="38">
        <v>116000</v>
      </c>
      <c r="L1725" s="194" t="s">
        <v>9</v>
      </c>
      <c r="M1725" s="194" t="s">
        <v>46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>x</v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94"/>
      <c r="AB1725" s="198">
        <v>9</v>
      </c>
    </row>
    <row r="1726" spans="1:28" ht="15.75" customHeight="1">
      <c r="A1726" s="204" t="str">
        <f>IF(B1726&lt;&gt;"",IF(AND(B1726&gt;=_TM1,B1726&lt;=_TM2,OR(TH!L1726="1111",TH!M1726="1111")),TH!D1726,""),"")</f>
        <v/>
      </c>
      <c r="B1726" s="36">
        <f t="shared" si="140"/>
        <v>9</v>
      </c>
      <c r="C1726" s="720">
        <v>40816</v>
      </c>
      <c r="D1726" s="720" t="s">
        <v>337</v>
      </c>
      <c r="E1726" s="835">
        <v>40816</v>
      </c>
      <c r="F1726" s="721" t="s">
        <v>947</v>
      </c>
      <c r="G1726" s="722"/>
      <c r="H1726" s="628"/>
      <c r="I1726" s="494"/>
      <c r="J1726" s="494"/>
      <c r="K1726" s="723">
        <v>7025000</v>
      </c>
      <c r="L1726" s="724" t="s">
        <v>75</v>
      </c>
      <c r="M1726" s="724" t="s">
        <v>262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>x</v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94"/>
    </row>
    <row r="1727" spans="1:28" ht="15.75" customHeight="1">
      <c r="A1727" s="204" t="str">
        <f>IF(B1727&lt;&gt;"",IF(AND(B1727&gt;=_TM1,B1727&lt;=_TM2,OR(TH!L1727="1111",TH!M1727="1111")),TH!D1727,""),"")</f>
        <v/>
      </c>
      <c r="B1727" s="36">
        <f t="shared" si="140"/>
        <v>9</v>
      </c>
      <c r="C1727" s="720">
        <v>40816</v>
      </c>
      <c r="D1727" s="720" t="s">
        <v>337</v>
      </c>
      <c r="E1727" s="835">
        <v>40816</v>
      </c>
      <c r="F1727" s="721" t="s">
        <v>785</v>
      </c>
      <c r="G1727" s="722"/>
      <c r="H1727" s="628"/>
      <c r="I1727" s="494"/>
      <c r="J1727" s="494"/>
      <c r="K1727" s="614">
        <v>6225000</v>
      </c>
      <c r="L1727" s="724" t="s">
        <v>157</v>
      </c>
      <c r="M1727" s="724" t="s">
        <v>262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94"/>
    </row>
    <row r="1728" spans="1:28" ht="15.75" customHeight="1">
      <c r="A1728" s="204" t="str">
        <f>IF(B1728&lt;&gt;"",IF(AND(B1728&gt;=_TM1,B1728&lt;=_TM2,OR(TH!L1728="1111",TH!M1728="1111")),TH!D1728,""),"")</f>
        <v/>
      </c>
      <c r="B1728" s="36">
        <f t="shared" si="140"/>
        <v>9</v>
      </c>
      <c r="C1728" s="184">
        <v>40816</v>
      </c>
      <c r="D1728" s="184" t="s">
        <v>334</v>
      </c>
      <c r="E1728" s="184">
        <v>40816</v>
      </c>
      <c r="F1728" s="189" t="s">
        <v>369</v>
      </c>
      <c r="G1728" s="616" t="s">
        <v>330</v>
      </c>
      <c r="H1728" s="7" t="s">
        <v>531</v>
      </c>
      <c r="I1728" s="256"/>
      <c r="J1728" s="256"/>
      <c r="K1728" s="614">
        <v>105600000</v>
      </c>
      <c r="L1728" s="615" t="s">
        <v>8</v>
      </c>
      <c r="M1728" s="615" t="s">
        <v>23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94"/>
    </row>
    <row r="1729" spans="1:30" ht="15.75" customHeight="1">
      <c r="A1729" s="204" t="str">
        <f>IF(B1729&lt;&gt;"",IF(AND(B1729&gt;=_TM1,B1729&lt;=_TM2,OR(TH!L1729="1111",TH!M1729="1111")),TH!D1729,""),"")</f>
        <v/>
      </c>
      <c r="B1729" s="36">
        <f t="shared" si="140"/>
        <v>9</v>
      </c>
      <c r="C1729" s="184">
        <v>40816</v>
      </c>
      <c r="D1729" s="184" t="s">
        <v>334</v>
      </c>
      <c r="E1729" s="184">
        <v>40816</v>
      </c>
      <c r="F1729" s="189" t="s">
        <v>370</v>
      </c>
      <c r="G1729" s="616" t="s">
        <v>330</v>
      </c>
      <c r="H1729" s="7"/>
      <c r="I1729" s="256"/>
      <c r="J1729" s="256"/>
      <c r="K1729" s="614">
        <v>16399</v>
      </c>
      <c r="L1729" s="615" t="s">
        <v>75</v>
      </c>
      <c r="M1729" s="615" t="s">
        <v>23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>x</v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94"/>
    </row>
    <row r="1730" spans="1:30" ht="15.75" customHeight="1">
      <c r="A1730" s="204" t="str">
        <f>IF(B1730&lt;&gt;"",IF(AND(B1730&gt;=_TM1,B1730&lt;=_TM2,OR(TH!L1730="1111",TH!M1730="1111")),TH!D1730,""),"")</f>
        <v/>
      </c>
      <c r="B1730" s="36">
        <f t="shared" si="140"/>
        <v>9</v>
      </c>
      <c r="C1730" s="184">
        <v>40816</v>
      </c>
      <c r="D1730" s="184" t="s">
        <v>334</v>
      </c>
      <c r="E1730" s="184">
        <v>40816</v>
      </c>
      <c r="F1730" s="189" t="s">
        <v>1433</v>
      </c>
      <c r="G1730" s="616" t="s">
        <v>330</v>
      </c>
      <c r="H1730" s="7"/>
      <c r="I1730" s="256"/>
      <c r="J1730" s="256"/>
      <c r="K1730" s="614">
        <v>1640</v>
      </c>
      <c r="L1730" s="615" t="s">
        <v>9</v>
      </c>
      <c r="M1730" s="615" t="s">
        <v>23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894"/>
      <c r="AB1730" s="198">
        <v>9</v>
      </c>
    </row>
    <row r="1731" spans="1:30" ht="15.75" customHeight="1">
      <c r="A1731" s="204" t="str">
        <f>IF(B1731&lt;&gt;"",IF(AND(B1731&gt;=_TM1,B1731&lt;=_TM2,OR(TH!L1731="1111",TH!M1731="1111")),TH!D1731,""),"")</f>
        <v/>
      </c>
      <c r="B1731" s="36">
        <f t="shared" si="140"/>
        <v>10</v>
      </c>
      <c r="C1731" s="720">
        <f t="shared" ref="C1731:C1736" si="143">E1731</f>
        <v>40817</v>
      </c>
      <c r="D1731" s="720" t="s">
        <v>337</v>
      </c>
      <c r="E1731" s="835">
        <v>40817</v>
      </c>
      <c r="F1731" s="721" t="s">
        <v>782</v>
      </c>
      <c r="G1731" s="722"/>
      <c r="H1731" s="628"/>
      <c r="I1731" s="494"/>
      <c r="J1731" s="494"/>
      <c r="K1731" s="723">
        <v>18250000</v>
      </c>
      <c r="L1731" s="724" t="s">
        <v>157</v>
      </c>
      <c r="M1731" s="724" t="s">
        <v>260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94"/>
    </row>
    <row r="1732" spans="1:30" ht="15.75" customHeight="1">
      <c r="A1732" s="204" t="str">
        <f>IF(B1732&lt;&gt;"",IF(AND(B1732&gt;=_TM1,B1732&lt;=_TM2,OR(TH!L1732="1111",TH!M1732="1111")),TH!D1732,""),"")</f>
        <v/>
      </c>
      <c r="B1732" s="36">
        <f t="shared" si="140"/>
        <v>10</v>
      </c>
      <c r="C1732" s="720">
        <f t="shared" si="143"/>
        <v>40817</v>
      </c>
      <c r="D1732" s="720" t="s">
        <v>337</v>
      </c>
      <c r="E1732" s="835">
        <v>40817</v>
      </c>
      <c r="F1732" s="721" t="s">
        <v>783</v>
      </c>
      <c r="G1732" s="722"/>
      <c r="H1732" s="628"/>
      <c r="I1732" s="494"/>
      <c r="J1732" s="494"/>
      <c r="K1732" s="723">
        <v>4687116</v>
      </c>
      <c r="L1732" s="724" t="s">
        <v>157</v>
      </c>
      <c r="M1732" s="724" t="s">
        <v>768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94"/>
    </row>
    <row r="1733" spans="1:30" ht="15.75" customHeight="1">
      <c r="A1733" s="204" t="str">
        <f>IF(B1733&lt;&gt;"",IF(AND(B1733&gt;=_TM1,B1733&lt;=_TM2,OR(TH!L1733="1111",TH!M1733="1111")),TH!D1733,""),"")</f>
        <v/>
      </c>
      <c r="B1733" s="36">
        <f t="shared" si="140"/>
        <v>10</v>
      </c>
      <c r="C1733" s="191">
        <f t="shared" si="143"/>
        <v>40817</v>
      </c>
      <c r="D1733" s="37" t="s">
        <v>955</v>
      </c>
      <c r="E1733" s="794">
        <v>40817</v>
      </c>
      <c r="F1733" s="456" t="s">
        <v>388</v>
      </c>
      <c r="G1733" s="40"/>
      <c r="H1733" s="628" t="s">
        <v>1092</v>
      </c>
      <c r="I1733" s="256">
        <v>50</v>
      </c>
      <c r="J1733" s="256">
        <v>25000</v>
      </c>
      <c r="K1733" s="866">
        <f>ROUND(I1733*J1733,0)</f>
        <v>1250000</v>
      </c>
      <c r="L1733" s="39" t="s">
        <v>157</v>
      </c>
      <c r="M1733" s="39" t="s">
        <v>153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>x</v>
      </c>
      <c r="Z1733" s="52" t="str">
        <f>IF(AND(B1733&lt;=NKC!$N$8,B1733&gt;=NKC!$M$8),"x","")</f>
        <v/>
      </c>
      <c r="AA1733" s="894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>
        <f t="shared" si="140"/>
        <v>10</v>
      </c>
      <c r="C1734" s="191">
        <f t="shared" si="143"/>
        <v>40817</v>
      </c>
      <c r="D1734" s="37" t="s">
        <v>955</v>
      </c>
      <c r="E1734" s="794">
        <v>40817</v>
      </c>
      <c r="F1734" s="456" t="s">
        <v>475</v>
      </c>
      <c r="G1734" s="40"/>
      <c r="H1734" s="628" t="s">
        <v>1092</v>
      </c>
      <c r="I1734" s="256">
        <v>1</v>
      </c>
      <c r="J1734" s="256">
        <v>1300000</v>
      </c>
      <c r="K1734" s="866">
        <f>ROUND(I1734*J1734,0)</f>
        <v>1300000</v>
      </c>
      <c r="L1734" s="39" t="s">
        <v>157</v>
      </c>
      <c r="M1734" s="39" t="s">
        <v>153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94"/>
    </row>
    <row r="1735" spans="1:30" ht="15.75" customHeight="1">
      <c r="A1735" s="204" t="str">
        <f>IF(B1735&lt;&gt;"",IF(AND(B1735&gt;=_TM1,B1735&lt;=_TM2,OR(TH!L1735="1111",TH!M1735="1111")),TH!D1735,""),"")</f>
        <v/>
      </c>
      <c r="B1735" s="712">
        <f t="shared" si="140"/>
        <v>10</v>
      </c>
      <c r="C1735" s="860">
        <f t="shared" si="143"/>
        <v>40817</v>
      </c>
      <c r="D1735" s="860" t="s">
        <v>1091</v>
      </c>
      <c r="E1735" s="860">
        <v>40817</v>
      </c>
      <c r="F1735" s="40" t="s">
        <v>652</v>
      </c>
      <c r="G1735" s="861"/>
      <c r="H1735" s="628" t="s">
        <v>1092</v>
      </c>
      <c r="I1735" s="254">
        <v>1200</v>
      </c>
      <c r="J1735" s="254">
        <v>18995</v>
      </c>
      <c r="K1735" s="614">
        <f>ROUND(I1735*J1735,0)</f>
        <v>22794000</v>
      </c>
      <c r="L1735" s="52" t="s">
        <v>157</v>
      </c>
      <c r="M1735" s="52" t="s">
        <v>151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94"/>
      <c r="AB1735" s="831"/>
      <c r="AC1735" s="831"/>
      <c r="AD1735" s="831"/>
    </row>
    <row r="1736" spans="1:30" ht="15.75" customHeight="1">
      <c r="A1736" s="204" t="str">
        <f>IF(B1736&lt;&gt;"",IF(AND(B1736&gt;=_TM1,B1736&lt;=_TM2,OR(TH!L1736="1111",TH!M1736="1111")),TH!D1736,""),"")</f>
        <v/>
      </c>
      <c r="B1736" s="712">
        <f t="shared" si="140"/>
        <v>10</v>
      </c>
      <c r="C1736" s="860">
        <f t="shared" si="143"/>
        <v>40817</v>
      </c>
      <c r="D1736" s="860" t="s">
        <v>1091</v>
      </c>
      <c r="E1736" s="860">
        <v>40817</v>
      </c>
      <c r="F1736" s="40" t="s">
        <v>648</v>
      </c>
      <c r="G1736" s="861"/>
      <c r="H1736" s="628" t="s">
        <v>1092</v>
      </c>
      <c r="I1736" s="254">
        <v>1460</v>
      </c>
      <c r="J1736" s="254">
        <v>19365</v>
      </c>
      <c r="K1736" s="614">
        <f>ROUND(I1736*J1736,0)</f>
        <v>28272900</v>
      </c>
      <c r="L1736" s="52" t="s">
        <v>157</v>
      </c>
      <c r="M1736" s="52" t="s">
        <v>151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94"/>
      <c r="AB1736" s="831"/>
      <c r="AC1736" s="831"/>
      <c r="AD1736" s="831"/>
    </row>
    <row r="1737" spans="1:30" ht="15.75" customHeight="1">
      <c r="A1737" s="204" t="str">
        <f>IF(B1737&lt;&gt;"",IF(AND(B1737&gt;=_TM1,B1737&lt;=_TM2,OR(TH!L1737="1111",TH!M1737="1111")),TH!D1737,""),"")</f>
        <v>C01</v>
      </c>
      <c r="B1737" s="36">
        <f t="shared" si="140"/>
        <v>10</v>
      </c>
      <c r="C1737" s="191">
        <v>40819</v>
      </c>
      <c r="D1737" s="191" t="s">
        <v>434</v>
      </c>
      <c r="E1737" s="191">
        <v>40819</v>
      </c>
      <c r="F1737" s="298" t="s">
        <v>372</v>
      </c>
      <c r="G1737" s="498" t="s">
        <v>1221</v>
      </c>
      <c r="H1737" s="7" t="s">
        <v>371</v>
      </c>
      <c r="I1737" s="258">
        <v>40</v>
      </c>
      <c r="J1737" s="258">
        <v>40000</v>
      </c>
      <c r="K1737" s="614">
        <v>1600000</v>
      </c>
      <c r="L1737" s="194" t="s">
        <v>157</v>
      </c>
      <c r="M1737" s="194" t="s">
        <v>46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94"/>
    </row>
    <row r="1738" spans="1:30" ht="15.75" customHeight="1">
      <c r="A1738" s="204" t="str">
        <f>IF(B1738&lt;&gt;"",IF(AND(B1738&gt;=_TM1,B1738&lt;=_TM2,OR(TH!L1738="1111",TH!M1738="1111")),TH!D1738,""),"")</f>
        <v>C01</v>
      </c>
      <c r="B1738" s="36">
        <f t="shared" si="140"/>
        <v>10</v>
      </c>
      <c r="C1738" s="191">
        <v>40819</v>
      </c>
      <c r="D1738" s="191" t="s">
        <v>434</v>
      </c>
      <c r="E1738" s="191">
        <v>40819</v>
      </c>
      <c r="F1738" s="192" t="s">
        <v>1165</v>
      </c>
      <c r="G1738" s="498" t="s">
        <v>1221</v>
      </c>
      <c r="H1738" s="7" t="s">
        <v>371</v>
      </c>
      <c r="I1738" s="256"/>
      <c r="J1738" s="256"/>
      <c r="K1738" s="38">
        <v>160000</v>
      </c>
      <c r="L1738" s="194" t="s">
        <v>9</v>
      </c>
      <c r="M1738" s="194" t="s">
        <v>46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94"/>
      <c r="AB1738" s="198">
        <v>10</v>
      </c>
    </row>
    <row r="1739" spans="1:30" ht="15.75" customHeight="1">
      <c r="A1739" s="204" t="str">
        <f>IF(B1739&lt;&gt;"",IF(AND(B1739&gt;=_TM1,B1739&lt;=_TM2,OR(TH!L1739="1111",TH!M1739="1111")),TH!D1739,""),"")</f>
        <v>C02</v>
      </c>
      <c r="B1739" s="36">
        <f t="shared" si="140"/>
        <v>10</v>
      </c>
      <c r="C1739" s="191">
        <v>40821</v>
      </c>
      <c r="D1739" s="191" t="s">
        <v>435</v>
      </c>
      <c r="E1739" s="191">
        <v>40821</v>
      </c>
      <c r="F1739" s="192" t="s">
        <v>1168</v>
      </c>
      <c r="G1739" s="498" t="s">
        <v>1222</v>
      </c>
      <c r="H1739" s="193" t="s">
        <v>1223</v>
      </c>
      <c r="I1739" s="256"/>
      <c r="J1739" s="256"/>
      <c r="K1739" s="38">
        <v>520000</v>
      </c>
      <c r="L1739" s="194" t="s">
        <v>261</v>
      </c>
      <c r="M1739" s="615" t="s">
        <v>46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94"/>
    </row>
    <row r="1740" spans="1:30" ht="15.75" customHeight="1">
      <c r="A1740" s="204" t="str">
        <f>IF(B1740&lt;&gt;"",IF(AND(B1740&gt;=_TM1,B1740&lt;=_TM2,OR(TH!L1740="1111",TH!M1740="1111")),TH!D1740,""),"")</f>
        <v/>
      </c>
      <c r="B1740" s="36">
        <f t="shared" si="140"/>
        <v>10</v>
      </c>
      <c r="C1740" s="191">
        <v>40821</v>
      </c>
      <c r="D1740" s="191" t="s">
        <v>957</v>
      </c>
      <c r="E1740" s="191">
        <v>40821</v>
      </c>
      <c r="F1740" s="192" t="s">
        <v>1234</v>
      </c>
      <c r="G1740" s="498" t="s">
        <v>1235</v>
      </c>
      <c r="H1740" s="193" t="s">
        <v>733</v>
      </c>
      <c r="I1740" s="256">
        <v>2420</v>
      </c>
      <c r="J1740" s="256">
        <v>17447.77438016529</v>
      </c>
      <c r="K1740" s="614">
        <v>42223614</v>
      </c>
      <c r="L1740" s="194" t="s">
        <v>259</v>
      </c>
      <c r="M1740" s="194" t="s">
        <v>167</v>
      </c>
      <c r="N1740" s="52" t="str">
        <f>IF(AND('331-CT'!$E$7=TH!H1740,OR(L1740="331",M1740="331")),"331",IF(AND(OR(L1740="131",M1740="131"),H1740='131-CT'!$E$7),"131",""))</f>
        <v>131</v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94"/>
    </row>
    <row r="1741" spans="1:30" ht="15.75" customHeight="1">
      <c r="A1741" s="204" t="str">
        <f>IF(B1741&lt;&gt;"",IF(AND(B1741&gt;=_TM1,B1741&lt;=_TM2,OR(TH!L1741="1111",TH!M1741="1111")),TH!D1741,""),"")</f>
        <v/>
      </c>
      <c r="B1741" s="36">
        <f t="shared" si="140"/>
        <v>10</v>
      </c>
      <c r="C1741" s="191">
        <v>40821</v>
      </c>
      <c r="D1741" s="191" t="s">
        <v>957</v>
      </c>
      <c r="E1741" s="191">
        <v>40821</v>
      </c>
      <c r="F1741" s="192" t="s">
        <v>1176</v>
      </c>
      <c r="G1741" s="498" t="s">
        <v>1235</v>
      </c>
      <c r="H1741" s="193" t="s">
        <v>733</v>
      </c>
      <c r="I1741" s="256"/>
      <c r="J1741" s="256"/>
      <c r="K1741" s="614">
        <f>4222361+2</f>
        <v>4222363</v>
      </c>
      <c r="L1741" s="194" t="s">
        <v>259</v>
      </c>
      <c r="M1741" s="194" t="s">
        <v>731</v>
      </c>
      <c r="N1741" s="52" t="str">
        <f>IF(AND('331-CT'!$E$7=TH!H1741,OR(L1741="331",M1741="331")),"331",IF(AND(OR(L1741="131",M1741="131"),H1741='131-CT'!$E$7),"131",""))</f>
        <v>131</v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94"/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712">
        <f t="shared" si="140"/>
        <v>10</v>
      </c>
      <c r="C1742" s="860">
        <f>E1742</f>
        <v>40821</v>
      </c>
      <c r="D1742" s="48" t="s">
        <v>1112</v>
      </c>
      <c r="E1742" s="860">
        <v>40821</v>
      </c>
      <c r="F1742" s="867" t="s">
        <v>1234</v>
      </c>
      <c r="G1742" s="49"/>
      <c r="H1742" s="868" t="s">
        <v>1092</v>
      </c>
      <c r="I1742" s="254">
        <v>2420</v>
      </c>
      <c r="J1742" s="254">
        <v>10717.516450308252</v>
      </c>
      <c r="K1742" s="716">
        <f>ROUND(I1742*J1742,0)</f>
        <v>25936390</v>
      </c>
      <c r="L1742" s="52" t="s">
        <v>159</v>
      </c>
      <c r="M1742" s="52" t="s">
        <v>157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94"/>
      <c r="AB1742" s="831"/>
      <c r="AC1742" s="831"/>
      <c r="AD1742" s="831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>
        <f t="shared" si="140"/>
        <v>10</v>
      </c>
      <c r="C1743" s="860">
        <f>E1743</f>
        <v>40821</v>
      </c>
      <c r="D1743" s="48" t="s">
        <v>957</v>
      </c>
      <c r="E1743" s="860">
        <v>40821</v>
      </c>
      <c r="F1743" s="192" t="s">
        <v>1234</v>
      </c>
      <c r="G1743" s="498" t="s">
        <v>1235</v>
      </c>
      <c r="H1743" s="193" t="s">
        <v>733</v>
      </c>
      <c r="I1743" s="256">
        <v>2420</v>
      </c>
      <c r="J1743" s="256">
        <v>10717.516450308252</v>
      </c>
      <c r="K1743" s="614">
        <f>ROUND(I1743*J1743,0)</f>
        <v>25936390</v>
      </c>
      <c r="L1743" s="52" t="s">
        <v>165</v>
      </c>
      <c r="M1743" s="52" t="s">
        <v>159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94"/>
    </row>
    <row r="1744" spans="1:30" ht="15.75" customHeight="1">
      <c r="A1744" s="204" t="str">
        <f>IF(B1744&lt;&gt;"",IF(AND(B1744&gt;=_TM1,B1744&lt;=_TM2,OR(TH!L1744="1111",TH!M1744="1111")),TH!D1744,""),"")</f>
        <v/>
      </c>
      <c r="B1744" s="36">
        <f t="shared" si="140"/>
        <v>10</v>
      </c>
      <c r="C1744" s="184">
        <v>40822</v>
      </c>
      <c r="D1744" s="184" t="s">
        <v>333</v>
      </c>
      <c r="E1744" s="184">
        <v>40822</v>
      </c>
      <c r="F1744" s="189" t="s">
        <v>335</v>
      </c>
      <c r="G1744" s="616" t="s">
        <v>330</v>
      </c>
      <c r="H1744" s="193" t="s">
        <v>733</v>
      </c>
      <c r="I1744" s="256"/>
      <c r="J1744" s="256"/>
      <c r="K1744" s="614">
        <v>95076575</v>
      </c>
      <c r="L1744" s="615" t="s">
        <v>23</v>
      </c>
      <c r="M1744" s="615" t="s">
        <v>259</v>
      </c>
      <c r="N1744" s="52" t="str">
        <f>IF(AND('331-CT'!$E$7=TH!H1744,OR(L1744="331",M1744="331")),"331",IF(AND(OR(L1744="131",M1744="131"),H1744='131-CT'!$E$7),"131",""))</f>
        <v>131</v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94"/>
    </row>
    <row r="1745" spans="1:30" ht="15.75" customHeight="1">
      <c r="A1745" s="204" t="str">
        <f>IF(B1745&lt;&gt;"",IF(AND(B1745&gt;=_TM1,B1745&lt;=_TM2,OR(TH!L1745="1111",TH!M1745="1111")),TH!D1745,""),"")</f>
        <v/>
      </c>
      <c r="B1745" s="36">
        <f t="shared" si="140"/>
        <v>10</v>
      </c>
      <c r="C1745" s="191">
        <v>40822</v>
      </c>
      <c r="D1745" s="184" t="s">
        <v>694</v>
      </c>
      <c r="E1745" s="191">
        <v>40822</v>
      </c>
      <c r="F1745" s="884" t="s">
        <v>340</v>
      </c>
      <c r="G1745" s="676" t="s">
        <v>1224</v>
      </c>
      <c r="H1745" s="7" t="s">
        <v>392</v>
      </c>
      <c r="I1745" s="256">
        <v>48</v>
      </c>
      <c r="J1745" s="256">
        <v>42000</v>
      </c>
      <c r="K1745" s="614">
        <v>2016000</v>
      </c>
      <c r="L1745" s="615" t="s">
        <v>153</v>
      </c>
      <c r="M1745" s="615" t="s">
        <v>8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94"/>
    </row>
    <row r="1746" spans="1:30" ht="15.75" customHeight="1">
      <c r="A1746" s="204" t="str">
        <f>IF(B1746&lt;&gt;"",IF(AND(B1746&gt;=_TM1,B1746&lt;=_TM2,OR(TH!L1746="1111",TH!M1746="1111")),TH!D1746,""),"")</f>
        <v/>
      </c>
      <c r="B1746" s="36">
        <f t="shared" si="140"/>
        <v>10</v>
      </c>
      <c r="C1746" s="191">
        <v>40822</v>
      </c>
      <c r="D1746" s="184" t="s">
        <v>694</v>
      </c>
      <c r="E1746" s="191">
        <v>40822</v>
      </c>
      <c r="F1746" s="884" t="s">
        <v>341</v>
      </c>
      <c r="G1746" s="676" t="s">
        <v>1224</v>
      </c>
      <c r="H1746" s="7" t="s">
        <v>392</v>
      </c>
      <c r="I1746" s="256"/>
      <c r="J1746" s="256"/>
      <c r="K1746" s="614">
        <v>201600</v>
      </c>
      <c r="L1746" s="615" t="s">
        <v>9</v>
      </c>
      <c r="M1746" s="615" t="s">
        <v>8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94"/>
      <c r="AB1746" s="198">
        <v>10</v>
      </c>
    </row>
    <row r="1747" spans="1:30" ht="15.75" customHeight="1">
      <c r="A1747" s="204" t="str">
        <f>IF(B1747&lt;&gt;"",IF(AND(B1747&gt;=_TM1,B1747&lt;=_TM2,OR(TH!L1747="1111",TH!M1747="1111")),TH!D1747,""),"")</f>
        <v>C03</v>
      </c>
      <c r="B1747" s="36">
        <f t="shared" si="140"/>
        <v>10</v>
      </c>
      <c r="C1747" s="191">
        <v>40822</v>
      </c>
      <c r="D1747" s="191" t="s">
        <v>436</v>
      </c>
      <c r="E1747" s="191">
        <v>40822</v>
      </c>
      <c r="F1747" s="192" t="s">
        <v>527</v>
      </c>
      <c r="G1747" s="676" t="s">
        <v>1224</v>
      </c>
      <c r="H1747" s="7" t="s">
        <v>392</v>
      </c>
      <c r="I1747" s="256"/>
      <c r="J1747" s="256"/>
      <c r="K1747" s="38">
        <v>2217600</v>
      </c>
      <c r="L1747" s="194" t="s">
        <v>8</v>
      </c>
      <c r="M1747" s="194" t="s">
        <v>46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94"/>
    </row>
    <row r="1748" spans="1:30" ht="15.75" customHeight="1">
      <c r="A1748" s="204" t="str">
        <f>IF(B1748&lt;&gt;"",IF(AND(B1748&gt;=_TM1,B1748&lt;=_TM2,OR(TH!L1748="1111",TH!M1748="1111")),TH!D1748,""),"")</f>
        <v>C03</v>
      </c>
      <c r="B1748" s="36">
        <f t="shared" si="140"/>
        <v>10</v>
      </c>
      <c r="C1748" s="191">
        <v>40822</v>
      </c>
      <c r="D1748" s="191" t="s">
        <v>436</v>
      </c>
      <c r="E1748" s="813">
        <v>40822</v>
      </c>
      <c r="F1748" s="192" t="s">
        <v>1168</v>
      </c>
      <c r="G1748" s="498" t="s">
        <v>1225</v>
      </c>
      <c r="H1748" s="193" t="s">
        <v>1223</v>
      </c>
      <c r="I1748" s="260"/>
      <c r="J1748" s="260"/>
      <c r="K1748" s="859">
        <v>510000</v>
      </c>
      <c r="L1748" s="194" t="s">
        <v>261</v>
      </c>
      <c r="M1748" s="615" t="s">
        <v>46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94"/>
    </row>
    <row r="1749" spans="1:30" ht="15.75" customHeight="1">
      <c r="A1749" s="204" t="str">
        <f>IF(B1749&lt;&gt;"",IF(AND(B1749&gt;=_TM1,B1749&lt;=_TM2,OR(TH!L1749="1111",TH!M1749="1111")),TH!D1749,""),"")</f>
        <v/>
      </c>
      <c r="B1749" s="36">
        <f t="shared" si="140"/>
        <v>10</v>
      </c>
      <c r="C1749" s="191">
        <f t="shared" ref="C1749:C1767" si="144">E1749</f>
        <v>40822</v>
      </c>
      <c r="D1749" s="37" t="s">
        <v>956</v>
      </c>
      <c r="E1749" s="794">
        <v>40822</v>
      </c>
      <c r="F1749" s="454" t="s">
        <v>340</v>
      </c>
      <c r="G1749" s="40"/>
      <c r="H1749" s="628" t="s">
        <v>1092</v>
      </c>
      <c r="I1749" s="256">
        <v>48</v>
      </c>
      <c r="J1749" s="256">
        <v>42000</v>
      </c>
      <c r="K1749" s="866">
        <f t="shared" ref="K1749:K1767" si="145">ROUND(I1749*J1749,0)</f>
        <v>2016000</v>
      </c>
      <c r="L1749" s="39" t="s">
        <v>157</v>
      </c>
      <c r="M1749" s="39" t="s">
        <v>153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94"/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712">
        <f t="shared" si="140"/>
        <v>10</v>
      </c>
      <c r="C1750" s="860">
        <f t="shared" si="144"/>
        <v>40823</v>
      </c>
      <c r="D1750" s="860" t="s">
        <v>1093</v>
      </c>
      <c r="E1750" s="860">
        <v>40823</v>
      </c>
      <c r="F1750" s="884" t="s">
        <v>484</v>
      </c>
      <c r="G1750" s="861"/>
      <c r="H1750" s="628" t="s">
        <v>1092</v>
      </c>
      <c r="I1750" s="254">
        <v>50</v>
      </c>
      <c r="J1750" s="254">
        <v>19112</v>
      </c>
      <c r="K1750" s="614">
        <f t="shared" si="145"/>
        <v>955600</v>
      </c>
      <c r="L1750" s="52" t="s">
        <v>157</v>
      </c>
      <c r="M1750" s="52" t="s">
        <v>151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94"/>
      <c r="AB1750" s="831"/>
      <c r="AC1750" s="831"/>
      <c r="AD1750" s="83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712">
        <f t="shared" si="140"/>
        <v>10</v>
      </c>
      <c r="C1751" s="860">
        <f t="shared" si="144"/>
        <v>40823</v>
      </c>
      <c r="D1751" s="860" t="s">
        <v>1093</v>
      </c>
      <c r="E1751" s="860">
        <v>40823</v>
      </c>
      <c r="F1751" s="189" t="s">
        <v>563</v>
      </c>
      <c r="G1751" s="861"/>
      <c r="H1751" s="628" t="s">
        <v>1092</v>
      </c>
      <c r="I1751" s="254">
        <v>43</v>
      </c>
      <c r="J1751" s="254">
        <v>29843</v>
      </c>
      <c r="K1751" s="614">
        <f t="shared" si="145"/>
        <v>1283249</v>
      </c>
      <c r="L1751" s="52" t="s">
        <v>157</v>
      </c>
      <c r="M1751" s="52" t="s">
        <v>151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94"/>
      <c r="AB1751" s="831"/>
      <c r="AC1751" s="831"/>
      <c r="AD1751" s="831"/>
    </row>
    <row r="1752" spans="1:30" ht="15.75" customHeight="1">
      <c r="A1752" s="204" t="str">
        <f>IF(B1752&lt;&gt;"",IF(AND(B1752&gt;=_TM1,B1752&lt;=_TM2,OR(TH!L1752="1111",TH!M1752="1111")),TH!D1752,""),"")</f>
        <v/>
      </c>
      <c r="B1752" s="712">
        <f t="shared" si="140"/>
        <v>10</v>
      </c>
      <c r="C1752" s="860">
        <f t="shared" si="144"/>
        <v>40823</v>
      </c>
      <c r="D1752" s="860" t="s">
        <v>1093</v>
      </c>
      <c r="E1752" s="860">
        <v>40823</v>
      </c>
      <c r="F1752" s="298" t="s">
        <v>379</v>
      </c>
      <c r="G1752" s="861"/>
      <c r="H1752" s="628" t="s">
        <v>1092</v>
      </c>
      <c r="I1752" s="254">
        <v>130</v>
      </c>
      <c r="J1752" s="254">
        <v>24346</v>
      </c>
      <c r="K1752" s="614">
        <f t="shared" si="145"/>
        <v>3164980</v>
      </c>
      <c r="L1752" s="52" t="s">
        <v>157</v>
      </c>
      <c r="M1752" s="52" t="s">
        <v>151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94"/>
      <c r="AB1752" s="831"/>
      <c r="AC1752" s="831"/>
      <c r="AD1752" s="831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>
        <f t="shared" ref="B1753:B1816" si="146">IF(C1753&lt;&gt;"",MONTH(C1753),"")</f>
        <v>10</v>
      </c>
      <c r="C1753" s="860">
        <f t="shared" si="144"/>
        <v>40823</v>
      </c>
      <c r="D1753" s="860" t="s">
        <v>1093</v>
      </c>
      <c r="E1753" s="860">
        <v>40823</v>
      </c>
      <c r="F1753" s="189" t="s">
        <v>579</v>
      </c>
      <c r="G1753" s="498"/>
      <c r="H1753" s="628" t="s">
        <v>1092</v>
      </c>
      <c r="I1753" s="256">
        <v>140</v>
      </c>
      <c r="J1753" s="256">
        <v>7543</v>
      </c>
      <c r="K1753" s="614">
        <f t="shared" si="145"/>
        <v>1056020</v>
      </c>
      <c r="L1753" s="52" t="s">
        <v>157</v>
      </c>
      <c r="M1753" s="52" t="s">
        <v>151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94"/>
    </row>
    <row r="1754" spans="1:30" ht="15.75" customHeight="1">
      <c r="A1754" s="204" t="str">
        <f>IF(B1754&lt;&gt;"",IF(AND(B1754&gt;=_TM1,B1754&lt;=_TM2,OR(TH!L1754="1111",TH!M1754="1111")),TH!D1754,""),"")</f>
        <v/>
      </c>
      <c r="B1754" s="36">
        <f t="shared" si="146"/>
        <v>10</v>
      </c>
      <c r="C1754" s="860">
        <f t="shared" si="144"/>
        <v>40823</v>
      </c>
      <c r="D1754" s="860" t="s">
        <v>1093</v>
      </c>
      <c r="E1754" s="860">
        <v>40823</v>
      </c>
      <c r="F1754" s="40" t="s">
        <v>619</v>
      </c>
      <c r="G1754" s="498"/>
      <c r="H1754" s="628" t="s">
        <v>1092</v>
      </c>
      <c r="I1754" s="256">
        <v>10</v>
      </c>
      <c r="J1754" s="256">
        <v>32844</v>
      </c>
      <c r="K1754" s="614">
        <f t="shared" si="145"/>
        <v>328440</v>
      </c>
      <c r="L1754" s="52" t="s">
        <v>157</v>
      </c>
      <c r="M1754" s="52" t="s">
        <v>151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94"/>
    </row>
    <row r="1755" spans="1:30" ht="15.75" customHeight="1">
      <c r="A1755" s="204" t="str">
        <f>IF(B1755&lt;&gt;"",IF(AND(B1755&gt;=_TM1,B1755&lt;=_TM2,OR(TH!L1755="1111",TH!M1755="1111")),TH!D1755,""),"")</f>
        <v/>
      </c>
      <c r="B1755" s="36">
        <f t="shared" si="146"/>
        <v>10</v>
      </c>
      <c r="C1755" s="860">
        <f t="shared" si="144"/>
        <v>40823</v>
      </c>
      <c r="D1755" s="860" t="s">
        <v>1093</v>
      </c>
      <c r="E1755" s="860">
        <v>40823</v>
      </c>
      <c r="F1755" s="40" t="s">
        <v>590</v>
      </c>
      <c r="G1755" s="498"/>
      <c r="H1755" s="628" t="s">
        <v>1092</v>
      </c>
      <c r="I1755" s="256">
        <v>20</v>
      </c>
      <c r="J1755" s="256">
        <v>29721.8</v>
      </c>
      <c r="K1755" s="614">
        <f t="shared" si="145"/>
        <v>594436</v>
      </c>
      <c r="L1755" s="52" t="s">
        <v>157</v>
      </c>
      <c r="M1755" s="52" t="s">
        <v>151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94"/>
    </row>
    <row r="1756" spans="1:30" ht="15.75" customHeight="1">
      <c r="A1756" s="204" t="str">
        <f>IF(B1756&lt;&gt;"",IF(AND(B1756&gt;=_TM1,B1756&lt;=_TM2,OR(TH!L1756="1111",TH!M1756="1111")),TH!D1756,""),"")</f>
        <v/>
      </c>
      <c r="B1756" s="36">
        <f t="shared" si="146"/>
        <v>10</v>
      </c>
      <c r="C1756" s="860">
        <f t="shared" si="144"/>
        <v>40823</v>
      </c>
      <c r="D1756" s="860" t="s">
        <v>1093</v>
      </c>
      <c r="E1756" s="860">
        <v>40823</v>
      </c>
      <c r="F1756" s="40" t="s">
        <v>613</v>
      </c>
      <c r="G1756" s="40"/>
      <c r="H1756" s="628" t="s">
        <v>1092</v>
      </c>
      <c r="I1756" s="256">
        <v>16</v>
      </c>
      <c r="J1756" s="256">
        <v>19180</v>
      </c>
      <c r="K1756" s="614">
        <f t="shared" si="145"/>
        <v>306880</v>
      </c>
      <c r="L1756" s="52" t="s">
        <v>157</v>
      </c>
      <c r="M1756" s="52" t="s">
        <v>151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94"/>
    </row>
    <row r="1757" spans="1:30" ht="15.75" customHeight="1">
      <c r="A1757" s="204" t="str">
        <f>IF(B1757&lt;&gt;"",IF(AND(B1757&gt;=_TM1,B1757&lt;=_TM2,OR(TH!L1757="1111",TH!M1757="1111")),TH!D1757,""),"")</f>
        <v/>
      </c>
      <c r="B1757" s="36">
        <f t="shared" si="146"/>
        <v>10</v>
      </c>
      <c r="C1757" s="860">
        <f t="shared" si="144"/>
        <v>40823</v>
      </c>
      <c r="D1757" s="860" t="s">
        <v>1093</v>
      </c>
      <c r="E1757" s="860">
        <v>40823</v>
      </c>
      <c r="F1757" s="40" t="s">
        <v>612</v>
      </c>
      <c r="G1757" s="40"/>
      <c r="H1757" s="628" t="s">
        <v>1092</v>
      </c>
      <c r="I1757" s="256">
        <v>45</v>
      </c>
      <c r="J1757" s="256">
        <v>29792</v>
      </c>
      <c r="K1757" s="614">
        <f t="shared" si="145"/>
        <v>1340640</v>
      </c>
      <c r="L1757" s="52" t="s">
        <v>157</v>
      </c>
      <c r="M1757" s="52" t="s">
        <v>151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94"/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>
        <f t="shared" si="146"/>
        <v>10</v>
      </c>
      <c r="C1758" s="860">
        <f t="shared" si="144"/>
        <v>40823</v>
      </c>
      <c r="D1758" s="860" t="s">
        <v>1093</v>
      </c>
      <c r="E1758" s="860">
        <v>40823</v>
      </c>
      <c r="F1758" s="40" t="s">
        <v>616</v>
      </c>
      <c r="G1758" s="40"/>
      <c r="H1758" s="628" t="s">
        <v>1092</v>
      </c>
      <c r="I1758" s="256">
        <v>37</v>
      </c>
      <c r="J1758" s="256">
        <v>30058</v>
      </c>
      <c r="K1758" s="614">
        <f t="shared" si="145"/>
        <v>1112146</v>
      </c>
      <c r="L1758" s="52" t="s">
        <v>157</v>
      </c>
      <c r="M1758" s="52" t="s">
        <v>151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94"/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>
        <f t="shared" si="146"/>
        <v>10</v>
      </c>
      <c r="C1759" s="860">
        <f t="shared" si="144"/>
        <v>40826</v>
      </c>
      <c r="D1759" s="860" t="s">
        <v>1094</v>
      </c>
      <c r="E1759" s="37">
        <v>40826</v>
      </c>
      <c r="F1759" s="40" t="s">
        <v>625</v>
      </c>
      <c r="G1759" s="40"/>
      <c r="H1759" s="628" t="s">
        <v>1092</v>
      </c>
      <c r="I1759" s="256">
        <v>94</v>
      </c>
      <c r="J1759" s="256">
        <v>28980</v>
      </c>
      <c r="K1759" s="614">
        <f t="shared" si="145"/>
        <v>2724120</v>
      </c>
      <c r="L1759" s="52" t="s">
        <v>157</v>
      </c>
      <c r="M1759" s="52" t="s">
        <v>151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94"/>
    </row>
    <row r="1760" spans="1:30" ht="15.75" customHeight="1">
      <c r="A1760" s="204" t="str">
        <f>IF(B1760&lt;&gt;"",IF(AND(B1760&gt;=_TM1,B1760&lt;=_TM2,OR(TH!L1760="1111",TH!M1760="1111")),TH!D1760,""),"")</f>
        <v/>
      </c>
      <c r="B1760" s="36">
        <f t="shared" si="146"/>
        <v>10</v>
      </c>
      <c r="C1760" s="860">
        <f t="shared" si="144"/>
        <v>40826</v>
      </c>
      <c r="D1760" s="860" t="s">
        <v>1094</v>
      </c>
      <c r="E1760" s="37">
        <v>40826</v>
      </c>
      <c r="F1760" s="40" t="s">
        <v>618</v>
      </c>
      <c r="G1760" s="40"/>
      <c r="H1760" s="628" t="s">
        <v>1092</v>
      </c>
      <c r="I1760" s="256">
        <v>20</v>
      </c>
      <c r="J1760" s="256">
        <v>28560</v>
      </c>
      <c r="K1760" s="614">
        <f t="shared" si="145"/>
        <v>571200</v>
      </c>
      <c r="L1760" s="52" t="s">
        <v>157</v>
      </c>
      <c r="M1760" s="52" t="s">
        <v>151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94"/>
    </row>
    <row r="1761" spans="1:27" ht="15.75" customHeight="1">
      <c r="A1761" s="204" t="str">
        <f>IF(B1761&lt;&gt;"",IF(AND(B1761&gt;=_TM1,B1761&lt;=_TM2,OR(TH!L1761="1111",TH!M1761="1111")),TH!D1761,""),"")</f>
        <v/>
      </c>
      <c r="B1761" s="36">
        <f t="shared" si="146"/>
        <v>10</v>
      </c>
      <c r="C1761" s="860">
        <f t="shared" si="144"/>
        <v>40826</v>
      </c>
      <c r="D1761" s="860" t="s">
        <v>1094</v>
      </c>
      <c r="E1761" s="37">
        <v>40826</v>
      </c>
      <c r="F1761" s="189" t="s">
        <v>565</v>
      </c>
      <c r="G1761" s="40"/>
      <c r="H1761" s="628" t="s">
        <v>1092</v>
      </c>
      <c r="I1761" s="256">
        <v>17</v>
      </c>
      <c r="J1761" s="256">
        <v>29579</v>
      </c>
      <c r="K1761" s="614">
        <f t="shared" si="145"/>
        <v>502843</v>
      </c>
      <c r="L1761" s="52" t="s">
        <v>157</v>
      </c>
      <c r="M1761" s="52" t="s">
        <v>151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94"/>
    </row>
    <row r="1762" spans="1:27" ht="15.75" customHeight="1">
      <c r="A1762" s="204" t="str">
        <f>IF(B1762&lt;&gt;"",IF(AND(B1762&gt;=_TM1,B1762&lt;=_TM2,OR(TH!L1762="1111",TH!M1762="1111")),TH!D1762,""),"")</f>
        <v/>
      </c>
      <c r="B1762" s="36">
        <f t="shared" si="146"/>
        <v>10</v>
      </c>
      <c r="C1762" s="860">
        <f t="shared" si="144"/>
        <v>40826</v>
      </c>
      <c r="D1762" s="860" t="s">
        <v>1094</v>
      </c>
      <c r="E1762" s="37">
        <v>40826</v>
      </c>
      <c r="F1762" s="189" t="s">
        <v>490</v>
      </c>
      <c r="G1762" s="40"/>
      <c r="H1762" s="628" t="s">
        <v>1092</v>
      </c>
      <c r="I1762" s="256">
        <v>50</v>
      </c>
      <c r="J1762" s="256">
        <v>17427</v>
      </c>
      <c r="K1762" s="614">
        <f t="shared" si="145"/>
        <v>871350</v>
      </c>
      <c r="L1762" s="52" t="s">
        <v>157</v>
      </c>
      <c r="M1762" s="52" t="s">
        <v>151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94"/>
    </row>
    <row r="1763" spans="1:27" ht="15.75" customHeight="1">
      <c r="A1763" s="204" t="str">
        <f>IF(B1763&lt;&gt;"",IF(AND(B1763&gt;=_TM1,B1763&lt;=_TM2,OR(TH!L1763="1111",TH!M1763="1111")),TH!D1763,""),"")</f>
        <v/>
      </c>
      <c r="B1763" s="36">
        <f t="shared" si="146"/>
        <v>10</v>
      </c>
      <c r="C1763" s="860">
        <f t="shared" si="144"/>
        <v>40826</v>
      </c>
      <c r="D1763" s="860" t="s">
        <v>1094</v>
      </c>
      <c r="E1763" s="37">
        <v>40826</v>
      </c>
      <c r="F1763" s="189" t="s">
        <v>484</v>
      </c>
      <c r="G1763" s="40"/>
      <c r="H1763" s="628" t="s">
        <v>1092</v>
      </c>
      <c r="I1763" s="256">
        <v>100</v>
      </c>
      <c r="J1763" s="256">
        <v>19112</v>
      </c>
      <c r="K1763" s="614">
        <f t="shared" si="145"/>
        <v>1911200</v>
      </c>
      <c r="L1763" s="52" t="s">
        <v>157</v>
      </c>
      <c r="M1763" s="52" t="s">
        <v>151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94"/>
    </row>
    <row r="1764" spans="1:27" ht="15.75" customHeight="1">
      <c r="A1764" s="204" t="str">
        <f>IF(B1764&lt;&gt;"",IF(AND(B1764&gt;=_TM1,B1764&lt;=_TM2,OR(TH!L1764="1111",TH!M1764="1111")),TH!D1764,""),"")</f>
        <v/>
      </c>
      <c r="B1764" s="36">
        <f t="shared" si="146"/>
        <v>10</v>
      </c>
      <c r="C1764" s="860">
        <f t="shared" si="144"/>
        <v>40826</v>
      </c>
      <c r="D1764" s="860" t="s">
        <v>1094</v>
      </c>
      <c r="E1764" s="37">
        <v>40826</v>
      </c>
      <c r="F1764" s="189" t="s">
        <v>562</v>
      </c>
      <c r="G1764" s="40"/>
      <c r="H1764" s="628" t="s">
        <v>1092</v>
      </c>
      <c r="I1764" s="256">
        <v>100</v>
      </c>
      <c r="J1764" s="256">
        <v>18390</v>
      </c>
      <c r="K1764" s="614">
        <f t="shared" si="145"/>
        <v>1839000</v>
      </c>
      <c r="L1764" s="52" t="s">
        <v>157</v>
      </c>
      <c r="M1764" s="52" t="s">
        <v>151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94"/>
    </row>
    <row r="1765" spans="1:27" ht="15.75" customHeight="1">
      <c r="A1765" s="204" t="str">
        <f>IF(B1765&lt;&gt;"",IF(AND(B1765&gt;=_TM1,B1765&lt;=_TM2,OR(TH!L1765="1111",TH!M1765="1111")),TH!D1765,""),"")</f>
        <v/>
      </c>
      <c r="B1765" s="36">
        <f t="shared" si="146"/>
        <v>10</v>
      </c>
      <c r="C1765" s="860">
        <f t="shared" si="144"/>
        <v>40826</v>
      </c>
      <c r="D1765" s="860" t="s">
        <v>1094</v>
      </c>
      <c r="E1765" s="37">
        <v>40826</v>
      </c>
      <c r="F1765" s="40" t="s">
        <v>611</v>
      </c>
      <c r="G1765" s="40"/>
      <c r="H1765" s="628" t="s">
        <v>1092</v>
      </c>
      <c r="I1765" s="256">
        <v>60</v>
      </c>
      <c r="J1765" s="256">
        <v>18396</v>
      </c>
      <c r="K1765" s="614">
        <f t="shared" si="145"/>
        <v>1103760</v>
      </c>
      <c r="L1765" s="52" t="s">
        <v>157</v>
      </c>
      <c r="M1765" s="52" t="s">
        <v>151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94"/>
    </row>
    <row r="1766" spans="1:27" ht="15.75" customHeight="1">
      <c r="A1766" s="204" t="str">
        <f>IF(B1766&lt;&gt;"",IF(AND(B1766&gt;=_TM1,B1766&lt;=_TM2,OR(TH!L1766="1111",TH!M1766="1111")),TH!D1766,""),"")</f>
        <v/>
      </c>
      <c r="B1766" s="36">
        <f t="shared" si="146"/>
        <v>10</v>
      </c>
      <c r="C1766" s="860">
        <f t="shared" si="144"/>
        <v>40826</v>
      </c>
      <c r="D1766" s="860" t="s">
        <v>1094</v>
      </c>
      <c r="E1766" s="37">
        <v>40826</v>
      </c>
      <c r="F1766" s="189" t="s">
        <v>550</v>
      </c>
      <c r="G1766" s="40"/>
      <c r="H1766" s="628" t="s">
        <v>1092</v>
      </c>
      <c r="I1766" s="256">
        <v>130</v>
      </c>
      <c r="J1766" s="256">
        <v>22476</v>
      </c>
      <c r="K1766" s="614">
        <f t="shared" si="145"/>
        <v>2921880</v>
      </c>
      <c r="L1766" s="52" t="s">
        <v>157</v>
      </c>
      <c r="M1766" s="52" t="s">
        <v>151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94"/>
    </row>
    <row r="1767" spans="1:27" ht="15.75" customHeight="1">
      <c r="A1767" s="204" t="str">
        <f>IF(B1767&lt;&gt;"",IF(AND(B1767&gt;=_TM1,B1767&lt;=_TM2,OR(TH!L1767="1111",TH!M1767="1111")),TH!D1767,""),"")</f>
        <v/>
      </c>
      <c r="B1767" s="36">
        <f t="shared" si="146"/>
        <v>10</v>
      </c>
      <c r="C1767" s="860">
        <f t="shared" si="144"/>
        <v>40826</v>
      </c>
      <c r="D1767" s="860" t="s">
        <v>1094</v>
      </c>
      <c r="E1767" s="37">
        <v>40826</v>
      </c>
      <c r="F1767" s="189" t="s">
        <v>554</v>
      </c>
      <c r="G1767" s="40"/>
      <c r="H1767" s="628" t="s">
        <v>1092</v>
      </c>
      <c r="I1767" s="256">
        <v>150</v>
      </c>
      <c r="J1767" s="256">
        <v>21158</v>
      </c>
      <c r="K1767" s="614">
        <f t="shared" si="145"/>
        <v>3173700</v>
      </c>
      <c r="L1767" s="52" t="s">
        <v>157</v>
      </c>
      <c r="M1767" s="52" t="s">
        <v>151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94"/>
    </row>
    <row r="1768" spans="1:27" ht="15.75" customHeight="1">
      <c r="A1768" s="204" t="str">
        <f>IF(B1768&lt;&gt;"",IF(AND(B1768&gt;=_TM1,B1768&lt;=_TM2,OR(TH!L1768="1111",TH!M1768="1111")),TH!D1768,""),"")</f>
        <v>T01</v>
      </c>
      <c r="B1768" s="36">
        <f t="shared" si="146"/>
        <v>10</v>
      </c>
      <c r="C1768" s="184">
        <v>40827</v>
      </c>
      <c r="D1768" s="184" t="s">
        <v>432</v>
      </c>
      <c r="E1768" s="184">
        <v>40827</v>
      </c>
      <c r="F1768" s="884" t="s">
        <v>1156</v>
      </c>
      <c r="G1768" s="616" t="s">
        <v>330</v>
      </c>
      <c r="H1768" s="193" t="s">
        <v>363</v>
      </c>
      <c r="I1768" s="256"/>
      <c r="J1768" s="256"/>
      <c r="K1768" s="614">
        <v>95000000</v>
      </c>
      <c r="L1768" s="615" t="s">
        <v>46</v>
      </c>
      <c r="M1768" s="615" t="s">
        <v>23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94"/>
    </row>
    <row r="1769" spans="1:27" ht="15.75" customHeight="1">
      <c r="A1769" s="204" t="str">
        <f>IF(B1769&lt;&gt;"",IF(AND(B1769&gt;=_TM1,B1769&lt;=_TM2,OR(TH!L1769="1111",TH!M1769="1111")),TH!D1769,""),"")</f>
        <v/>
      </c>
      <c r="B1769" s="36">
        <f t="shared" si="146"/>
        <v>10</v>
      </c>
      <c r="C1769" s="191">
        <v>40831</v>
      </c>
      <c r="D1769" s="191" t="s">
        <v>958</v>
      </c>
      <c r="E1769" s="191">
        <v>40831</v>
      </c>
      <c r="F1769" s="192" t="s">
        <v>1236</v>
      </c>
      <c r="G1769" s="498" t="s">
        <v>1237</v>
      </c>
      <c r="H1769" s="193" t="s">
        <v>733</v>
      </c>
      <c r="I1769" s="256">
        <v>2954.1641048824595</v>
      </c>
      <c r="J1769" s="256">
        <v>19908</v>
      </c>
      <c r="K1769" s="614">
        <v>58811499</v>
      </c>
      <c r="L1769" s="194" t="s">
        <v>259</v>
      </c>
      <c r="M1769" s="194" t="s">
        <v>167</v>
      </c>
      <c r="N1769" s="52" t="str">
        <f>IF(AND('331-CT'!$E$7=TH!H1769,OR(L1769="331",M1769="331")),"331",IF(AND(OR(L1769="131",M1769="131"),H1769='131-CT'!$E$7),"131",""))</f>
        <v>131</v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>x</v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94"/>
    </row>
    <row r="1770" spans="1:27" ht="15.75" customHeight="1">
      <c r="A1770" s="204" t="str">
        <f>IF(B1770&lt;&gt;"",IF(AND(B1770&gt;=_TM1,B1770&lt;=_TM2,OR(TH!L1770="1111",TH!M1770="1111")),TH!D1770,""),"")</f>
        <v/>
      </c>
      <c r="B1770" s="36">
        <f t="shared" si="146"/>
        <v>10</v>
      </c>
      <c r="C1770" s="191">
        <v>40831</v>
      </c>
      <c r="D1770" s="191" t="s">
        <v>958</v>
      </c>
      <c r="E1770" s="191">
        <v>40831</v>
      </c>
      <c r="F1770" s="192" t="s">
        <v>1176</v>
      </c>
      <c r="G1770" s="498" t="s">
        <v>1237</v>
      </c>
      <c r="H1770" s="193" t="s">
        <v>733</v>
      </c>
      <c r="I1770" s="256"/>
      <c r="J1770" s="256"/>
      <c r="K1770" s="614">
        <f>5881150+1</f>
        <v>5881151</v>
      </c>
      <c r="L1770" s="194" t="s">
        <v>259</v>
      </c>
      <c r="M1770" s="194" t="s">
        <v>731</v>
      </c>
      <c r="N1770" s="52" t="str">
        <f>IF(AND('331-CT'!$E$7=TH!H1770,OR(L1770="331",M1770="331")),"331",IF(AND(OR(L1770="131",M1770="131"),H1770='131-CT'!$E$7),"131",""))</f>
        <v>131</v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94"/>
    </row>
    <row r="1771" spans="1:27" ht="15.75" customHeight="1">
      <c r="A1771" s="204" t="str">
        <f>IF(B1771&lt;&gt;"",IF(AND(B1771&gt;=_TM1,B1771&lt;=_TM2,OR(TH!L1771="1111",TH!M1771="1111")),TH!D1771,""),"")</f>
        <v/>
      </c>
      <c r="B1771" s="36">
        <f t="shared" si="146"/>
        <v>10</v>
      </c>
      <c r="C1771" s="860">
        <f t="shared" ref="C1771:C1788" si="147">E1771</f>
        <v>40831</v>
      </c>
      <c r="D1771" s="860" t="s">
        <v>1095</v>
      </c>
      <c r="E1771" s="37">
        <v>40831</v>
      </c>
      <c r="F1771" s="40" t="s">
        <v>557</v>
      </c>
      <c r="G1771" s="40"/>
      <c r="H1771" s="628" t="s">
        <v>1092</v>
      </c>
      <c r="I1771" s="256">
        <v>90</v>
      </c>
      <c r="J1771" s="256">
        <v>24004.988888888889</v>
      </c>
      <c r="K1771" s="614">
        <f t="shared" ref="K1771:K1788" si="148">ROUND(I1771*J1771,0)</f>
        <v>2160449</v>
      </c>
      <c r="L1771" s="52" t="s">
        <v>157</v>
      </c>
      <c r="M1771" s="52" t="s">
        <v>151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94"/>
    </row>
    <row r="1772" spans="1:27" ht="15.75" customHeight="1">
      <c r="A1772" s="204" t="str">
        <f>IF(B1772&lt;&gt;"",IF(AND(B1772&gt;=_TM1,B1772&lt;=_TM2,OR(TH!L1772="1111",TH!M1772="1111")),TH!D1772,""),"")</f>
        <v/>
      </c>
      <c r="B1772" s="36">
        <f t="shared" si="146"/>
        <v>10</v>
      </c>
      <c r="C1772" s="860">
        <f t="shared" si="147"/>
        <v>40831</v>
      </c>
      <c r="D1772" s="860" t="s">
        <v>1095</v>
      </c>
      <c r="E1772" s="37">
        <v>40831</v>
      </c>
      <c r="F1772" s="189" t="s">
        <v>629</v>
      </c>
      <c r="G1772" s="40"/>
      <c r="H1772" s="628" t="s">
        <v>1092</v>
      </c>
      <c r="I1772" s="256">
        <v>94</v>
      </c>
      <c r="J1772" s="256">
        <v>27175</v>
      </c>
      <c r="K1772" s="614">
        <f t="shared" si="148"/>
        <v>2554450</v>
      </c>
      <c r="L1772" s="52" t="s">
        <v>157</v>
      </c>
      <c r="M1772" s="52" t="s">
        <v>151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94"/>
    </row>
    <row r="1773" spans="1:27" ht="15.75" customHeight="1">
      <c r="A1773" s="204" t="str">
        <f>IF(B1773&lt;&gt;"",IF(AND(B1773&gt;=_TM1,B1773&lt;=_TM2,OR(TH!L1773="1111",TH!M1773="1111")),TH!D1773,""),"")</f>
        <v/>
      </c>
      <c r="B1773" s="36">
        <f t="shared" si="146"/>
        <v>10</v>
      </c>
      <c r="C1773" s="860">
        <f t="shared" si="147"/>
        <v>40831</v>
      </c>
      <c r="D1773" s="860" t="s">
        <v>1095</v>
      </c>
      <c r="E1773" s="37">
        <v>40831</v>
      </c>
      <c r="F1773" s="189" t="s">
        <v>490</v>
      </c>
      <c r="G1773" s="40"/>
      <c r="H1773" s="628" t="s">
        <v>1092</v>
      </c>
      <c r="I1773" s="256">
        <v>64</v>
      </c>
      <c r="J1773" s="256">
        <v>17427</v>
      </c>
      <c r="K1773" s="614">
        <f t="shared" si="148"/>
        <v>1115328</v>
      </c>
      <c r="L1773" s="52" t="s">
        <v>157</v>
      </c>
      <c r="M1773" s="52" t="s">
        <v>151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94"/>
    </row>
    <row r="1774" spans="1:27" ht="15.75" customHeight="1">
      <c r="A1774" s="204" t="str">
        <f>IF(B1774&lt;&gt;"",IF(AND(B1774&gt;=_TM1,B1774&lt;=_TM2,OR(TH!L1774="1111",TH!M1774="1111")),TH!D1774,""),"")</f>
        <v/>
      </c>
      <c r="B1774" s="36">
        <f t="shared" si="146"/>
        <v>10</v>
      </c>
      <c r="C1774" s="860">
        <f t="shared" si="147"/>
        <v>40831</v>
      </c>
      <c r="D1774" s="860" t="s">
        <v>1095</v>
      </c>
      <c r="E1774" s="37">
        <v>40831</v>
      </c>
      <c r="F1774" s="189" t="s">
        <v>490</v>
      </c>
      <c r="G1774" s="40"/>
      <c r="H1774" s="628" t="s">
        <v>1092</v>
      </c>
      <c r="I1774" s="256">
        <v>107</v>
      </c>
      <c r="J1774" s="256">
        <v>17427</v>
      </c>
      <c r="K1774" s="614">
        <f t="shared" si="148"/>
        <v>1864689</v>
      </c>
      <c r="L1774" s="52" t="s">
        <v>157</v>
      </c>
      <c r="M1774" s="52" t="s">
        <v>151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94"/>
    </row>
    <row r="1775" spans="1:27" ht="15.75" customHeight="1">
      <c r="A1775" s="204" t="str">
        <f>IF(B1775&lt;&gt;"",IF(AND(B1775&gt;=_TM1,B1775&lt;=_TM2,OR(TH!L1775="1111",TH!M1775="1111")),TH!D1775,""),"")</f>
        <v/>
      </c>
      <c r="B1775" s="36">
        <f t="shared" si="146"/>
        <v>10</v>
      </c>
      <c r="C1775" s="860">
        <f t="shared" si="147"/>
        <v>40831</v>
      </c>
      <c r="D1775" s="860" t="s">
        <v>1095</v>
      </c>
      <c r="E1775" s="37">
        <v>40831</v>
      </c>
      <c r="F1775" s="189" t="s">
        <v>571</v>
      </c>
      <c r="G1775" s="40"/>
      <c r="H1775" s="628" t="s">
        <v>1092</v>
      </c>
      <c r="I1775" s="256">
        <v>104</v>
      </c>
      <c r="J1775" s="256">
        <v>23340</v>
      </c>
      <c r="K1775" s="614">
        <f t="shared" si="148"/>
        <v>2427360</v>
      </c>
      <c r="L1775" s="52" t="s">
        <v>157</v>
      </c>
      <c r="M1775" s="52" t="s">
        <v>151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94"/>
    </row>
    <row r="1776" spans="1:27" ht="15.75" customHeight="1">
      <c r="A1776" s="204" t="str">
        <f>IF(B1776&lt;&gt;"",IF(AND(B1776&gt;=_TM1,B1776&lt;=_TM2,OR(TH!L1776="1111",TH!M1776="1111")),TH!D1776,""),"")</f>
        <v/>
      </c>
      <c r="B1776" s="36">
        <f t="shared" si="146"/>
        <v>10</v>
      </c>
      <c r="C1776" s="860">
        <f t="shared" si="147"/>
        <v>40831</v>
      </c>
      <c r="D1776" s="860" t="s">
        <v>1095</v>
      </c>
      <c r="E1776" s="37">
        <v>40831</v>
      </c>
      <c r="F1776" s="40" t="s">
        <v>609</v>
      </c>
      <c r="G1776" s="40"/>
      <c r="H1776" s="628" t="s">
        <v>1092</v>
      </c>
      <c r="I1776" s="256">
        <v>182</v>
      </c>
      <c r="J1776" s="256">
        <v>19418</v>
      </c>
      <c r="K1776" s="614">
        <f t="shared" si="148"/>
        <v>3534076</v>
      </c>
      <c r="L1776" s="52" t="s">
        <v>157</v>
      </c>
      <c r="M1776" s="52" t="s">
        <v>151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94"/>
    </row>
    <row r="1777" spans="1:30" ht="15.75" customHeight="1">
      <c r="A1777" s="204" t="str">
        <f>IF(B1777&lt;&gt;"",IF(AND(B1777&gt;=_TM1,B1777&lt;=_TM2,OR(TH!L1777="1111",TH!M1777="1111")),TH!D1777,""),"")</f>
        <v/>
      </c>
      <c r="B1777" s="36">
        <f t="shared" si="146"/>
        <v>10</v>
      </c>
      <c r="C1777" s="860">
        <f t="shared" si="147"/>
        <v>40831</v>
      </c>
      <c r="D1777" s="860" t="s">
        <v>1095</v>
      </c>
      <c r="E1777" s="37">
        <v>40831</v>
      </c>
      <c r="F1777" s="189" t="s">
        <v>570</v>
      </c>
      <c r="G1777" s="40"/>
      <c r="H1777" s="628" t="s">
        <v>1092</v>
      </c>
      <c r="I1777" s="256">
        <v>104</v>
      </c>
      <c r="J1777" s="256">
        <v>27479</v>
      </c>
      <c r="K1777" s="614">
        <f t="shared" si="148"/>
        <v>2857816</v>
      </c>
      <c r="L1777" s="52" t="s">
        <v>157</v>
      </c>
      <c r="M1777" s="52" t="s">
        <v>151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94"/>
    </row>
    <row r="1778" spans="1:30" ht="15.75" customHeight="1">
      <c r="A1778" s="204" t="str">
        <f>IF(B1778&lt;&gt;"",IF(AND(B1778&gt;=_TM1,B1778&lt;=_TM2,OR(TH!L1778="1111",TH!M1778="1111")),TH!D1778,""),"")</f>
        <v/>
      </c>
      <c r="B1778" s="36">
        <f t="shared" si="146"/>
        <v>10</v>
      </c>
      <c r="C1778" s="860">
        <f t="shared" si="147"/>
        <v>40831</v>
      </c>
      <c r="D1778" s="860" t="s">
        <v>1095</v>
      </c>
      <c r="E1778" s="37">
        <v>40831</v>
      </c>
      <c r="F1778" s="298" t="s">
        <v>483</v>
      </c>
      <c r="G1778" s="40"/>
      <c r="H1778" s="628" t="s">
        <v>1092</v>
      </c>
      <c r="I1778" s="256">
        <v>52</v>
      </c>
      <c r="J1778" s="256">
        <v>35390</v>
      </c>
      <c r="K1778" s="614">
        <f t="shared" si="148"/>
        <v>1840280</v>
      </c>
      <c r="L1778" s="52" t="s">
        <v>157</v>
      </c>
      <c r="M1778" s="52" t="s">
        <v>151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94"/>
    </row>
    <row r="1779" spans="1:30" ht="15.75" customHeight="1">
      <c r="A1779" s="204" t="str">
        <f>IF(B1779&lt;&gt;"",IF(AND(B1779&gt;=_TM1,B1779&lt;=_TM2,OR(TH!L1779="1111",TH!M1779="1111")),TH!D1779,""),"")</f>
        <v/>
      </c>
      <c r="B1779" s="712">
        <f t="shared" si="146"/>
        <v>10</v>
      </c>
      <c r="C1779" s="860">
        <f t="shared" si="147"/>
        <v>40831</v>
      </c>
      <c r="D1779" s="48" t="s">
        <v>1113</v>
      </c>
      <c r="E1779" s="860">
        <v>40831</v>
      </c>
      <c r="F1779" s="867" t="s">
        <v>1236</v>
      </c>
      <c r="G1779" s="49"/>
      <c r="H1779" s="868" t="s">
        <v>1092</v>
      </c>
      <c r="I1779" s="254">
        <v>2954.1641048824595</v>
      </c>
      <c r="J1779" s="254">
        <v>10869.032366703337</v>
      </c>
      <c r="K1779" s="716">
        <f t="shared" si="148"/>
        <v>32108905</v>
      </c>
      <c r="L1779" s="52" t="s">
        <v>159</v>
      </c>
      <c r="M1779" s="52" t="s">
        <v>157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94"/>
      <c r="AB1779" s="831"/>
      <c r="AC1779" s="831"/>
      <c r="AD1779" s="831"/>
    </row>
    <row r="1780" spans="1:30" ht="15.75" customHeight="1">
      <c r="A1780" s="204" t="str">
        <f>IF(B1780&lt;&gt;"",IF(AND(B1780&gt;=_TM1,B1780&lt;=_TM2,OR(TH!L1780="1111",TH!M1780="1111")),TH!D1780,""),"")</f>
        <v/>
      </c>
      <c r="B1780" s="36">
        <f t="shared" si="146"/>
        <v>10</v>
      </c>
      <c r="C1780" s="860">
        <f t="shared" si="147"/>
        <v>40831</v>
      </c>
      <c r="D1780" s="48" t="s">
        <v>958</v>
      </c>
      <c r="E1780" s="860">
        <v>40831</v>
      </c>
      <c r="F1780" s="192" t="s">
        <v>1236</v>
      </c>
      <c r="G1780" s="498" t="s">
        <v>1237</v>
      </c>
      <c r="H1780" s="193" t="s">
        <v>733</v>
      </c>
      <c r="I1780" s="256">
        <v>2954.1641048824595</v>
      </c>
      <c r="J1780" s="256">
        <v>10869.032366703337</v>
      </c>
      <c r="K1780" s="614">
        <f t="shared" si="148"/>
        <v>32108905</v>
      </c>
      <c r="L1780" s="52" t="s">
        <v>165</v>
      </c>
      <c r="M1780" s="52" t="s">
        <v>159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94"/>
    </row>
    <row r="1781" spans="1:30" ht="15.75" customHeight="1">
      <c r="A1781" s="204" t="str">
        <f>IF(B1781&lt;&gt;"",IF(AND(B1781&gt;=_TM1,B1781&lt;=_TM2,OR(TH!L1781="1111",TH!M1781="1111")),TH!D1781,""),"")</f>
        <v/>
      </c>
      <c r="B1781" s="36">
        <f t="shared" si="146"/>
        <v>10</v>
      </c>
      <c r="C1781" s="860">
        <f t="shared" si="147"/>
        <v>40832</v>
      </c>
      <c r="D1781" s="860" t="s">
        <v>1097</v>
      </c>
      <c r="E1781" s="37">
        <v>40832</v>
      </c>
      <c r="F1781" s="40" t="s">
        <v>615</v>
      </c>
      <c r="G1781" s="40"/>
      <c r="H1781" s="628" t="s">
        <v>1092</v>
      </c>
      <c r="I1781" s="256">
        <v>58</v>
      </c>
      <c r="J1781" s="256">
        <v>28476</v>
      </c>
      <c r="K1781" s="614">
        <f t="shared" si="148"/>
        <v>1651608</v>
      </c>
      <c r="L1781" s="52" t="s">
        <v>157</v>
      </c>
      <c r="M1781" s="52" t="s">
        <v>151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94"/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>
        <f t="shared" si="146"/>
        <v>10</v>
      </c>
      <c r="C1782" s="860">
        <f t="shared" si="147"/>
        <v>40832</v>
      </c>
      <c r="D1782" s="860" t="s">
        <v>1097</v>
      </c>
      <c r="E1782" s="37">
        <v>40832</v>
      </c>
      <c r="F1782" s="298" t="s">
        <v>482</v>
      </c>
      <c r="G1782" s="40"/>
      <c r="H1782" s="628" t="s">
        <v>1092</v>
      </c>
      <c r="I1782" s="256">
        <v>52</v>
      </c>
      <c r="J1782" s="256">
        <v>27720</v>
      </c>
      <c r="K1782" s="614">
        <f t="shared" si="148"/>
        <v>1441440</v>
      </c>
      <c r="L1782" s="52" t="s">
        <v>157</v>
      </c>
      <c r="M1782" s="52" t="s">
        <v>151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94"/>
    </row>
    <row r="1783" spans="1:30" ht="15.75" customHeight="1">
      <c r="A1783" s="204" t="str">
        <f>IF(B1783&lt;&gt;"",IF(AND(B1783&gt;=_TM1,B1783&lt;=_TM2,OR(TH!L1783="1111",TH!M1783="1111")),TH!D1783,""),"")</f>
        <v/>
      </c>
      <c r="B1783" s="36">
        <f t="shared" si="146"/>
        <v>10</v>
      </c>
      <c r="C1783" s="860">
        <f t="shared" si="147"/>
        <v>40832</v>
      </c>
      <c r="D1783" s="860" t="s">
        <v>1097</v>
      </c>
      <c r="E1783" s="37">
        <v>40832</v>
      </c>
      <c r="F1783" s="189" t="s">
        <v>545</v>
      </c>
      <c r="G1783" s="40"/>
      <c r="H1783" s="628" t="s">
        <v>1092</v>
      </c>
      <c r="I1783" s="256">
        <v>52</v>
      </c>
      <c r="J1783" s="256">
        <v>32850</v>
      </c>
      <c r="K1783" s="614">
        <f t="shared" si="148"/>
        <v>1708200</v>
      </c>
      <c r="L1783" s="52" t="s">
        <v>157</v>
      </c>
      <c r="M1783" s="52" t="s">
        <v>151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94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>
        <f t="shared" si="146"/>
        <v>10</v>
      </c>
      <c r="C1784" s="860">
        <f t="shared" si="147"/>
        <v>40832</v>
      </c>
      <c r="D1784" s="860" t="s">
        <v>1097</v>
      </c>
      <c r="E1784" s="37">
        <v>40832</v>
      </c>
      <c r="F1784" s="189" t="s">
        <v>521</v>
      </c>
      <c r="G1784" s="40"/>
      <c r="H1784" s="628" t="s">
        <v>1092</v>
      </c>
      <c r="I1784" s="256">
        <v>58</v>
      </c>
      <c r="J1784" s="256">
        <v>26880</v>
      </c>
      <c r="K1784" s="614">
        <f t="shared" si="148"/>
        <v>1559040</v>
      </c>
      <c r="L1784" s="52" t="s">
        <v>157</v>
      </c>
      <c r="M1784" s="52" t="s">
        <v>151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94"/>
    </row>
    <row r="1785" spans="1:30" ht="15.75" customHeight="1">
      <c r="A1785" s="204" t="str">
        <f>IF(B1785&lt;&gt;"",IF(AND(B1785&gt;=_TM1,B1785&lt;=_TM2,OR(TH!L1785="1111",TH!M1785="1111")),TH!D1785,""),"")</f>
        <v/>
      </c>
      <c r="B1785" s="36">
        <f t="shared" si="146"/>
        <v>10</v>
      </c>
      <c r="C1785" s="860">
        <f t="shared" si="147"/>
        <v>40832</v>
      </c>
      <c r="D1785" s="860" t="s">
        <v>1097</v>
      </c>
      <c r="E1785" s="37">
        <v>40832</v>
      </c>
      <c r="F1785" s="189" t="s">
        <v>636</v>
      </c>
      <c r="G1785" s="40"/>
      <c r="H1785" s="628" t="s">
        <v>1092</v>
      </c>
      <c r="I1785" s="256">
        <v>22</v>
      </c>
      <c r="J1785" s="256">
        <v>35812</v>
      </c>
      <c r="K1785" s="614">
        <f t="shared" si="148"/>
        <v>787864</v>
      </c>
      <c r="L1785" s="52" t="s">
        <v>157</v>
      </c>
      <c r="M1785" s="52" t="s">
        <v>151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94"/>
    </row>
    <row r="1786" spans="1:30" ht="15.75" customHeight="1">
      <c r="A1786" s="204" t="str">
        <f>IF(B1786&lt;&gt;"",IF(AND(B1786&gt;=_TM1,B1786&lt;=_TM2,OR(TH!L1786="1111",TH!M1786="1111")),TH!D1786,""),"")</f>
        <v/>
      </c>
      <c r="B1786" s="36">
        <f t="shared" si="146"/>
        <v>10</v>
      </c>
      <c r="C1786" s="860">
        <f t="shared" si="147"/>
        <v>40832</v>
      </c>
      <c r="D1786" s="860" t="s">
        <v>1097</v>
      </c>
      <c r="E1786" s="37">
        <v>40832</v>
      </c>
      <c r="F1786" s="189" t="s">
        <v>495</v>
      </c>
      <c r="G1786" s="40"/>
      <c r="H1786" s="628" t="s">
        <v>1092</v>
      </c>
      <c r="I1786" s="256">
        <v>52</v>
      </c>
      <c r="J1786" s="256">
        <v>43904</v>
      </c>
      <c r="K1786" s="614">
        <f t="shared" si="148"/>
        <v>2283008</v>
      </c>
      <c r="L1786" s="52" t="s">
        <v>157</v>
      </c>
      <c r="M1786" s="52" t="s">
        <v>151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94"/>
    </row>
    <row r="1787" spans="1:30" ht="15.75" customHeight="1">
      <c r="A1787" s="204" t="str">
        <f>IF(B1787&lt;&gt;"",IF(AND(B1787&gt;=_TM1,B1787&lt;=_TM2,OR(TH!L1787="1111",TH!M1787="1111")),TH!D1787,""),"")</f>
        <v/>
      </c>
      <c r="B1787" s="36">
        <f t="shared" si="146"/>
        <v>10</v>
      </c>
      <c r="C1787" s="860">
        <f t="shared" si="147"/>
        <v>40832</v>
      </c>
      <c r="D1787" s="860" t="s">
        <v>1097</v>
      </c>
      <c r="E1787" s="37">
        <v>40832</v>
      </c>
      <c r="F1787" s="189" t="s">
        <v>564</v>
      </c>
      <c r="G1787" s="40"/>
      <c r="H1787" s="628" t="s">
        <v>1092</v>
      </c>
      <c r="I1787" s="256">
        <v>43</v>
      </c>
      <c r="J1787" s="256">
        <v>28273</v>
      </c>
      <c r="K1787" s="614">
        <f t="shared" si="148"/>
        <v>1215739</v>
      </c>
      <c r="L1787" s="52" t="s">
        <v>157</v>
      </c>
      <c r="M1787" s="52" t="s">
        <v>151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94"/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>
        <f t="shared" si="146"/>
        <v>10</v>
      </c>
      <c r="C1788" s="860">
        <f t="shared" si="147"/>
        <v>40832</v>
      </c>
      <c r="D1788" s="860" t="s">
        <v>1097</v>
      </c>
      <c r="E1788" s="37">
        <v>40832</v>
      </c>
      <c r="F1788" s="189" t="s">
        <v>402</v>
      </c>
      <c r="G1788" s="40"/>
      <c r="H1788" s="628" t="s">
        <v>1092</v>
      </c>
      <c r="I1788" s="256">
        <v>10</v>
      </c>
      <c r="J1788" s="256">
        <v>24325</v>
      </c>
      <c r="K1788" s="614">
        <f t="shared" si="148"/>
        <v>243250</v>
      </c>
      <c r="L1788" s="52" t="s">
        <v>157</v>
      </c>
      <c r="M1788" s="52" t="s">
        <v>151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94"/>
    </row>
    <row r="1789" spans="1:30" ht="15.75" customHeight="1">
      <c r="A1789" s="204" t="str">
        <f>IF(B1789&lt;&gt;"",IF(AND(B1789&gt;=_TM1,B1789&lt;=_TM2,OR(TH!L1789="1111",TH!M1789="1111")),TH!D1789,""),"")</f>
        <v/>
      </c>
      <c r="B1789" s="36">
        <f t="shared" si="146"/>
        <v>10</v>
      </c>
      <c r="C1789" s="191">
        <v>40833</v>
      </c>
      <c r="D1789" s="191" t="s">
        <v>959</v>
      </c>
      <c r="E1789" s="191">
        <v>40833</v>
      </c>
      <c r="F1789" s="192" t="s">
        <v>1254</v>
      </c>
      <c r="G1789" s="498" t="s">
        <v>1238</v>
      </c>
      <c r="H1789" s="193" t="s">
        <v>733</v>
      </c>
      <c r="I1789" s="256">
        <v>100</v>
      </c>
      <c r="J1789" s="256">
        <v>14880</v>
      </c>
      <c r="K1789" s="614">
        <v>1488000</v>
      </c>
      <c r="L1789" s="194" t="s">
        <v>259</v>
      </c>
      <c r="M1789" s="194" t="s">
        <v>167</v>
      </c>
      <c r="N1789" s="52" t="str">
        <f>IF(AND('331-CT'!$E$7=TH!H1789,OR(L1789="331",M1789="331")),"331",IF(AND(OR(L1789="131",M1789="131"),H1789='131-CT'!$E$7),"131",""))</f>
        <v>131</v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94"/>
    </row>
    <row r="1790" spans="1:30" ht="15.75" customHeight="1">
      <c r="A1790" s="204" t="str">
        <f>IF(B1790&lt;&gt;"",IF(AND(B1790&gt;=_TM1,B1790&lt;=_TM2,OR(TH!L1790="1111",TH!M1790="1111")),TH!D1790,""),"")</f>
        <v/>
      </c>
      <c r="B1790" s="36">
        <f t="shared" si="146"/>
        <v>10</v>
      </c>
      <c r="C1790" s="191">
        <v>40833</v>
      </c>
      <c r="D1790" s="191" t="s">
        <v>959</v>
      </c>
      <c r="E1790" s="191">
        <v>40833</v>
      </c>
      <c r="F1790" s="192" t="s">
        <v>1255</v>
      </c>
      <c r="G1790" s="498" t="s">
        <v>1238</v>
      </c>
      <c r="H1790" s="193" t="s">
        <v>733</v>
      </c>
      <c r="I1790" s="256">
        <v>120</v>
      </c>
      <c r="J1790" s="256">
        <v>20820</v>
      </c>
      <c r="K1790" s="614">
        <v>2498400</v>
      </c>
      <c r="L1790" s="194" t="s">
        <v>259</v>
      </c>
      <c r="M1790" s="194" t="s">
        <v>167</v>
      </c>
      <c r="N1790" s="52" t="str">
        <f>IF(AND('331-CT'!$E$7=TH!H1790,OR(L1790="331",M1790="331")),"331",IF(AND(OR(L1790="131",M1790="131"),H1790='131-CT'!$E$7),"131",""))</f>
        <v>131</v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94"/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>
        <f t="shared" si="146"/>
        <v>10</v>
      </c>
      <c r="C1791" s="191">
        <v>40833</v>
      </c>
      <c r="D1791" s="191" t="s">
        <v>959</v>
      </c>
      <c r="E1791" s="191">
        <v>40833</v>
      </c>
      <c r="F1791" s="192" t="s">
        <v>1256</v>
      </c>
      <c r="G1791" s="498" t="s">
        <v>1238</v>
      </c>
      <c r="H1791" s="193" t="s">
        <v>733</v>
      </c>
      <c r="I1791" s="256">
        <v>250</v>
      </c>
      <c r="J1791" s="256">
        <v>26203</v>
      </c>
      <c r="K1791" s="614">
        <v>6550750</v>
      </c>
      <c r="L1791" s="194" t="s">
        <v>259</v>
      </c>
      <c r="M1791" s="194" t="s">
        <v>167</v>
      </c>
      <c r="N1791" s="52" t="str">
        <f>IF(AND('331-CT'!$E$7=TH!H1791,OR(L1791="331",M1791="331")),"331",IF(AND(OR(L1791="131",M1791="131"),H1791='131-CT'!$E$7),"131",""))</f>
        <v>131</v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94"/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>
        <f t="shared" si="146"/>
        <v>10</v>
      </c>
      <c r="C1792" s="191">
        <v>40833</v>
      </c>
      <c r="D1792" s="191" t="s">
        <v>959</v>
      </c>
      <c r="E1792" s="191">
        <v>40833</v>
      </c>
      <c r="F1792" s="192" t="s">
        <v>1257</v>
      </c>
      <c r="G1792" s="498" t="s">
        <v>1238</v>
      </c>
      <c r="H1792" s="193" t="s">
        <v>733</v>
      </c>
      <c r="I1792" s="256">
        <v>140</v>
      </c>
      <c r="J1792" s="256">
        <v>11355</v>
      </c>
      <c r="K1792" s="614">
        <v>1589700</v>
      </c>
      <c r="L1792" s="194" t="s">
        <v>259</v>
      </c>
      <c r="M1792" s="194" t="s">
        <v>167</v>
      </c>
      <c r="N1792" s="52" t="str">
        <f>IF(AND('331-CT'!$E$7=TH!H1792,OR(L1792="331",M1792="331")),"331",IF(AND(OR(L1792="131",M1792="131"),H1792='131-CT'!$E$7),"131",""))</f>
        <v>131</v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94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>
        <f t="shared" si="146"/>
        <v>10</v>
      </c>
      <c r="C1793" s="191">
        <v>40833</v>
      </c>
      <c r="D1793" s="191" t="s">
        <v>959</v>
      </c>
      <c r="E1793" s="191">
        <v>40833</v>
      </c>
      <c r="F1793" s="192" t="s">
        <v>1258</v>
      </c>
      <c r="G1793" s="498" t="s">
        <v>1238</v>
      </c>
      <c r="H1793" s="193" t="s">
        <v>733</v>
      </c>
      <c r="I1793" s="256">
        <v>50</v>
      </c>
      <c r="J1793" s="256">
        <v>11420</v>
      </c>
      <c r="K1793" s="614">
        <v>571000</v>
      </c>
      <c r="L1793" s="194" t="s">
        <v>259</v>
      </c>
      <c r="M1793" s="194" t="s">
        <v>167</v>
      </c>
      <c r="N1793" s="52" t="str">
        <f>IF(AND('331-CT'!$E$7=TH!H1793,OR(L1793="331",M1793="331")),"331",IF(AND(OR(L1793="131",M1793="131"),H1793='131-CT'!$E$7),"131",""))</f>
        <v>131</v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94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>
        <f t="shared" si="146"/>
        <v>10</v>
      </c>
      <c r="C1794" s="191">
        <v>40833</v>
      </c>
      <c r="D1794" s="191" t="s">
        <v>959</v>
      </c>
      <c r="E1794" s="191">
        <v>40833</v>
      </c>
      <c r="F1794" s="192" t="s">
        <v>1259</v>
      </c>
      <c r="G1794" s="498" t="s">
        <v>1238</v>
      </c>
      <c r="H1794" s="193" t="s">
        <v>733</v>
      </c>
      <c r="I1794" s="256">
        <v>70</v>
      </c>
      <c r="J1794" s="256">
        <v>14450</v>
      </c>
      <c r="K1794" s="614">
        <v>1011500</v>
      </c>
      <c r="L1794" s="194" t="s">
        <v>259</v>
      </c>
      <c r="M1794" s="194" t="s">
        <v>167</v>
      </c>
      <c r="N1794" s="52" t="str">
        <f>IF(AND('331-CT'!$E$7=TH!H1794,OR(L1794="331",M1794="331")),"331",IF(AND(OR(L1794="131",M1794="131"),H1794='131-CT'!$E$7),"131",""))</f>
        <v>131</v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94"/>
    </row>
    <row r="1795" spans="1:30" s="83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146"/>
        <v>10</v>
      </c>
      <c r="C1795" s="191">
        <v>40833</v>
      </c>
      <c r="D1795" s="191" t="s">
        <v>959</v>
      </c>
      <c r="E1795" s="191">
        <v>40833</v>
      </c>
      <c r="F1795" s="192" t="s">
        <v>1260</v>
      </c>
      <c r="G1795" s="498" t="s">
        <v>1238</v>
      </c>
      <c r="H1795" s="193" t="s">
        <v>733</v>
      </c>
      <c r="I1795" s="256">
        <v>54</v>
      </c>
      <c r="J1795" s="256">
        <v>13881</v>
      </c>
      <c r="K1795" s="614">
        <v>749574</v>
      </c>
      <c r="L1795" s="194" t="s">
        <v>259</v>
      </c>
      <c r="M1795" s="194" t="s">
        <v>167</v>
      </c>
      <c r="N1795" s="52" t="str">
        <f>IF(AND('331-CT'!$E$7=TH!H1795,OR(L1795="331",M1795="331")),"331",IF(AND(OR(L1795="131",M1795="131"),H1795='131-CT'!$E$7),"131",""))</f>
        <v>131</v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94"/>
      <c r="AB1795" s="198"/>
      <c r="AC1795" s="198"/>
      <c r="AD1795" s="198"/>
    </row>
    <row r="1796" spans="1:30" s="83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146"/>
        <v>10</v>
      </c>
      <c r="C1796" s="191">
        <v>40833</v>
      </c>
      <c r="D1796" s="191" t="s">
        <v>959</v>
      </c>
      <c r="E1796" s="191">
        <v>40833</v>
      </c>
      <c r="F1796" s="192" t="s">
        <v>1261</v>
      </c>
      <c r="G1796" s="498" t="s">
        <v>1238</v>
      </c>
      <c r="H1796" s="193" t="s">
        <v>733</v>
      </c>
      <c r="I1796" s="256">
        <v>90</v>
      </c>
      <c r="J1796" s="256">
        <v>20891</v>
      </c>
      <c r="K1796" s="614">
        <v>1880190</v>
      </c>
      <c r="L1796" s="194" t="s">
        <v>259</v>
      </c>
      <c r="M1796" s="194" t="s">
        <v>167</v>
      </c>
      <c r="N1796" s="52" t="str">
        <f>IF(AND('331-CT'!$E$7=TH!H1796,OR(L1796="331",M1796="331")),"331",IF(AND(OR(L1796="131",M1796="131"),H1796='131-CT'!$E$7),"131",""))</f>
        <v>131</v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94"/>
      <c r="AB1796" s="198"/>
      <c r="AC1796" s="198"/>
      <c r="AD1796" s="198"/>
    </row>
    <row r="1797" spans="1:30" s="83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146"/>
        <v>10</v>
      </c>
      <c r="C1797" s="191">
        <v>40833</v>
      </c>
      <c r="D1797" s="191" t="s">
        <v>959</v>
      </c>
      <c r="E1797" s="191">
        <v>40833</v>
      </c>
      <c r="F1797" s="192" t="s">
        <v>1262</v>
      </c>
      <c r="G1797" s="498" t="s">
        <v>1238</v>
      </c>
      <c r="H1797" s="193" t="s">
        <v>733</v>
      </c>
      <c r="I1797" s="256">
        <v>100</v>
      </c>
      <c r="J1797" s="256">
        <v>16534</v>
      </c>
      <c r="K1797" s="614">
        <v>1653400</v>
      </c>
      <c r="L1797" s="194" t="s">
        <v>259</v>
      </c>
      <c r="M1797" s="194" t="s">
        <v>167</v>
      </c>
      <c r="N1797" s="52" t="str">
        <f>IF(AND('331-CT'!$E$7=TH!H1797,OR(L1797="331",M1797="331")),"331",IF(AND(OR(L1797="131",M1797="131"),H1797='131-CT'!$E$7),"131",""))</f>
        <v>131</v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94"/>
      <c r="AB1797" s="198"/>
      <c r="AC1797" s="198"/>
      <c r="AD1797" s="198"/>
    </row>
    <row r="1798" spans="1:30" s="83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146"/>
        <v>10</v>
      </c>
      <c r="C1798" s="191">
        <v>40833</v>
      </c>
      <c r="D1798" s="191" t="s">
        <v>959</v>
      </c>
      <c r="E1798" s="191">
        <v>40833</v>
      </c>
      <c r="F1798" s="192" t="s">
        <v>1261</v>
      </c>
      <c r="G1798" s="498" t="s">
        <v>1238</v>
      </c>
      <c r="H1798" s="193" t="s">
        <v>733</v>
      </c>
      <c r="I1798" s="256">
        <v>200</v>
      </c>
      <c r="J1798" s="256">
        <v>20981</v>
      </c>
      <c r="K1798" s="614">
        <v>4196200</v>
      </c>
      <c r="L1798" s="194" t="s">
        <v>259</v>
      </c>
      <c r="M1798" s="194" t="s">
        <v>167</v>
      </c>
      <c r="N1798" s="52" t="str">
        <f>IF(AND('331-CT'!$E$7=TH!H1798,OR(L1798="331",M1798="331")),"331",IF(AND(OR(L1798="131",M1798="131"),H1798='131-CT'!$E$7),"131",""))</f>
        <v>131</v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94"/>
      <c r="AB1798" s="198"/>
      <c r="AC1798" s="198"/>
      <c r="AD1798" s="198"/>
    </row>
    <row r="1799" spans="1:30" s="83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146"/>
        <v>10</v>
      </c>
      <c r="C1799" s="191">
        <v>40833</v>
      </c>
      <c r="D1799" s="191" t="s">
        <v>959</v>
      </c>
      <c r="E1799" s="191">
        <v>40833</v>
      </c>
      <c r="F1799" s="192" t="s">
        <v>1263</v>
      </c>
      <c r="G1799" s="498" t="s">
        <v>1238</v>
      </c>
      <c r="H1799" s="193" t="s">
        <v>733</v>
      </c>
      <c r="I1799" s="256">
        <v>50</v>
      </c>
      <c r="J1799" s="256">
        <v>15669</v>
      </c>
      <c r="K1799" s="614">
        <v>783450</v>
      </c>
      <c r="L1799" s="194" t="s">
        <v>259</v>
      </c>
      <c r="M1799" s="194" t="s">
        <v>167</v>
      </c>
      <c r="N1799" s="52" t="str">
        <f>IF(AND('331-CT'!$E$7=TH!H1799,OR(L1799="331",M1799="331")),"331",IF(AND(OR(L1799="131",M1799="131"),H1799='131-CT'!$E$7),"131",""))</f>
        <v>131</v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94"/>
      <c r="AB1799" s="198"/>
      <c r="AC1799" s="198"/>
      <c r="AD1799" s="198"/>
    </row>
    <row r="1800" spans="1:30" s="83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6"/>
        <v>10</v>
      </c>
      <c r="C1800" s="191">
        <v>40833</v>
      </c>
      <c r="D1800" s="191" t="s">
        <v>959</v>
      </c>
      <c r="E1800" s="191">
        <v>40833</v>
      </c>
      <c r="F1800" s="192" t="s">
        <v>1264</v>
      </c>
      <c r="G1800" s="498" t="s">
        <v>1238</v>
      </c>
      <c r="H1800" s="193" t="s">
        <v>733</v>
      </c>
      <c r="I1800" s="256">
        <v>30</v>
      </c>
      <c r="J1800" s="256">
        <v>20326</v>
      </c>
      <c r="K1800" s="614">
        <v>609780</v>
      </c>
      <c r="L1800" s="194" t="s">
        <v>259</v>
      </c>
      <c r="M1800" s="194" t="s">
        <v>167</v>
      </c>
      <c r="N1800" s="52" t="str">
        <f>IF(AND('331-CT'!$E$7=TH!H1800,OR(L1800="331",M1800="331")),"331",IF(AND(OR(L1800="131",M1800="131"),H1800='131-CT'!$E$7),"131",""))</f>
        <v>131</v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94"/>
      <c r="AB1800" s="198"/>
      <c r="AC1800" s="198"/>
      <c r="AD1800" s="198"/>
    </row>
    <row r="1801" spans="1:30" s="83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6"/>
        <v>10</v>
      </c>
      <c r="C1801" s="191">
        <v>40833</v>
      </c>
      <c r="D1801" s="191" t="s">
        <v>959</v>
      </c>
      <c r="E1801" s="191">
        <v>40833</v>
      </c>
      <c r="F1801" s="192" t="s">
        <v>1176</v>
      </c>
      <c r="G1801" s="498" t="s">
        <v>1238</v>
      </c>
      <c r="H1801" s="193" t="s">
        <v>733</v>
      </c>
      <c r="I1801" s="256"/>
      <c r="J1801" s="256"/>
      <c r="K1801" s="614">
        <f>2358194+1</f>
        <v>2358195</v>
      </c>
      <c r="L1801" s="194" t="s">
        <v>259</v>
      </c>
      <c r="M1801" s="194" t="s">
        <v>731</v>
      </c>
      <c r="N1801" s="52" t="str">
        <f>IF(AND('331-CT'!$E$7=TH!H1801,OR(L1801="331",M1801="331")),"331",IF(AND(OR(L1801="131",M1801="131"),H1801='131-CT'!$E$7),"131",""))</f>
        <v>131</v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94"/>
      <c r="AB1801" s="198"/>
      <c r="AC1801" s="198"/>
      <c r="AD1801" s="198"/>
    </row>
    <row r="1802" spans="1:30" s="83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146"/>
        <v>10</v>
      </c>
      <c r="C1802" s="860">
        <f t="shared" ref="C1802:C1835" si="149">E1802</f>
        <v>40833</v>
      </c>
      <c r="D1802" s="860" t="s">
        <v>1096</v>
      </c>
      <c r="E1802" s="37">
        <v>40833</v>
      </c>
      <c r="F1802" s="189" t="s">
        <v>490</v>
      </c>
      <c r="G1802" s="40"/>
      <c r="H1802" s="628" t="s">
        <v>1092</v>
      </c>
      <c r="I1802" s="256">
        <v>70</v>
      </c>
      <c r="J1802" s="256">
        <v>17427</v>
      </c>
      <c r="K1802" s="614">
        <f t="shared" ref="K1802:K1835" si="150">ROUND(I1802*J1802,0)</f>
        <v>1219890</v>
      </c>
      <c r="L1802" s="52" t="s">
        <v>157</v>
      </c>
      <c r="M1802" s="52" t="s">
        <v>151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94"/>
      <c r="AB1802" s="198"/>
      <c r="AC1802" s="198"/>
      <c r="AD1802" s="198"/>
    </row>
    <row r="1803" spans="1:30" s="83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146"/>
        <v>10</v>
      </c>
      <c r="C1803" s="860">
        <f t="shared" si="149"/>
        <v>40833</v>
      </c>
      <c r="D1803" s="860" t="s">
        <v>1096</v>
      </c>
      <c r="E1803" s="37">
        <v>40833</v>
      </c>
      <c r="F1803" s="40" t="s">
        <v>626</v>
      </c>
      <c r="G1803" s="40"/>
      <c r="H1803" s="628" t="s">
        <v>1092</v>
      </c>
      <c r="I1803" s="256">
        <v>46</v>
      </c>
      <c r="J1803" s="256">
        <v>23975</v>
      </c>
      <c r="K1803" s="614">
        <f t="shared" si="150"/>
        <v>1102850</v>
      </c>
      <c r="L1803" s="52" t="s">
        <v>157</v>
      </c>
      <c r="M1803" s="52" t="s">
        <v>151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94"/>
      <c r="AB1803" s="198"/>
      <c r="AC1803" s="198"/>
      <c r="AD1803" s="198"/>
    </row>
    <row r="1804" spans="1:30" s="83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146"/>
        <v>10</v>
      </c>
      <c r="C1804" s="860">
        <f t="shared" si="149"/>
        <v>40833</v>
      </c>
      <c r="D1804" s="860" t="s">
        <v>1096</v>
      </c>
      <c r="E1804" s="37">
        <v>40833</v>
      </c>
      <c r="F1804" s="40" t="s">
        <v>607</v>
      </c>
      <c r="G1804" s="40"/>
      <c r="H1804" s="628" t="s">
        <v>1092</v>
      </c>
      <c r="I1804" s="256">
        <v>132</v>
      </c>
      <c r="J1804" s="256">
        <v>21098</v>
      </c>
      <c r="K1804" s="614">
        <f t="shared" si="150"/>
        <v>2784936</v>
      </c>
      <c r="L1804" s="52" t="s">
        <v>157</v>
      </c>
      <c r="M1804" s="52" t="s">
        <v>151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94"/>
      <c r="AB1804" s="198"/>
      <c r="AC1804" s="198"/>
      <c r="AD1804" s="198"/>
    </row>
    <row r="1805" spans="1:30" s="83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146"/>
        <v>10</v>
      </c>
      <c r="C1805" s="860">
        <f t="shared" si="149"/>
        <v>40833</v>
      </c>
      <c r="D1805" s="860" t="s">
        <v>1096</v>
      </c>
      <c r="E1805" s="37">
        <v>40833</v>
      </c>
      <c r="F1805" s="40" t="s">
        <v>611</v>
      </c>
      <c r="G1805" s="40"/>
      <c r="H1805" s="628" t="s">
        <v>1092</v>
      </c>
      <c r="I1805" s="256">
        <v>50</v>
      </c>
      <c r="J1805" s="256">
        <v>18396</v>
      </c>
      <c r="K1805" s="614">
        <f t="shared" si="150"/>
        <v>919800</v>
      </c>
      <c r="L1805" s="52" t="s">
        <v>157</v>
      </c>
      <c r="M1805" s="52" t="s">
        <v>151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94"/>
      <c r="AB1805" s="198"/>
      <c r="AC1805" s="198"/>
      <c r="AD1805" s="198"/>
    </row>
    <row r="1806" spans="1:30" s="83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146"/>
        <v>10</v>
      </c>
      <c r="C1806" s="860">
        <f t="shared" si="149"/>
        <v>40833</v>
      </c>
      <c r="D1806" s="860" t="s">
        <v>1096</v>
      </c>
      <c r="E1806" s="37">
        <v>40833</v>
      </c>
      <c r="F1806" s="189" t="s">
        <v>490</v>
      </c>
      <c r="G1806" s="40"/>
      <c r="H1806" s="628" t="s">
        <v>1092</v>
      </c>
      <c r="I1806" s="256">
        <v>54</v>
      </c>
      <c r="J1806" s="256">
        <v>17427</v>
      </c>
      <c r="K1806" s="614">
        <f t="shared" si="150"/>
        <v>941058</v>
      </c>
      <c r="L1806" s="52" t="s">
        <v>157</v>
      </c>
      <c r="M1806" s="52" t="s">
        <v>151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94"/>
      <c r="AB1806" s="198"/>
      <c r="AC1806" s="198"/>
      <c r="AD1806" s="198"/>
    </row>
    <row r="1807" spans="1:30" s="83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146"/>
        <v>10</v>
      </c>
      <c r="C1807" s="860">
        <f t="shared" si="149"/>
        <v>40833</v>
      </c>
      <c r="D1807" s="860" t="s">
        <v>1096</v>
      </c>
      <c r="E1807" s="37">
        <v>40833</v>
      </c>
      <c r="F1807" s="40" t="s">
        <v>611</v>
      </c>
      <c r="G1807" s="40"/>
      <c r="H1807" s="628" t="s">
        <v>1092</v>
      </c>
      <c r="I1807" s="256">
        <v>50</v>
      </c>
      <c r="J1807" s="256">
        <v>18396</v>
      </c>
      <c r="K1807" s="614">
        <f t="shared" si="150"/>
        <v>919800</v>
      </c>
      <c r="L1807" s="52" t="s">
        <v>157</v>
      </c>
      <c r="M1807" s="52" t="s">
        <v>151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94"/>
      <c r="AB1807" s="198"/>
      <c r="AC1807" s="198"/>
      <c r="AD1807" s="198"/>
    </row>
    <row r="1808" spans="1:30" s="83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146"/>
        <v>10</v>
      </c>
      <c r="C1808" s="860">
        <f t="shared" si="149"/>
        <v>40833</v>
      </c>
      <c r="D1808" s="860" t="s">
        <v>1096</v>
      </c>
      <c r="E1808" s="37">
        <v>40833</v>
      </c>
      <c r="F1808" s="189" t="s">
        <v>484</v>
      </c>
      <c r="G1808" s="40"/>
      <c r="H1808" s="628" t="s">
        <v>1092</v>
      </c>
      <c r="I1808" s="256">
        <v>80</v>
      </c>
      <c r="J1808" s="256">
        <v>19112</v>
      </c>
      <c r="K1808" s="614">
        <f t="shared" si="150"/>
        <v>1528960</v>
      </c>
      <c r="L1808" s="52" t="s">
        <v>157</v>
      </c>
      <c r="M1808" s="52" t="s">
        <v>151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94"/>
      <c r="AB1808" s="198"/>
      <c r="AC1808" s="198"/>
      <c r="AD1808" s="198"/>
    </row>
    <row r="1809" spans="1:30" s="83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146"/>
        <v>10</v>
      </c>
      <c r="C1809" s="860">
        <f t="shared" si="149"/>
        <v>40833</v>
      </c>
      <c r="D1809" s="860" t="s">
        <v>1096</v>
      </c>
      <c r="E1809" s="37">
        <v>40833</v>
      </c>
      <c r="F1809" s="189" t="s">
        <v>515</v>
      </c>
      <c r="G1809" s="40"/>
      <c r="H1809" s="628" t="s">
        <v>1092</v>
      </c>
      <c r="I1809" s="256">
        <v>110</v>
      </c>
      <c r="J1809" s="256">
        <v>19316</v>
      </c>
      <c r="K1809" s="614">
        <f t="shared" si="150"/>
        <v>2124760</v>
      </c>
      <c r="L1809" s="52" t="s">
        <v>157</v>
      </c>
      <c r="M1809" s="52" t="s">
        <v>151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94"/>
      <c r="AB1809" s="198"/>
      <c r="AC1809" s="198"/>
      <c r="AD1809" s="198"/>
    </row>
    <row r="1810" spans="1:30" s="83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146"/>
        <v>10</v>
      </c>
      <c r="C1810" s="860">
        <f t="shared" si="149"/>
        <v>40833</v>
      </c>
      <c r="D1810" s="860" t="s">
        <v>1096</v>
      </c>
      <c r="E1810" s="37">
        <v>40833</v>
      </c>
      <c r="F1810" s="40" t="s">
        <v>611</v>
      </c>
      <c r="G1810" s="40"/>
      <c r="H1810" s="628" t="s">
        <v>1092</v>
      </c>
      <c r="I1810" s="256">
        <v>37</v>
      </c>
      <c r="J1810" s="256">
        <v>18396</v>
      </c>
      <c r="K1810" s="614">
        <f t="shared" si="150"/>
        <v>680652</v>
      </c>
      <c r="L1810" s="52" t="s">
        <v>157</v>
      </c>
      <c r="M1810" s="52" t="s">
        <v>151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94"/>
      <c r="AB1810" s="198"/>
      <c r="AC1810" s="198"/>
      <c r="AD1810" s="198"/>
    </row>
    <row r="1811" spans="1:30" s="83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146"/>
        <v>10</v>
      </c>
      <c r="C1811" s="860">
        <f t="shared" si="149"/>
        <v>40833</v>
      </c>
      <c r="D1811" s="860" t="s">
        <v>1096</v>
      </c>
      <c r="E1811" s="37">
        <v>40833</v>
      </c>
      <c r="F1811" s="40" t="s">
        <v>606</v>
      </c>
      <c r="G1811" s="40"/>
      <c r="H1811" s="628" t="s">
        <v>1092</v>
      </c>
      <c r="I1811" s="256">
        <v>90</v>
      </c>
      <c r="J1811" s="256">
        <v>26656</v>
      </c>
      <c r="K1811" s="614">
        <f t="shared" si="150"/>
        <v>2399040</v>
      </c>
      <c r="L1811" s="52" t="s">
        <v>157</v>
      </c>
      <c r="M1811" s="52" t="s">
        <v>151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94"/>
      <c r="AB1811" s="198"/>
      <c r="AC1811" s="198"/>
      <c r="AD1811" s="198"/>
    </row>
    <row r="1812" spans="1:30" s="831" customFormat="1" ht="15.75" customHeight="1">
      <c r="A1812" s="204" t="str">
        <f>IF(B1812&lt;&gt;"",IF(AND(B1812&gt;=_TM1,B1812&lt;=_TM2,OR(TH!L1812="1111",TH!M1812="1111")),TH!D1812,""),"")</f>
        <v/>
      </c>
      <c r="B1812" s="712">
        <f t="shared" si="146"/>
        <v>10</v>
      </c>
      <c r="C1812" s="860">
        <f t="shared" si="149"/>
        <v>40833</v>
      </c>
      <c r="D1812" s="48" t="s">
        <v>1114</v>
      </c>
      <c r="E1812" s="860">
        <v>40833</v>
      </c>
      <c r="F1812" s="867" t="s">
        <v>1254</v>
      </c>
      <c r="G1812" s="49"/>
      <c r="H1812" s="868" t="s">
        <v>1092</v>
      </c>
      <c r="I1812" s="254">
        <v>100</v>
      </c>
      <c r="J1812" s="254">
        <v>10854.498185845441</v>
      </c>
      <c r="K1812" s="716">
        <f t="shared" si="150"/>
        <v>1085450</v>
      </c>
      <c r="L1812" s="52" t="s">
        <v>159</v>
      </c>
      <c r="M1812" s="52" t="s">
        <v>157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94"/>
    </row>
    <row r="1813" spans="1:30" s="831" customFormat="1" ht="15.75" customHeight="1">
      <c r="A1813" s="204" t="str">
        <f>IF(B1813&lt;&gt;"",IF(AND(B1813&gt;=_TM1,B1813&lt;=_TM2,OR(TH!L1813="1111",TH!M1813="1111")),TH!D1813,""),"")</f>
        <v/>
      </c>
      <c r="B1813" s="712">
        <f t="shared" si="146"/>
        <v>10</v>
      </c>
      <c r="C1813" s="860">
        <f t="shared" si="149"/>
        <v>40833</v>
      </c>
      <c r="D1813" s="48" t="s">
        <v>1114</v>
      </c>
      <c r="E1813" s="860">
        <v>40833</v>
      </c>
      <c r="F1813" s="867" t="s">
        <v>1255</v>
      </c>
      <c r="G1813" s="49"/>
      <c r="H1813" s="868" t="s">
        <v>1092</v>
      </c>
      <c r="I1813" s="254">
        <v>120</v>
      </c>
      <c r="J1813" s="254">
        <v>11992.241519178777</v>
      </c>
      <c r="K1813" s="716">
        <f t="shared" si="150"/>
        <v>1439069</v>
      </c>
      <c r="L1813" s="52" t="s">
        <v>159</v>
      </c>
      <c r="M1813" s="52" t="s">
        <v>157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94"/>
    </row>
    <row r="1814" spans="1:30" s="831" customFormat="1" ht="15.75" customHeight="1">
      <c r="A1814" s="204" t="str">
        <f>IF(B1814&lt;&gt;"",IF(AND(B1814&gt;=_TM1,B1814&lt;=_TM2,OR(TH!L1814="1111",TH!M1814="1111")),TH!D1814,""),"")</f>
        <v/>
      </c>
      <c r="B1814" s="712">
        <f t="shared" si="146"/>
        <v>10</v>
      </c>
      <c r="C1814" s="860">
        <f t="shared" si="149"/>
        <v>40833</v>
      </c>
      <c r="D1814" s="48" t="s">
        <v>1114</v>
      </c>
      <c r="E1814" s="860">
        <v>40833</v>
      </c>
      <c r="F1814" s="867" t="s">
        <v>1256</v>
      </c>
      <c r="G1814" s="49"/>
      <c r="H1814" s="868" t="s">
        <v>1092</v>
      </c>
      <c r="I1814" s="254">
        <v>250</v>
      </c>
      <c r="J1814" s="254">
        <v>13958.424185845442</v>
      </c>
      <c r="K1814" s="716">
        <f t="shared" si="150"/>
        <v>3489606</v>
      </c>
      <c r="L1814" s="52" t="s">
        <v>159</v>
      </c>
      <c r="M1814" s="52" t="s">
        <v>157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94"/>
    </row>
    <row r="1815" spans="1:30" s="831" customFormat="1" ht="15.75" customHeight="1">
      <c r="A1815" s="204" t="str">
        <f>IF(B1815&lt;&gt;"",IF(AND(B1815&gt;=_TM1,B1815&lt;=_TM2,OR(TH!L1815="1111",TH!M1815="1111")),TH!D1815,""),"")</f>
        <v/>
      </c>
      <c r="B1815" s="712">
        <f t="shared" si="146"/>
        <v>10</v>
      </c>
      <c r="C1815" s="860">
        <f t="shared" si="149"/>
        <v>40833</v>
      </c>
      <c r="D1815" s="48" t="s">
        <v>1114</v>
      </c>
      <c r="E1815" s="860">
        <v>40833</v>
      </c>
      <c r="F1815" s="867" t="s">
        <v>1257</v>
      </c>
      <c r="G1815" s="49"/>
      <c r="H1815" s="868" t="s">
        <v>1092</v>
      </c>
      <c r="I1815" s="254">
        <v>140</v>
      </c>
      <c r="J1815" s="254">
        <v>8841.5010429882987</v>
      </c>
      <c r="K1815" s="716">
        <f t="shared" si="150"/>
        <v>1237810</v>
      </c>
      <c r="L1815" s="52" t="s">
        <v>159</v>
      </c>
      <c r="M1815" s="52" t="s">
        <v>157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94"/>
    </row>
    <row r="1816" spans="1:30" s="831" customFormat="1" ht="15.75" customHeight="1">
      <c r="A1816" s="204" t="str">
        <f>IF(B1816&lt;&gt;"",IF(AND(B1816&gt;=_TM1,B1816&lt;=_TM2,OR(TH!L1816="1111",TH!M1816="1111")),TH!D1816,""),"")</f>
        <v/>
      </c>
      <c r="B1816" s="712">
        <f t="shared" si="146"/>
        <v>10</v>
      </c>
      <c r="C1816" s="860">
        <f t="shared" si="149"/>
        <v>40833</v>
      </c>
      <c r="D1816" s="48" t="s">
        <v>1114</v>
      </c>
      <c r="E1816" s="860">
        <v>40833</v>
      </c>
      <c r="F1816" s="867" t="s">
        <v>1258</v>
      </c>
      <c r="G1816" s="49"/>
      <c r="H1816" s="868" t="s">
        <v>1092</v>
      </c>
      <c r="I1816" s="254">
        <v>50</v>
      </c>
      <c r="J1816" s="254">
        <v>7867.2881858454421</v>
      </c>
      <c r="K1816" s="716">
        <f t="shared" si="150"/>
        <v>393364</v>
      </c>
      <c r="L1816" s="52" t="s">
        <v>159</v>
      </c>
      <c r="M1816" s="52" t="s">
        <v>157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94"/>
    </row>
    <row r="1817" spans="1:30" s="831" customFormat="1" ht="15.75" customHeight="1">
      <c r="A1817" s="204" t="str">
        <f>IF(B1817&lt;&gt;"",IF(AND(B1817&gt;=_TM1,B1817&lt;=_TM2,OR(TH!L1817="1111",TH!M1817="1111")),TH!D1817,""),"")</f>
        <v/>
      </c>
      <c r="B1817" s="712">
        <f t="shared" ref="B1817:B1880" si="151">IF(C1817&lt;&gt;"",MONTH(C1817),"")</f>
        <v>10</v>
      </c>
      <c r="C1817" s="860">
        <f t="shared" si="149"/>
        <v>40833</v>
      </c>
      <c r="D1817" s="48" t="s">
        <v>1114</v>
      </c>
      <c r="E1817" s="860">
        <v>40833</v>
      </c>
      <c r="F1817" s="867" t="s">
        <v>1259</v>
      </c>
      <c r="G1817" s="49"/>
      <c r="H1817" s="868" t="s">
        <v>1092</v>
      </c>
      <c r="I1817" s="254">
        <v>70</v>
      </c>
      <c r="J1817" s="254">
        <v>9790.4367572740139</v>
      </c>
      <c r="K1817" s="716">
        <f t="shared" si="150"/>
        <v>685331</v>
      </c>
      <c r="L1817" s="52" t="s">
        <v>159</v>
      </c>
      <c r="M1817" s="52" t="s">
        <v>157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94"/>
    </row>
    <row r="1818" spans="1:30" s="831" customFormat="1" ht="15.75" customHeight="1">
      <c r="A1818" s="204" t="str">
        <f>IF(B1818&lt;&gt;"",IF(AND(B1818&gt;=_TM1,B1818&lt;=_TM2,OR(TH!L1818="1111",TH!M1818="1111")),TH!D1818,""),"")</f>
        <v/>
      </c>
      <c r="B1818" s="712">
        <f t="shared" si="151"/>
        <v>10</v>
      </c>
      <c r="C1818" s="860">
        <f t="shared" si="149"/>
        <v>40833</v>
      </c>
      <c r="D1818" s="48" t="s">
        <v>1114</v>
      </c>
      <c r="E1818" s="48">
        <v>40833</v>
      </c>
      <c r="F1818" s="867" t="s">
        <v>1260</v>
      </c>
      <c r="G1818" s="49"/>
      <c r="H1818" s="868" t="s">
        <v>1092</v>
      </c>
      <c r="I1818" s="254">
        <v>54</v>
      </c>
      <c r="J1818" s="254">
        <v>6981.4526302898867</v>
      </c>
      <c r="K1818" s="716">
        <f t="shared" si="150"/>
        <v>376998</v>
      </c>
      <c r="L1818" s="52" t="s">
        <v>159</v>
      </c>
      <c r="M1818" s="52" t="s">
        <v>157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94"/>
    </row>
    <row r="1819" spans="1:30" s="831" customFormat="1" ht="15.75" customHeight="1">
      <c r="A1819" s="204" t="str">
        <f>IF(B1819&lt;&gt;"",IF(AND(B1819&gt;=_TM1,B1819&lt;=_TM2,OR(TH!L1819="1111",TH!M1819="1111")),TH!D1819,""),"")</f>
        <v/>
      </c>
      <c r="B1819" s="712">
        <f t="shared" si="151"/>
        <v>10</v>
      </c>
      <c r="C1819" s="860">
        <f t="shared" si="149"/>
        <v>40833</v>
      </c>
      <c r="D1819" s="48" t="s">
        <v>1114</v>
      </c>
      <c r="E1819" s="48">
        <v>40833</v>
      </c>
      <c r="F1819" s="867" t="s">
        <v>1261</v>
      </c>
      <c r="G1819" s="49"/>
      <c r="H1819" s="868" t="s">
        <v>1092</v>
      </c>
      <c r="I1819" s="254">
        <v>90</v>
      </c>
      <c r="J1819" s="254">
        <v>16194.497074734332</v>
      </c>
      <c r="K1819" s="716">
        <f t="shared" si="150"/>
        <v>1457505</v>
      </c>
      <c r="L1819" s="52" t="s">
        <v>159</v>
      </c>
      <c r="M1819" s="52" t="s">
        <v>157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94"/>
    </row>
    <row r="1820" spans="1:30" s="831" customFormat="1" ht="15.75" customHeight="1">
      <c r="A1820" s="204" t="str">
        <f>IF(B1820&lt;&gt;"",IF(AND(B1820&gt;=_TM1,B1820&lt;=_TM2,OR(TH!L1820="1111",TH!M1820="1111")),TH!D1820,""),"")</f>
        <v/>
      </c>
      <c r="B1820" s="712">
        <f t="shared" si="151"/>
        <v>10</v>
      </c>
      <c r="C1820" s="860">
        <f t="shared" si="149"/>
        <v>40833</v>
      </c>
      <c r="D1820" s="48" t="s">
        <v>1115</v>
      </c>
      <c r="E1820" s="48">
        <v>40833</v>
      </c>
      <c r="F1820" s="867" t="s">
        <v>1262</v>
      </c>
      <c r="G1820" s="49"/>
      <c r="H1820" s="868" t="s">
        <v>1092</v>
      </c>
      <c r="I1820" s="254">
        <v>100</v>
      </c>
      <c r="J1820" s="254">
        <v>12419.958185845444</v>
      </c>
      <c r="K1820" s="716">
        <f t="shared" si="150"/>
        <v>1241996</v>
      </c>
      <c r="L1820" s="52" t="s">
        <v>159</v>
      </c>
      <c r="M1820" s="52" t="s">
        <v>157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94"/>
    </row>
    <row r="1821" spans="1:30" s="831" customFormat="1" ht="15.75" customHeight="1">
      <c r="A1821" s="204" t="str">
        <f>IF(B1821&lt;&gt;"",IF(AND(B1821&gt;=_TM1,B1821&lt;=_TM2,OR(TH!L1821="1111",TH!M1821="1111")),TH!D1821,""),"")</f>
        <v/>
      </c>
      <c r="B1821" s="712">
        <f t="shared" si="151"/>
        <v>10</v>
      </c>
      <c r="C1821" s="860">
        <f t="shared" si="149"/>
        <v>40833</v>
      </c>
      <c r="D1821" s="48" t="s">
        <v>1115</v>
      </c>
      <c r="E1821" s="48">
        <v>40833</v>
      </c>
      <c r="F1821" s="867" t="s">
        <v>1261</v>
      </c>
      <c r="G1821" s="49"/>
      <c r="H1821" s="868" t="s">
        <v>1092</v>
      </c>
      <c r="I1821" s="254">
        <v>200</v>
      </c>
      <c r="J1821" s="254">
        <v>14919.103185845444</v>
      </c>
      <c r="K1821" s="716">
        <f t="shared" si="150"/>
        <v>2983821</v>
      </c>
      <c r="L1821" s="52" t="s">
        <v>159</v>
      </c>
      <c r="M1821" s="52" t="s">
        <v>157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94"/>
    </row>
    <row r="1822" spans="1:30" s="831" customFormat="1" ht="15.75" customHeight="1">
      <c r="A1822" s="204" t="str">
        <f>IF(B1822&lt;&gt;"",IF(AND(B1822&gt;=_TM1,B1822&lt;=_TM2,OR(TH!L1822="1111",TH!M1822="1111")),TH!D1822,""),"")</f>
        <v/>
      </c>
      <c r="B1822" s="712">
        <f t="shared" si="151"/>
        <v>10</v>
      </c>
      <c r="C1822" s="860">
        <f t="shared" si="149"/>
        <v>40833</v>
      </c>
      <c r="D1822" s="48" t="s">
        <v>1115</v>
      </c>
      <c r="E1822" s="48">
        <v>40833</v>
      </c>
      <c r="F1822" s="867" t="s">
        <v>1263</v>
      </c>
      <c r="G1822" s="49"/>
      <c r="H1822" s="868" t="s">
        <v>1092</v>
      </c>
      <c r="I1822" s="254">
        <v>50</v>
      </c>
      <c r="J1822" s="254">
        <v>12722.488185845443</v>
      </c>
      <c r="K1822" s="716">
        <f t="shared" si="150"/>
        <v>636124</v>
      </c>
      <c r="L1822" s="52" t="s">
        <v>159</v>
      </c>
      <c r="M1822" s="52" t="s">
        <v>157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94"/>
    </row>
    <row r="1823" spans="1:30" s="831" customFormat="1" ht="15.75" customHeight="1">
      <c r="A1823" s="204" t="str">
        <f>IF(B1823&lt;&gt;"",IF(AND(B1823&gt;=_TM1,B1823&lt;=_TM2,OR(TH!L1823="1111",TH!M1823="1111")),TH!D1823,""),"")</f>
        <v/>
      </c>
      <c r="B1823" s="712">
        <f t="shared" si="151"/>
        <v>10</v>
      </c>
      <c r="C1823" s="860">
        <f t="shared" si="149"/>
        <v>40833</v>
      </c>
      <c r="D1823" s="48" t="s">
        <v>1115</v>
      </c>
      <c r="E1823" s="48">
        <v>40833</v>
      </c>
      <c r="F1823" s="867" t="s">
        <v>1264</v>
      </c>
      <c r="G1823" s="49"/>
      <c r="H1823" s="868" t="s">
        <v>1092</v>
      </c>
      <c r="I1823" s="254">
        <v>30</v>
      </c>
      <c r="J1823" s="254">
        <v>18059.908185845437</v>
      </c>
      <c r="K1823" s="716">
        <f t="shared" si="150"/>
        <v>541797</v>
      </c>
      <c r="L1823" s="52" t="s">
        <v>159</v>
      </c>
      <c r="M1823" s="52" t="s">
        <v>157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94"/>
    </row>
    <row r="1824" spans="1:30" s="83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151"/>
        <v>10</v>
      </c>
      <c r="C1824" s="860">
        <f t="shared" si="149"/>
        <v>40833</v>
      </c>
      <c r="D1824" s="48" t="s">
        <v>959</v>
      </c>
      <c r="E1824" s="860">
        <v>40833</v>
      </c>
      <c r="F1824" s="192" t="s">
        <v>1254</v>
      </c>
      <c r="G1824" s="498" t="s">
        <v>1238</v>
      </c>
      <c r="H1824" s="193" t="s">
        <v>733</v>
      </c>
      <c r="I1824" s="256">
        <v>100</v>
      </c>
      <c r="J1824" s="256">
        <v>10854.498185845441</v>
      </c>
      <c r="K1824" s="614">
        <f t="shared" si="150"/>
        <v>1085450</v>
      </c>
      <c r="L1824" s="52" t="s">
        <v>165</v>
      </c>
      <c r="M1824" s="52" t="s">
        <v>159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94"/>
      <c r="AB1824" s="198"/>
      <c r="AC1824" s="198"/>
      <c r="AD1824" s="198"/>
    </row>
    <row r="1825" spans="1:28" ht="15.75" customHeight="1">
      <c r="A1825" s="204" t="str">
        <f>IF(B1825&lt;&gt;"",IF(AND(B1825&gt;=_TM1,B1825&lt;=_TM2,OR(TH!L1825="1111",TH!M1825="1111")),TH!D1825,""),"")</f>
        <v/>
      </c>
      <c r="B1825" s="36">
        <f t="shared" si="151"/>
        <v>10</v>
      </c>
      <c r="C1825" s="860">
        <f t="shared" si="149"/>
        <v>40833</v>
      </c>
      <c r="D1825" s="48" t="s">
        <v>959</v>
      </c>
      <c r="E1825" s="860">
        <v>40833</v>
      </c>
      <c r="F1825" s="192" t="s">
        <v>1255</v>
      </c>
      <c r="G1825" s="498" t="s">
        <v>1238</v>
      </c>
      <c r="H1825" s="193" t="s">
        <v>733</v>
      </c>
      <c r="I1825" s="256">
        <v>120</v>
      </c>
      <c r="J1825" s="256">
        <v>11992.241519178777</v>
      </c>
      <c r="K1825" s="614">
        <f t="shared" si="150"/>
        <v>1439069</v>
      </c>
      <c r="L1825" s="52" t="s">
        <v>165</v>
      </c>
      <c r="M1825" s="52" t="s">
        <v>159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94"/>
    </row>
    <row r="1826" spans="1:28" ht="15.75" customHeight="1">
      <c r="A1826" s="204" t="str">
        <f>IF(B1826&lt;&gt;"",IF(AND(B1826&gt;=_TM1,B1826&lt;=_TM2,OR(TH!L1826="1111",TH!M1826="1111")),TH!D1826,""),"")</f>
        <v/>
      </c>
      <c r="B1826" s="36">
        <f t="shared" si="151"/>
        <v>10</v>
      </c>
      <c r="C1826" s="860">
        <f t="shared" si="149"/>
        <v>40833</v>
      </c>
      <c r="D1826" s="48" t="s">
        <v>959</v>
      </c>
      <c r="E1826" s="860">
        <v>40833</v>
      </c>
      <c r="F1826" s="192" t="s">
        <v>1256</v>
      </c>
      <c r="G1826" s="498" t="s">
        <v>1238</v>
      </c>
      <c r="H1826" s="193" t="s">
        <v>733</v>
      </c>
      <c r="I1826" s="256">
        <v>250</v>
      </c>
      <c r="J1826" s="256">
        <v>13958.424185845442</v>
      </c>
      <c r="K1826" s="614">
        <f t="shared" si="150"/>
        <v>3489606</v>
      </c>
      <c r="L1826" s="52" t="s">
        <v>165</v>
      </c>
      <c r="M1826" s="52" t="s">
        <v>159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94"/>
    </row>
    <row r="1827" spans="1:28" ht="15.75" customHeight="1">
      <c r="A1827" s="204" t="str">
        <f>IF(B1827&lt;&gt;"",IF(AND(B1827&gt;=_TM1,B1827&lt;=_TM2,OR(TH!L1827="1111",TH!M1827="1111")),TH!D1827,""),"")</f>
        <v/>
      </c>
      <c r="B1827" s="36">
        <f t="shared" si="151"/>
        <v>10</v>
      </c>
      <c r="C1827" s="860">
        <f t="shared" si="149"/>
        <v>40833</v>
      </c>
      <c r="D1827" s="48" t="s">
        <v>959</v>
      </c>
      <c r="E1827" s="191">
        <v>40833</v>
      </c>
      <c r="F1827" s="192" t="s">
        <v>1257</v>
      </c>
      <c r="G1827" s="498" t="s">
        <v>1238</v>
      </c>
      <c r="H1827" s="193" t="s">
        <v>733</v>
      </c>
      <c r="I1827" s="256">
        <v>140</v>
      </c>
      <c r="J1827" s="256">
        <v>8841.5010429882987</v>
      </c>
      <c r="K1827" s="614">
        <f t="shared" si="150"/>
        <v>1237810</v>
      </c>
      <c r="L1827" s="52" t="s">
        <v>165</v>
      </c>
      <c r="M1827" s="52" t="s">
        <v>159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94"/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>
        <f t="shared" si="151"/>
        <v>10</v>
      </c>
      <c r="C1828" s="860">
        <f t="shared" si="149"/>
        <v>40833</v>
      </c>
      <c r="D1828" s="48" t="s">
        <v>959</v>
      </c>
      <c r="E1828" s="191">
        <v>40833</v>
      </c>
      <c r="F1828" s="192" t="s">
        <v>1258</v>
      </c>
      <c r="G1828" s="498" t="s">
        <v>1238</v>
      </c>
      <c r="H1828" s="193" t="s">
        <v>733</v>
      </c>
      <c r="I1828" s="256">
        <v>50</v>
      </c>
      <c r="J1828" s="256">
        <v>7867.2881858454421</v>
      </c>
      <c r="K1828" s="614">
        <f t="shared" si="150"/>
        <v>393364</v>
      </c>
      <c r="L1828" s="52" t="s">
        <v>165</v>
      </c>
      <c r="M1828" s="52" t="s">
        <v>159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94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>
        <f t="shared" si="151"/>
        <v>10</v>
      </c>
      <c r="C1829" s="860">
        <f t="shared" si="149"/>
        <v>40833</v>
      </c>
      <c r="D1829" s="48" t="s">
        <v>959</v>
      </c>
      <c r="E1829" s="191">
        <v>40833</v>
      </c>
      <c r="F1829" s="192" t="s">
        <v>1259</v>
      </c>
      <c r="G1829" s="498" t="s">
        <v>1238</v>
      </c>
      <c r="H1829" s="193" t="s">
        <v>733</v>
      </c>
      <c r="I1829" s="256">
        <v>70</v>
      </c>
      <c r="J1829" s="256">
        <v>9790.4367572740139</v>
      </c>
      <c r="K1829" s="614">
        <f t="shared" si="150"/>
        <v>685331</v>
      </c>
      <c r="L1829" s="52" t="s">
        <v>165</v>
      </c>
      <c r="M1829" s="52" t="s">
        <v>159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94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>
        <f t="shared" si="151"/>
        <v>10</v>
      </c>
      <c r="C1830" s="860">
        <f t="shared" si="149"/>
        <v>40833</v>
      </c>
      <c r="D1830" s="48" t="s">
        <v>959</v>
      </c>
      <c r="E1830" s="37">
        <v>40833</v>
      </c>
      <c r="F1830" s="192" t="s">
        <v>1260</v>
      </c>
      <c r="G1830" s="498" t="s">
        <v>1238</v>
      </c>
      <c r="H1830" s="193" t="s">
        <v>733</v>
      </c>
      <c r="I1830" s="256">
        <v>54</v>
      </c>
      <c r="J1830" s="256">
        <v>6981.4526302898867</v>
      </c>
      <c r="K1830" s="614">
        <f t="shared" si="150"/>
        <v>376998</v>
      </c>
      <c r="L1830" s="52" t="s">
        <v>165</v>
      </c>
      <c r="M1830" s="52" t="s">
        <v>159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94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>
        <f t="shared" si="151"/>
        <v>10</v>
      </c>
      <c r="C1831" s="860">
        <f t="shared" si="149"/>
        <v>40833</v>
      </c>
      <c r="D1831" s="48" t="s">
        <v>959</v>
      </c>
      <c r="E1831" s="37">
        <v>40833</v>
      </c>
      <c r="F1831" s="192" t="s">
        <v>1261</v>
      </c>
      <c r="G1831" s="498" t="s">
        <v>1238</v>
      </c>
      <c r="H1831" s="193" t="s">
        <v>733</v>
      </c>
      <c r="I1831" s="256">
        <v>90</v>
      </c>
      <c r="J1831" s="256">
        <v>16194.497074734332</v>
      </c>
      <c r="K1831" s="614">
        <f t="shared" si="150"/>
        <v>1457505</v>
      </c>
      <c r="L1831" s="52" t="s">
        <v>165</v>
      </c>
      <c r="M1831" s="52" t="s">
        <v>159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94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>
        <f t="shared" si="151"/>
        <v>10</v>
      </c>
      <c r="C1832" s="860">
        <f t="shared" si="149"/>
        <v>40833</v>
      </c>
      <c r="D1832" s="48" t="s">
        <v>959</v>
      </c>
      <c r="E1832" s="37">
        <v>40833</v>
      </c>
      <c r="F1832" s="192" t="s">
        <v>1262</v>
      </c>
      <c r="G1832" s="498" t="s">
        <v>1238</v>
      </c>
      <c r="H1832" s="193" t="s">
        <v>733</v>
      </c>
      <c r="I1832" s="256">
        <v>100</v>
      </c>
      <c r="J1832" s="256">
        <v>12419.958185845444</v>
      </c>
      <c r="K1832" s="614">
        <f t="shared" si="150"/>
        <v>1241996</v>
      </c>
      <c r="L1832" s="52" t="s">
        <v>165</v>
      </c>
      <c r="M1832" s="52" t="s">
        <v>159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94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>
        <f t="shared" si="151"/>
        <v>10</v>
      </c>
      <c r="C1833" s="860">
        <f t="shared" si="149"/>
        <v>40833</v>
      </c>
      <c r="D1833" s="48" t="s">
        <v>959</v>
      </c>
      <c r="E1833" s="37">
        <v>40833</v>
      </c>
      <c r="F1833" s="192" t="s">
        <v>1261</v>
      </c>
      <c r="G1833" s="498" t="s">
        <v>1238</v>
      </c>
      <c r="H1833" s="193" t="s">
        <v>733</v>
      </c>
      <c r="I1833" s="256">
        <v>200</v>
      </c>
      <c r="J1833" s="256">
        <v>14919.103185845444</v>
      </c>
      <c r="K1833" s="614">
        <f t="shared" si="150"/>
        <v>2983821</v>
      </c>
      <c r="L1833" s="52" t="s">
        <v>165</v>
      </c>
      <c r="M1833" s="52" t="s">
        <v>159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94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>
        <f t="shared" si="151"/>
        <v>10</v>
      </c>
      <c r="C1834" s="860">
        <f t="shared" si="149"/>
        <v>40833</v>
      </c>
      <c r="D1834" s="48" t="s">
        <v>959</v>
      </c>
      <c r="E1834" s="37">
        <v>40833</v>
      </c>
      <c r="F1834" s="858" t="s">
        <v>1263</v>
      </c>
      <c r="G1834" s="498" t="s">
        <v>1238</v>
      </c>
      <c r="H1834" s="193" t="s">
        <v>733</v>
      </c>
      <c r="I1834" s="256">
        <v>50</v>
      </c>
      <c r="J1834" s="256">
        <v>12722.488185845443</v>
      </c>
      <c r="K1834" s="614">
        <f t="shared" si="150"/>
        <v>636124</v>
      </c>
      <c r="L1834" s="52" t="s">
        <v>165</v>
      </c>
      <c r="M1834" s="52" t="s">
        <v>159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94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>
        <f t="shared" si="151"/>
        <v>10</v>
      </c>
      <c r="C1835" s="860">
        <f t="shared" si="149"/>
        <v>40833</v>
      </c>
      <c r="D1835" s="48" t="s">
        <v>959</v>
      </c>
      <c r="E1835" s="37">
        <v>40833</v>
      </c>
      <c r="F1835" s="192" t="s">
        <v>1264</v>
      </c>
      <c r="G1835" s="498" t="s">
        <v>1238</v>
      </c>
      <c r="H1835" s="193" t="s">
        <v>733</v>
      </c>
      <c r="I1835" s="256">
        <v>30</v>
      </c>
      <c r="J1835" s="256">
        <v>18059.908185845437</v>
      </c>
      <c r="K1835" s="614">
        <f t="shared" si="150"/>
        <v>541797</v>
      </c>
      <c r="L1835" s="52" t="s">
        <v>165</v>
      </c>
      <c r="M1835" s="52" t="s">
        <v>159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94"/>
    </row>
    <row r="1836" spans="1:28" ht="15.75" customHeight="1">
      <c r="A1836" s="204" t="str">
        <f>IF(B1836&lt;&gt;"",IF(AND(B1836&gt;=_TM1,B1836&lt;=_TM2,OR(TH!L1836="1111",TH!M1836="1111")),TH!D1836,""),"")</f>
        <v>C04</v>
      </c>
      <c r="B1836" s="36">
        <f t="shared" si="151"/>
        <v>10</v>
      </c>
      <c r="C1836" s="184">
        <v>40835</v>
      </c>
      <c r="D1836" s="184" t="s">
        <v>437</v>
      </c>
      <c r="E1836" s="184">
        <v>40835</v>
      </c>
      <c r="F1836" s="189" t="s">
        <v>362</v>
      </c>
      <c r="G1836" s="616" t="s">
        <v>330</v>
      </c>
      <c r="H1836" s="193" t="s">
        <v>363</v>
      </c>
      <c r="I1836" s="256"/>
      <c r="J1836" s="256"/>
      <c r="K1836" s="614">
        <v>20000000</v>
      </c>
      <c r="L1836" s="615" t="s">
        <v>23</v>
      </c>
      <c r="M1836" s="615" t="s">
        <v>46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94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>
        <f t="shared" si="151"/>
        <v>10</v>
      </c>
      <c r="C1837" s="184">
        <v>40835</v>
      </c>
      <c r="D1837" s="184" t="s">
        <v>334</v>
      </c>
      <c r="E1837" s="184">
        <v>40835</v>
      </c>
      <c r="F1837" s="189" t="s">
        <v>367</v>
      </c>
      <c r="G1837" s="616" t="s">
        <v>330</v>
      </c>
      <c r="H1837" s="7" t="s">
        <v>499</v>
      </c>
      <c r="I1837" s="256"/>
      <c r="J1837" s="256"/>
      <c r="K1837" s="614">
        <v>20000000</v>
      </c>
      <c r="L1837" s="615" t="s">
        <v>8</v>
      </c>
      <c r="M1837" s="615" t="s">
        <v>23</v>
      </c>
      <c r="N1837" s="52" t="str">
        <f>IF(AND('331-CT'!$E$7=TH!H1837,OR(L1837="331",M1837="331")),"331",IF(AND(OR(L1837="131",M1837="131"),H1837='131-CT'!$E$7),"131",""))</f>
        <v>331</v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94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>
        <f t="shared" si="151"/>
        <v>10</v>
      </c>
      <c r="C1838" s="184">
        <v>40835</v>
      </c>
      <c r="D1838" s="184" t="s">
        <v>334</v>
      </c>
      <c r="E1838" s="184">
        <v>40835</v>
      </c>
      <c r="F1838" s="189" t="s">
        <v>370</v>
      </c>
      <c r="G1838" s="616" t="s">
        <v>330</v>
      </c>
      <c r="H1838" s="7"/>
      <c r="I1838" s="256"/>
      <c r="J1838" s="256"/>
      <c r="K1838" s="614">
        <v>9091</v>
      </c>
      <c r="L1838" s="615" t="s">
        <v>75</v>
      </c>
      <c r="M1838" s="615" t="s">
        <v>23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>x</v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94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>
        <f t="shared" si="151"/>
        <v>10</v>
      </c>
      <c r="C1839" s="184">
        <v>40835</v>
      </c>
      <c r="D1839" s="184" t="s">
        <v>334</v>
      </c>
      <c r="E1839" s="184">
        <v>40835</v>
      </c>
      <c r="F1839" s="189" t="s">
        <v>1433</v>
      </c>
      <c r="G1839" s="616" t="s">
        <v>330</v>
      </c>
      <c r="H1839" s="7"/>
      <c r="I1839" s="256"/>
      <c r="J1839" s="256"/>
      <c r="K1839" s="614">
        <v>909</v>
      </c>
      <c r="L1839" s="615" t="s">
        <v>9</v>
      </c>
      <c r="M1839" s="615" t="s">
        <v>23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94"/>
      <c r="AB1839" s="198">
        <v>10</v>
      </c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>
        <f t="shared" si="151"/>
        <v>10</v>
      </c>
      <c r="C1840" s="184">
        <v>40835</v>
      </c>
      <c r="D1840" s="184" t="s">
        <v>334</v>
      </c>
      <c r="E1840" s="184">
        <v>40835</v>
      </c>
      <c r="F1840" s="189" t="s">
        <v>336</v>
      </c>
      <c r="G1840" s="616" t="s">
        <v>330</v>
      </c>
      <c r="H1840" s="7"/>
      <c r="I1840" s="256"/>
      <c r="J1840" s="256"/>
      <c r="K1840" s="614">
        <v>9091</v>
      </c>
      <c r="L1840" s="615" t="s">
        <v>75</v>
      </c>
      <c r="M1840" s="615" t="s">
        <v>23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>x</v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94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>
        <f t="shared" si="151"/>
        <v>10</v>
      </c>
      <c r="C1841" s="184">
        <v>40835</v>
      </c>
      <c r="D1841" s="184" t="s">
        <v>334</v>
      </c>
      <c r="E1841" s="184">
        <v>40835</v>
      </c>
      <c r="F1841" s="189" t="s">
        <v>1434</v>
      </c>
      <c r="G1841" s="616" t="s">
        <v>330</v>
      </c>
      <c r="H1841" s="7"/>
      <c r="I1841" s="256"/>
      <c r="J1841" s="256"/>
      <c r="K1841" s="614">
        <v>909</v>
      </c>
      <c r="L1841" s="615" t="s">
        <v>9</v>
      </c>
      <c r="M1841" s="615" t="s">
        <v>23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94"/>
      <c r="AB1841" s="198">
        <v>10</v>
      </c>
    </row>
    <row r="1842" spans="1:30" ht="15.75" customHeight="1">
      <c r="A1842" s="204" t="str">
        <f>IF(B1842&lt;&gt;"",IF(AND(B1842&gt;=_TM1,B1842&lt;=_TM2,OR(TH!L1842="1111",TH!M1842="1111")),TH!D1842,""),"")</f>
        <v>C05</v>
      </c>
      <c r="B1842" s="36">
        <f t="shared" si="151"/>
        <v>10</v>
      </c>
      <c r="C1842" s="191">
        <v>40835</v>
      </c>
      <c r="D1842" s="191" t="s">
        <v>438</v>
      </c>
      <c r="E1842" s="191">
        <v>40835</v>
      </c>
      <c r="F1842" s="192" t="s">
        <v>1226</v>
      </c>
      <c r="G1842" s="498" t="s">
        <v>1227</v>
      </c>
      <c r="H1842" s="7" t="s">
        <v>371</v>
      </c>
      <c r="I1842" s="256">
        <v>20</v>
      </c>
      <c r="J1842" s="256">
        <v>64000</v>
      </c>
      <c r="K1842" s="614">
        <v>1280000</v>
      </c>
      <c r="L1842" s="194" t="s">
        <v>157</v>
      </c>
      <c r="M1842" s="194" t="s">
        <v>46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94"/>
    </row>
    <row r="1843" spans="1:30" ht="15.75" customHeight="1">
      <c r="A1843" s="204" t="str">
        <f>IF(B1843&lt;&gt;"",IF(AND(B1843&gt;=_TM1,B1843&lt;=_TM2,OR(TH!L1843="1111",TH!M1843="1111")),TH!D1843,""),"")</f>
        <v>C05</v>
      </c>
      <c r="B1843" s="36">
        <f t="shared" si="151"/>
        <v>10</v>
      </c>
      <c r="C1843" s="191">
        <v>40835</v>
      </c>
      <c r="D1843" s="191" t="s">
        <v>438</v>
      </c>
      <c r="E1843" s="191">
        <v>40835</v>
      </c>
      <c r="F1843" s="192" t="s">
        <v>1165</v>
      </c>
      <c r="G1843" s="498" t="s">
        <v>1227</v>
      </c>
      <c r="H1843" s="7" t="s">
        <v>371</v>
      </c>
      <c r="I1843" s="256"/>
      <c r="J1843" s="256"/>
      <c r="K1843" s="38">
        <v>128000</v>
      </c>
      <c r="L1843" s="194" t="s">
        <v>9</v>
      </c>
      <c r="M1843" s="194" t="s">
        <v>46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94"/>
      <c r="AB1843" s="198">
        <v>10</v>
      </c>
    </row>
    <row r="1844" spans="1:30" ht="15.75" customHeight="1">
      <c r="A1844" s="204" t="str">
        <f>IF(B1844&lt;&gt;"",IF(AND(B1844&gt;=_TM1,B1844&lt;=_TM2,OR(TH!L1844="1111",TH!M1844="1111")),TH!D1844,""),"")</f>
        <v>C06</v>
      </c>
      <c r="B1844" s="36">
        <f t="shared" si="151"/>
        <v>10</v>
      </c>
      <c r="C1844" s="191">
        <v>40836</v>
      </c>
      <c r="D1844" s="191" t="s">
        <v>439</v>
      </c>
      <c r="E1844" s="191">
        <v>40836</v>
      </c>
      <c r="F1844" s="192" t="s">
        <v>1228</v>
      </c>
      <c r="G1844" s="498" t="s">
        <v>1229</v>
      </c>
      <c r="H1844" s="7" t="s">
        <v>371</v>
      </c>
      <c r="I1844" s="256"/>
      <c r="J1844" s="256"/>
      <c r="K1844" s="614">
        <v>2740000</v>
      </c>
      <c r="L1844" s="194" t="s">
        <v>157</v>
      </c>
      <c r="M1844" s="194" t="s">
        <v>46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94"/>
    </row>
    <row r="1845" spans="1:30" ht="15.75" customHeight="1">
      <c r="A1845" s="204" t="str">
        <f>IF(B1845&lt;&gt;"",IF(AND(B1845&gt;=_TM1,B1845&lt;=_TM2,OR(TH!L1845="1111",TH!M1845="1111")),TH!D1845,""),"")</f>
        <v>C06</v>
      </c>
      <c r="B1845" s="36">
        <f t="shared" si="151"/>
        <v>10</v>
      </c>
      <c r="C1845" s="191">
        <v>40836</v>
      </c>
      <c r="D1845" s="191" t="s">
        <v>439</v>
      </c>
      <c r="E1845" s="191">
        <v>40836</v>
      </c>
      <c r="F1845" s="192" t="s">
        <v>1165</v>
      </c>
      <c r="G1845" s="498" t="s">
        <v>1229</v>
      </c>
      <c r="H1845" s="7" t="s">
        <v>371</v>
      </c>
      <c r="I1845" s="256"/>
      <c r="J1845" s="256"/>
      <c r="K1845" s="38">
        <v>274000</v>
      </c>
      <c r="L1845" s="194" t="s">
        <v>9</v>
      </c>
      <c r="M1845" s="194" t="s">
        <v>46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94"/>
      <c r="AB1845" s="198">
        <v>10</v>
      </c>
    </row>
    <row r="1846" spans="1:30" ht="15.75" customHeight="1">
      <c r="A1846" s="204" t="str">
        <f>IF(B1846&lt;&gt;"",IF(AND(B1846&gt;=_TM1,B1846&lt;=_TM2,OR(TH!L1846="1111",TH!M1846="1111")),TH!D1846,""),"")</f>
        <v>C07</v>
      </c>
      <c r="B1846" s="36">
        <f t="shared" si="151"/>
        <v>10</v>
      </c>
      <c r="C1846" s="191">
        <v>40836</v>
      </c>
      <c r="D1846" s="191" t="s">
        <v>440</v>
      </c>
      <c r="E1846" s="191">
        <v>40836</v>
      </c>
      <c r="F1846" s="192" t="s">
        <v>1168</v>
      </c>
      <c r="G1846" s="498" t="s">
        <v>1230</v>
      </c>
      <c r="H1846" s="193" t="s">
        <v>1223</v>
      </c>
      <c r="I1846" s="256"/>
      <c r="J1846" s="256"/>
      <c r="K1846" s="38">
        <v>603200</v>
      </c>
      <c r="L1846" s="194" t="s">
        <v>261</v>
      </c>
      <c r="M1846" s="615" t="s">
        <v>46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94"/>
    </row>
    <row r="1847" spans="1:30" ht="15.75" customHeight="1">
      <c r="A1847" s="204" t="str">
        <f>IF(B1847&lt;&gt;"",IF(AND(B1847&gt;=_TM1,B1847&lt;=_TM2,OR(TH!L1847="1111",TH!M1847="1111")),TH!D1847,""),"")</f>
        <v/>
      </c>
      <c r="B1847" s="36">
        <f t="shared" si="151"/>
        <v>10</v>
      </c>
      <c r="C1847" s="191">
        <v>40836</v>
      </c>
      <c r="D1847" s="191" t="s">
        <v>960</v>
      </c>
      <c r="E1847" s="191">
        <v>40836</v>
      </c>
      <c r="F1847" s="192" t="s">
        <v>1265</v>
      </c>
      <c r="G1847" s="498" t="s">
        <v>1239</v>
      </c>
      <c r="H1847" s="193" t="s">
        <v>733</v>
      </c>
      <c r="I1847" s="256">
        <v>150</v>
      </c>
      <c r="J1847" s="256">
        <v>10397</v>
      </c>
      <c r="K1847" s="614">
        <v>1559550</v>
      </c>
      <c r="L1847" s="194" t="s">
        <v>259</v>
      </c>
      <c r="M1847" s="194" t="s">
        <v>167</v>
      </c>
      <c r="N1847" s="52" t="str">
        <f>IF(AND('331-CT'!$E$7=TH!H1847,OR(L1847="331",M1847="331")),"331",IF(AND(OR(L1847="131",M1847="131"),H1847='131-CT'!$E$7),"131",""))</f>
        <v>131</v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94"/>
    </row>
    <row r="1848" spans="1:30" ht="15.75" customHeight="1">
      <c r="A1848" s="204" t="str">
        <f>IF(B1848&lt;&gt;"",IF(AND(B1848&gt;=_TM1,B1848&lt;=_TM2,OR(TH!L1848="1111",TH!M1848="1111")),TH!D1848,""),"")</f>
        <v/>
      </c>
      <c r="B1848" s="36">
        <f t="shared" si="151"/>
        <v>10</v>
      </c>
      <c r="C1848" s="191">
        <v>40836</v>
      </c>
      <c r="D1848" s="191" t="s">
        <v>960</v>
      </c>
      <c r="E1848" s="191">
        <v>40836</v>
      </c>
      <c r="F1848" s="192" t="s">
        <v>1266</v>
      </c>
      <c r="G1848" s="498" t="s">
        <v>1239</v>
      </c>
      <c r="H1848" s="193" t="s">
        <v>733</v>
      </c>
      <c r="I1848" s="256">
        <v>200</v>
      </c>
      <c r="J1848" s="256">
        <v>12869</v>
      </c>
      <c r="K1848" s="614">
        <v>2573800</v>
      </c>
      <c r="L1848" s="194" t="s">
        <v>259</v>
      </c>
      <c r="M1848" s="194" t="s">
        <v>167</v>
      </c>
      <c r="N1848" s="52" t="str">
        <f>IF(AND('331-CT'!$E$7=TH!H1848,OR(L1848="331",M1848="331")),"331",IF(AND(OR(L1848="131",M1848="131"),H1848='131-CT'!$E$7),"131",""))</f>
        <v>131</v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94"/>
    </row>
    <row r="1849" spans="1:30" ht="15.75" customHeight="1">
      <c r="A1849" s="204" t="str">
        <f>IF(B1849&lt;&gt;"",IF(AND(B1849&gt;=_TM1,B1849&lt;=_TM2,OR(TH!L1849="1111",TH!M1849="1111")),TH!D1849,""),"")</f>
        <v/>
      </c>
      <c r="B1849" s="36">
        <f t="shared" si="151"/>
        <v>10</v>
      </c>
      <c r="C1849" s="191">
        <v>40836</v>
      </c>
      <c r="D1849" s="191" t="s">
        <v>960</v>
      </c>
      <c r="E1849" s="191">
        <v>40836</v>
      </c>
      <c r="F1849" s="192" t="s">
        <v>1259</v>
      </c>
      <c r="G1849" s="498" t="s">
        <v>1239</v>
      </c>
      <c r="H1849" s="193" t="s">
        <v>733</v>
      </c>
      <c r="I1849" s="256">
        <v>220</v>
      </c>
      <c r="J1849" s="256">
        <v>14450</v>
      </c>
      <c r="K1849" s="614">
        <v>3179000</v>
      </c>
      <c r="L1849" s="194" t="s">
        <v>259</v>
      </c>
      <c r="M1849" s="194" t="s">
        <v>167</v>
      </c>
      <c r="N1849" s="52" t="str">
        <f>IF(AND('331-CT'!$E$7=TH!H1849,OR(L1849="331",M1849="331")),"331",IF(AND(OR(L1849="131",M1849="131"),H1849='131-CT'!$E$7),"131",""))</f>
        <v>131</v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94"/>
    </row>
    <row r="1850" spans="1:30" ht="15.75" customHeight="1">
      <c r="A1850" s="204" t="str">
        <f>IF(B1850&lt;&gt;"",IF(AND(B1850&gt;=_TM1,B1850&lt;=_TM2,OR(TH!L1850="1111",TH!M1850="1111")),TH!D1850,""),"")</f>
        <v/>
      </c>
      <c r="B1850" s="36">
        <f t="shared" si="151"/>
        <v>10</v>
      </c>
      <c r="C1850" s="191">
        <v>40836</v>
      </c>
      <c r="D1850" s="191" t="s">
        <v>960</v>
      </c>
      <c r="E1850" s="191">
        <v>40836</v>
      </c>
      <c r="F1850" s="192" t="s">
        <v>1258</v>
      </c>
      <c r="G1850" s="498" t="s">
        <v>1239</v>
      </c>
      <c r="H1850" s="193" t="s">
        <v>733</v>
      </c>
      <c r="I1850" s="256">
        <v>180</v>
      </c>
      <c r="J1850" s="256">
        <v>11420</v>
      </c>
      <c r="K1850" s="614">
        <v>2055600</v>
      </c>
      <c r="L1850" s="194" t="s">
        <v>259</v>
      </c>
      <c r="M1850" s="194" t="s">
        <v>167</v>
      </c>
      <c r="N1850" s="52" t="str">
        <f>IF(AND('331-CT'!$E$7=TH!H1850,OR(L1850="331",M1850="331")),"331",IF(AND(OR(L1850="131",M1850="131"),H1850='131-CT'!$E$7),"131",""))</f>
        <v>131</v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94"/>
    </row>
    <row r="1851" spans="1:30" ht="15.75" customHeight="1">
      <c r="A1851" s="204" t="str">
        <f>IF(B1851&lt;&gt;"",IF(AND(B1851&gt;=_TM1,B1851&lt;=_TM2,OR(TH!L1851="1111",TH!M1851="1111")),TH!D1851,""),"")</f>
        <v/>
      </c>
      <c r="B1851" s="36">
        <f t="shared" si="151"/>
        <v>10</v>
      </c>
      <c r="C1851" s="191">
        <v>40836</v>
      </c>
      <c r="D1851" s="191" t="s">
        <v>960</v>
      </c>
      <c r="E1851" s="191">
        <v>40836</v>
      </c>
      <c r="F1851" s="192" t="s">
        <v>1260</v>
      </c>
      <c r="G1851" s="498" t="s">
        <v>1239</v>
      </c>
      <c r="H1851" s="193" t="s">
        <v>733</v>
      </c>
      <c r="I1851" s="256">
        <v>297</v>
      </c>
      <c r="J1851" s="256">
        <v>13881</v>
      </c>
      <c r="K1851" s="614">
        <v>4122657</v>
      </c>
      <c r="L1851" s="194" t="s">
        <v>259</v>
      </c>
      <c r="M1851" s="194" t="s">
        <v>167</v>
      </c>
      <c r="N1851" s="52" t="str">
        <f>IF(AND('331-CT'!$E$7=TH!H1851,OR(L1851="331",M1851="331")),"331",IF(AND(OR(L1851="131",M1851="131"),H1851='131-CT'!$E$7),"131",""))</f>
        <v>131</v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94"/>
    </row>
    <row r="1852" spans="1:30" ht="15.75" customHeight="1">
      <c r="A1852" s="204" t="str">
        <f>IF(B1852&lt;&gt;"",IF(AND(B1852&gt;=_TM1,B1852&lt;=_TM2,OR(TH!L1852="1111",TH!M1852="1111")),TH!D1852,""),"")</f>
        <v/>
      </c>
      <c r="B1852" s="36">
        <f t="shared" si="151"/>
        <v>10</v>
      </c>
      <c r="C1852" s="191">
        <v>40836</v>
      </c>
      <c r="D1852" s="191" t="s">
        <v>960</v>
      </c>
      <c r="E1852" s="191">
        <v>40836</v>
      </c>
      <c r="F1852" s="192" t="s">
        <v>1264</v>
      </c>
      <c r="G1852" s="498" t="s">
        <v>1239</v>
      </c>
      <c r="H1852" s="193" t="s">
        <v>733</v>
      </c>
      <c r="I1852" s="256">
        <v>320</v>
      </c>
      <c r="J1852" s="256">
        <v>17372</v>
      </c>
      <c r="K1852" s="614">
        <v>5559040</v>
      </c>
      <c r="L1852" s="194" t="s">
        <v>259</v>
      </c>
      <c r="M1852" s="194" t="s">
        <v>167</v>
      </c>
      <c r="N1852" s="52" t="str">
        <f>IF(AND('331-CT'!$E$7=TH!H1852,OR(L1852="331",M1852="331")),"331",IF(AND(OR(L1852="131",M1852="131"),H1852='131-CT'!$E$7),"131",""))</f>
        <v>131</v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94"/>
    </row>
    <row r="1853" spans="1:30" ht="15.75" customHeight="1">
      <c r="A1853" s="204" t="str">
        <f>IF(B1853&lt;&gt;"",IF(AND(B1853&gt;=_TM1,B1853&lt;=_TM2,OR(TH!L1853="1111",TH!M1853="1111")),TH!D1853,""),"")</f>
        <v/>
      </c>
      <c r="B1853" s="36">
        <f t="shared" si="151"/>
        <v>10</v>
      </c>
      <c r="C1853" s="191">
        <v>40836</v>
      </c>
      <c r="D1853" s="191" t="s">
        <v>960</v>
      </c>
      <c r="E1853" s="191">
        <v>40836</v>
      </c>
      <c r="F1853" s="192" t="s">
        <v>1261</v>
      </c>
      <c r="G1853" s="498" t="s">
        <v>1239</v>
      </c>
      <c r="H1853" s="193" t="s">
        <v>733</v>
      </c>
      <c r="I1853" s="256">
        <v>150</v>
      </c>
      <c r="J1853" s="256">
        <v>20981</v>
      </c>
      <c r="K1853" s="614">
        <v>3147150</v>
      </c>
      <c r="L1853" s="194" t="s">
        <v>259</v>
      </c>
      <c r="M1853" s="194" t="s">
        <v>167</v>
      </c>
      <c r="N1853" s="52" t="str">
        <f>IF(AND('331-CT'!$E$7=TH!H1853,OR(L1853="331",M1853="331")),"331",IF(AND(OR(L1853="131",M1853="131"),H1853='131-CT'!$E$7),"131",""))</f>
        <v>131</v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94"/>
    </row>
    <row r="1854" spans="1:30" ht="15.75" customHeight="1">
      <c r="A1854" s="204" t="str">
        <f>IF(B1854&lt;&gt;"",IF(AND(B1854&gt;=_TM1,B1854&lt;=_TM2,OR(TH!L1854="1111",TH!M1854="1111")),TH!D1854,""),"")</f>
        <v/>
      </c>
      <c r="B1854" s="36">
        <f t="shared" si="151"/>
        <v>10</v>
      </c>
      <c r="C1854" s="191">
        <v>40836</v>
      </c>
      <c r="D1854" s="191" t="s">
        <v>960</v>
      </c>
      <c r="E1854" s="191">
        <v>40836</v>
      </c>
      <c r="F1854" s="192" t="s">
        <v>1267</v>
      </c>
      <c r="G1854" s="498" t="s">
        <v>1239</v>
      </c>
      <c r="H1854" s="193" t="s">
        <v>733</v>
      </c>
      <c r="I1854" s="256">
        <v>270</v>
      </c>
      <c r="J1854" s="256">
        <v>16832</v>
      </c>
      <c r="K1854" s="614">
        <v>4544640</v>
      </c>
      <c r="L1854" s="194" t="s">
        <v>259</v>
      </c>
      <c r="M1854" s="194" t="s">
        <v>167</v>
      </c>
      <c r="N1854" s="52" t="str">
        <f>IF(AND('331-CT'!$E$7=TH!H1854,OR(L1854="331",M1854="331")),"331",IF(AND(OR(L1854="131",M1854="131"),H1854='131-CT'!$E$7),"131",""))</f>
        <v>131</v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94"/>
    </row>
    <row r="1855" spans="1:30" ht="15.75" customHeight="1">
      <c r="A1855" s="204" t="str">
        <f>IF(B1855&lt;&gt;"",IF(AND(B1855&gt;=_TM1,B1855&lt;=_TM2,OR(TH!L1855="1111",TH!M1855="1111")),TH!D1855,""),"")</f>
        <v/>
      </c>
      <c r="B1855" s="36">
        <f t="shared" si="151"/>
        <v>10</v>
      </c>
      <c r="C1855" s="191">
        <v>40836</v>
      </c>
      <c r="D1855" s="191" t="s">
        <v>960</v>
      </c>
      <c r="E1855" s="191">
        <v>40836</v>
      </c>
      <c r="F1855" s="192" t="s">
        <v>748</v>
      </c>
      <c r="G1855" s="498" t="s">
        <v>1239</v>
      </c>
      <c r="H1855" s="193" t="s">
        <v>733</v>
      </c>
      <c r="I1855" s="256">
        <v>190</v>
      </c>
      <c r="J1855" s="256">
        <v>10253</v>
      </c>
      <c r="K1855" s="614">
        <v>1948070</v>
      </c>
      <c r="L1855" s="194" t="s">
        <v>259</v>
      </c>
      <c r="M1855" s="194" t="s">
        <v>167</v>
      </c>
      <c r="N1855" s="52" t="str">
        <f>IF(AND('331-CT'!$E$7=TH!H1855,OR(L1855="331",M1855="331")),"331",IF(AND(OR(L1855="131",M1855="131"),H1855='131-CT'!$E$7),"131",""))</f>
        <v>131</v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94"/>
    </row>
    <row r="1856" spans="1:30" ht="15.75" customHeight="1">
      <c r="A1856" s="204" t="str">
        <f>IF(B1856&lt;&gt;"",IF(AND(B1856&gt;=_TM1,B1856&lt;=_TM2,OR(TH!L1856="1111",TH!M1856="1111")),TH!D1856,""),"")</f>
        <v/>
      </c>
      <c r="B1856" s="712">
        <f t="shared" si="151"/>
        <v>10</v>
      </c>
      <c r="C1856" s="191">
        <v>40836</v>
      </c>
      <c r="D1856" s="191" t="s">
        <v>960</v>
      </c>
      <c r="E1856" s="191">
        <v>40836</v>
      </c>
      <c r="F1856" s="192" t="s">
        <v>746</v>
      </c>
      <c r="G1856" s="498" t="s">
        <v>1239</v>
      </c>
      <c r="H1856" s="193" t="s">
        <v>733</v>
      </c>
      <c r="I1856" s="256">
        <v>320</v>
      </c>
      <c r="J1856" s="256">
        <v>10595</v>
      </c>
      <c r="K1856" s="614">
        <v>3390400</v>
      </c>
      <c r="L1856" s="194" t="s">
        <v>259</v>
      </c>
      <c r="M1856" s="194" t="s">
        <v>167</v>
      </c>
      <c r="N1856" s="52" t="str">
        <f>IF(AND('331-CT'!$E$7=TH!H1856,OR(L1856="331",M1856="331")),"331",IF(AND(OR(L1856="131",M1856="131"),H1856='131-CT'!$E$7),"131",""))</f>
        <v>131</v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94"/>
      <c r="AB1856" s="831"/>
      <c r="AC1856" s="831"/>
      <c r="AD1856" s="831"/>
    </row>
    <row r="1857" spans="1:30" ht="15.75" customHeight="1">
      <c r="A1857" s="204" t="str">
        <f>IF(B1857&lt;&gt;"",IF(AND(B1857&gt;=_TM1,B1857&lt;=_TM2,OR(TH!L1857="1111",TH!M1857="1111")),TH!D1857,""),"")</f>
        <v/>
      </c>
      <c r="B1857" s="712">
        <f t="shared" si="151"/>
        <v>10</v>
      </c>
      <c r="C1857" s="191">
        <v>40836</v>
      </c>
      <c r="D1857" s="191" t="s">
        <v>960</v>
      </c>
      <c r="E1857" s="191">
        <v>40836</v>
      </c>
      <c r="F1857" s="192" t="s">
        <v>755</v>
      </c>
      <c r="G1857" s="498" t="s">
        <v>1239</v>
      </c>
      <c r="H1857" s="193" t="s">
        <v>733</v>
      </c>
      <c r="I1857" s="256">
        <v>300</v>
      </c>
      <c r="J1857" s="256">
        <v>12179</v>
      </c>
      <c r="K1857" s="614">
        <v>3653700</v>
      </c>
      <c r="L1857" s="194" t="s">
        <v>259</v>
      </c>
      <c r="M1857" s="194" t="s">
        <v>167</v>
      </c>
      <c r="N1857" s="52" t="str">
        <f>IF(AND('331-CT'!$E$7=TH!H1857,OR(L1857="331",M1857="331")),"331",IF(AND(OR(L1857="131",M1857="131"),H1857='131-CT'!$E$7),"131",""))</f>
        <v>131</v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94"/>
      <c r="AB1857" s="831"/>
      <c r="AC1857" s="831"/>
      <c r="AD1857" s="831"/>
    </row>
    <row r="1858" spans="1:30" ht="15.75" customHeight="1">
      <c r="A1858" s="204" t="str">
        <f>IF(B1858&lt;&gt;"",IF(AND(B1858&gt;=_TM1,B1858&lt;=_TM2,OR(TH!L1858="1111",TH!M1858="1111")),TH!D1858,""),"")</f>
        <v/>
      </c>
      <c r="B1858" s="712">
        <f t="shared" si="151"/>
        <v>10</v>
      </c>
      <c r="C1858" s="191">
        <v>40836</v>
      </c>
      <c r="D1858" s="191" t="s">
        <v>960</v>
      </c>
      <c r="E1858" s="191">
        <v>40836</v>
      </c>
      <c r="F1858" s="192" t="s">
        <v>750</v>
      </c>
      <c r="G1858" s="498" t="s">
        <v>1239</v>
      </c>
      <c r="H1858" s="193" t="s">
        <v>733</v>
      </c>
      <c r="I1858" s="256">
        <v>350</v>
      </c>
      <c r="J1858" s="256">
        <v>15618</v>
      </c>
      <c r="K1858" s="614">
        <v>5466300</v>
      </c>
      <c r="L1858" s="194" t="s">
        <v>259</v>
      </c>
      <c r="M1858" s="194" t="s">
        <v>167</v>
      </c>
      <c r="N1858" s="52" t="str">
        <f>IF(AND('331-CT'!$E$7=TH!H1858,OR(L1858="331",M1858="331")),"331",IF(AND(OR(L1858="131",M1858="131"),H1858='131-CT'!$E$7),"131",""))</f>
        <v>131</v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94"/>
      <c r="AB1858" s="831"/>
      <c r="AC1858" s="831"/>
      <c r="AD1858" s="831"/>
    </row>
    <row r="1859" spans="1:30" ht="15.75" customHeight="1">
      <c r="A1859" s="204" t="str">
        <f>IF(B1859&lt;&gt;"",IF(AND(B1859&gt;=_TM1,B1859&lt;=_TM2,OR(TH!L1859="1111",TH!M1859="1111")),TH!D1859,""),"")</f>
        <v/>
      </c>
      <c r="B1859" s="712">
        <f t="shared" si="151"/>
        <v>10</v>
      </c>
      <c r="C1859" s="191">
        <v>40836</v>
      </c>
      <c r="D1859" s="191" t="s">
        <v>960</v>
      </c>
      <c r="E1859" s="191">
        <v>40836</v>
      </c>
      <c r="F1859" s="192" t="s">
        <v>1262</v>
      </c>
      <c r="G1859" s="498" t="s">
        <v>1239</v>
      </c>
      <c r="H1859" s="193" t="s">
        <v>733</v>
      </c>
      <c r="I1859" s="256">
        <v>290</v>
      </c>
      <c r="J1859" s="256">
        <v>16534</v>
      </c>
      <c r="K1859" s="614">
        <v>4794860</v>
      </c>
      <c r="L1859" s="194" t="s">
        <v>259</v>
      </c>
      <c r="M1859" s="194" t="s">
        <v>167</v>
      </c>
      <c r="N1859" s="52" t="str">
        <f>IF(AND('331-CT'!$E$7=TH!H1859,OR(L1859="331",M1859="331")),"331",IF(AND(OR(L1859="131",M1859="131"),H1859='131-CT'!$E$7),"131",""))</f>
        <v>131</v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94"/>
      <c r="AB1859" s="831"/>
      <c r="AC1859" s="831"/>
      <c r="AD1859" s="831"/>
    </row>
    <row r="1860" spans="1:30" ht="15.75" customHeight="1">
      <c r="A1860" s="204" t="str">
        <f>IF(B1860&lt;&gt;"",IF(AND(B1860&gt;=_TM1,B1860&lt;=_TM2,OR(TH!L1860="1111",TH!M1860="1111")),TH!D1860,""),"")</f>
        <v/>
      </c>
      <c r="B1860" s="712">
        <f t="shared" si="151"/>
        <v>10</v>
      </c>
      <c r="C1860" s="191">
        <v>40836</v>
      </c>
      <c r="D1860" s="191" t="s">
        <v>960</v>
      </c>
      <c r="E1860" s="191">
        <v>40836</v>
      </c>
      <c r="F1860" s="192" t="s">
        <v>1268</v>
      </c>
      <c r="G1860" s="498" t="s">
        <v>1239</v>
      </c>
      <c r="H1860" s="193" t="s">
        <v>733</v>
      </c>
      <c r="I1860" s="256">
        <v>130</v>
      </c>
      <c r="J1860" s="256">
        <v>20633</v>
      </c>
      <c r="K1860" s="614">
        <v>2682290</v>
      </c>
      <c r="L1860" s="194" t="s">
        <v>259</v>
      </c>
      <c r="M1860" s="194" t="s">
        <v>167</v>
      </c>
      <c r="N1860" s="52" t="str">
        <f>IF(AND('331-CT'!$E$7=TH!H1860,OR(L1860="331",M1860="331")),"331",IF(AND(OR(L1860="131",M1860="131"),H1860='131-CT'!$E$7),"131",""))</f>
        <v>131</v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94"/>
      <c r="AB1860" s="831"/>
      <c r="AC1860" s="831"/>
      <c r="AD1860" s="831"/>
    </row>
    <row r="1861" spans="1:30" ht="15.75" customHeight="1">
      <c r="A1861" s="204" t="str">
        <f>IF(B1861&lt;&gt;"",IF(AND(B1861&gt;=_TM1,B1861&lt;=_TM2,OR(TH!L1861="1111",TH!M1861="1111")),TH!D1861,""),"")</f>
        <v/>
      </c>
      <c r="B1861" s="712">
        <f t="shared" si="151"/>
        <v>10</v>
      </c>
      <c r="C1861" s="191">
        <v>40836</v>
      </c>
      <c r="D1861" s="191" t="s">
        <v>960</v>
      </c>
      <c r="E1861" s="191">
        <v>40836</v>
      </c>
      <c r="F1861" s="192" t="s">
        <v>1176</v>
      </c>
      <c r="G1861" s="498" t="s">
        <v>1239</v>
      </c>
      <c r="H1861" s="193" t="s">
        <v>733</v>
      </c>
      <c r="I1861" s="256"/>
      <c r="J1861" s="256"/>
      <c r="K1861" s="614">
        <f>4867706+1</f>
        <v>4867707</v>
      </c>
      <c r="L1861" s="194" t="s">
        <v>259</v>
      </c>
      <c r="M1861" s="194" t="s">
        <v>731</v>
      </c>
      <c r="N1861" s="52" t="str">
        <f>IF(AND('331-CT'!$E$7=TH!H1861,OR(L1861="331",M1861="331")),"331",IF(AND(OR(L1861="131",M1861="131"),H1861='131-CT'!$E$7),"131",""))</f>
        <v>131</v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94"/>
      <c r="AB1861" s="831"/>
      <c r="AC1861" s="831"/>
      <c r="AD1861" s="831"/>
    </row>
    <row r="1862" spans="1:30" ht="15.75" customHeight="1">
      <c r="A1862" s="204" t="str">
        <f>IF(B1862&lt;&gt;"",IF(AND(B1862&gt;=_TM1,B1862&lt;=_TM2,OR(TH!L1862="1111",TH!M1862="1111")),TH!D1862,""),"")</f>
        <v/>
      </c>
      <c r="B1862" s="36">
        <f t="shared" si="151"/>
        <v>10</v>
      </c>
      <c r="C1862" s="860">
        <f t="shared" ref="C1862:C1891" si="152">E1862</f>
        <v>40836</v>
      </c>
      <c r="D1862" s="860" t="s">
        <v>1098</v>
      </c>
      <c r="E1862" s="37">
        <v>40836</v>
      </c>
      <c r="F1862" s="40" t="s">
        <v>588</v>
      </c>
      <c r="G1862" s="40"/>
      <c r="H1862" s="628" t="s">
        <v>1092</v>
      </c>
      <c r="I1862" s="256">
        <v>86</v>
      </c>
      <c r="J1862" s="256">
        <v>36906</v>
      </c>
      <c r="K1862" s="614">
        <f t="shared" ref="K1862:K1891" si="153">ROUND(I1862*J1862,0)</f>
        <v>3173916</v>
      </c>
      <c r="L1862" s="52" t="s">
        <v>157</v>
      </c>
      <c r="M1862" s="52" t="s">
        <v>151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94"/>
    </row>
    <row r="1863" spans="1:30" ht="15.75" customHeight="1">
      <c r="A1863" s="204" t="str">
        <f>IF(B1863&lt;&gt;"",IF(AND(B1863&gt;=_TM1,B1863&lt;=_TM2,OR(TH!L1863="1111",TH!M1863="1111")),TH!D1863,""),"")</f>
        <v/>
      </c>
      <c r="B1863" s="36">
        <f t="shared" si="151"/>
        <v>10</v>
      </c>
      <c r="C1863" s="860">
        <f t="shared" si="152"/>
        <v>40836</v>
      </c>
      <c r="D1863" s="860" t="s">
        <v>1098</v>
      </c>
      <c r="E1863" s="37">
        <v>40836</v>
      </c>
      <c r="F1863" s="40" t="s">
        <v>593</v>
      </c>
      <c r="G1863" s="40"/>
      <c r="H1863" s="628" t="s">
        <v>1092</v>
      </c>
      <c r="I1863" s="256">
        <v>326</v>
      </c>
      <c r="J1863" s="256">
        <v>23611.12883435583</v>
      </c>
      <c r="K1863" s="614">
        <f t="shared" si="153"/>
        <v>7697228</v>
      </c>
      <c r="L1863" s="52" t="s">
        <v>157</v>
      </c>
      <c r="M1863" s="52" t="s">
        <v>151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94"/>
    </row>
    <row r="1864" spans="1:30" ht="15.75" customHeight="1">
      <c r="A1864" s="204" t="str">
        <f>IF(B1864&lt;&gt;"",IF(AND(B1864&gt;=_TM1,B1864&lt;=_TM2,OR(TH!L1864="1111",TH!M1864="1111")),TH!D1864,""),"")</f>
        <v/>
      </c>
      <c r="B1864" s="712">
        <f t="shared" si="151"/>
        <v>10</v>
      </c>
      <c r="C1864" s="860">
        <f t="shared" si="152"/>
        <v>40836</v>
      </c>
      <c r="D1864" s="48" t="s">
        <v>1116</v>
      </c>
      <c r="E1864" s="48">
        <v>40836</v>
      </c>
      <c r="F1864" s="867" t="s">
        <v>1265</v>
      </c>
      <c r="G1864" s="49"/>
      <c r="H1864" s="868" t="s">
        <v>1092</v>
      </c>
      <c r="I1864" s="254">
        <v>150</v>
      </c>
      <c r="J1864" s="254">
        <v>7107.5015191787761</v>
      </c>
      <c r="K1864" s="716">
        <f t="shared" si="153"/>
        <v>1066125</v>
      </c>
      <c r="L1864" s="52" t="s">
        <v>159</v>
      </c>
      <c r="M1864" s="52" t="s">
        <v>157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94"/>
      <c r="AB1864" s="831"/>
      <c r="AC1864" s="831"/>
      <c r="AD1864" s="831"/>
    </row>
    <row r="1865" spans="1:30" ht="15.75" customHeight="1">
      <c r="A1865" s="204" t="str">
        <f>IF(B1865&lt;&gt;"",IF(AND(B1865&gt;=_TM1,B1865&lt;=_TM2,OR(TH!L1865="1111",TH!M1865="1111")),TH!D1865,""),"")</f>
        <v/>
      </c>
      <c r="B1865" s="712">
        <f t="shared" si="151"/>
        <v>10</v>
      </c>
      <c r="C1865" s="860">
        <f t="shared" si="152"/>
        <v>40836</v>
      </c>
      <c r="D1865" s="48" t="s">
        <v>1116</v>
      </c>
      <c r="E1865" s="48">
        <v>40836</v>
      </c>
      <c r="F1865" s="867" t="s">
        <v>1266</v>
      </c>
      <c r="G1865" s="49"/>
      <c r="H1865" s="868" t="s">
        <v>1092</v>
      </c>
      <c r="I1865" s="254">
        <v>200</v>
      </c>
      <c r="J1865" s="254">
        <v>10854.50318584544</v>
      </c>
      <c r="K1865" s="716">
        <f t="shared" si="153"/>
        <v>2170901</v>
      </c>
      <c r="L1865" s="52" t="s">
        <v>159</v>
      </c>
      <c r="M1865" s="52" t="s">
        <v>157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94"/>
      <c r="AB1865" s="831"/>
      <c r="AC1865" s="831"/>
      <c r="AD1865" s="831"/>
    </row>
    <row r="1866" spans="1:30" ht="15.75" customHeight="1">
      <c r="A1866" s="204" t="str">
        <f>IF(B1866&lt;&gt;"",IF(AND(B1866&gt;=_TM1,B1866&lt;=_TM2,OR(TH!L1866="1111",TH!M1866="1111")),TH!D1866,""),"")</f>
        <v/>
      </c>
      <c r="B1866" s="712">
        <f t="shared" si="151"/>
        <v>10</v>
      </c>
      <c r="C1866" s="860">
        <f t="shared" si="152"/>
        <v>40836</v>
      </c>
      <c r="D1866" s="48" t="s">
        <v>1116</v>
      </c>
      <c r="E1866" s="48">
        <v>40836</v>
      </c>
      <c r="F1866" s="867" t="s">
        <v>1259</v>
      </c>
      <c r="G1866" s="49"/>
      <c r="H1866" s="868" t="s">
        <v>1092</v>
      </c>
      <c r="I1866" s="254">
        <v>220</v>
      </c>
      <c r="J1866" s="254">
        <v>9657.5945494818079</v>
      </c>
      <c r="K1866" s="716">
        <f t="shared" si="153"/>
        <v>2124671</v>
      </c>
      <c r="L1866" s="52" t="s">
        <v>159</v>
      </c>
      <c r="M1866" s="52" t="s">
        <v>157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94"/>
      <c r="AB1866" s="831"/>
      <c r="AC1866" s="831"/>
      <c r="AD1866" s="831"/>
    </row>
    <row r="1867" spans="1:30" ht="15.75" customHeight="1">
      <c r="A1867" s="204" t="str">
        <f>IF(B1867&lt;&gt;"",IF(AND(B1867&gt;=_TM1,B1867&lt;=_TM2,OR(TH!L1867="1111",TH!M1867="1111")),TH!D1867,""),"")</f>
        <v/>
      </c>
      <c r="B1867" s="712">
        <f t="shared" si="151"/>
        <v>10</v>
      </c>
      <c r="C1867" s="860">
        <f t="shared" si="152"/>
        <v>40836</v>
      </c>
      <c r="D1867" s="48" t="s">
        <v>1116</v>
      </c>
      <c r="E1867" s="48">
        <v>40836</v>
      </c>
      <c r="F1867" s="867" t="s">
        <v>1258</v>
      </c>
      <c r="G1867" s="49"/>
      <c r="H1867" s="868" t="s">
        <v>1092</v>
      </c>
      <c r="I1867" s="254">
        <v>180</v>
      </c>
      <c r="J1867" s="254">
        <v>7430.5026302898868</v>
      </c>
      <c r="K1867" s="716">
        <f t="shared" si="153"/>
        <v>1337490</v>
      </c>
      <c r="L1867" s="52" t="s">
        <v>159</v>
      </c>
      <c r="M1867" s="52" t="s">
        <v>157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94"/>
      <c r="AB1867" s="831"/>
      <c r="AC1867" s="831"/>
      <c r="AD1867" s="831"/>
    </row>
    <row r="1868" spans="1:30" ht="15.75" customHeight="1">
      <c r="A1868" s="204" t="str">
        <f>IF(B1868&lt;&gt;"",IF(AND(B1868&gt;=_TM1,B1868&lt;=_TM2,OR(TH!L1868="1111",TH!M1868="1111")),TH!D1868,""),"")</f>
        <v/>
      </c>
      <c r="B1868" s="712">
        <f t="shared" si="151"/>
        <v>10</v>
      </c>
      <c r="C1868" s="860">
        <f t="shared" si="152"/>
        <v>40836</v>
      </c>
      <c r="D1868" s="48" t="s">
        <v>1116</v>
      </c>
      <c r="E1868" s="48">
        <v>40836</v>
      </c>
      <c r="F1868" s="867" t="s">
        <v>1260</v>
      </c>
      <c r="G1868" s="49"/>
      <c r="H1868" s="868" t="s">
        <v>1092</v>
      </c>
      <c r="I1868" s="254">
        <v>297</v>
      </c>
      <c r="J1868" s="254">
        <v>11136.484616821876</v>
      </c>
      <c r="K1868" s="716">
        <f t="shared" si="153"/>
        <v>3307536</v>
      </c>
      <c r="L1868" s="52" t="s">
        <v>159</v>
      </c>
      <c r="M1868" s="52" t="s">
        <v>157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94"/>
      <c r="AB1868" s="831"/>
      <c r="AC1868" s="831"/>
      <c r="AD1868" s="831"/>
    </row>
    <row r="1869" spans="1:30" ht="15.75" customHeight="1">
      <c r="A1869" s="204" t="str">
        <f>IF(B1869&lt;&gt;"",IF(AND(B1869&gt;=_TM1,B1869&lt;=_TM2,OR(TH!L1869="1111",TH!M1869="1111")),TH!D1869,""),"")</f>
        <v/>
      </c>
      <c r="B1869" s="712">
        <f t="shared" si="151"/>
        <v>10</v>
      </c>
      <c r="C1869" s="860">
        <f t="shared" si="152"/>
        <v>40836</v>
      </c>
      <c r="D1869" s="48" t="s">
        <v>1116</v>
      </c>
      <c r="E1869" s="48">
        <v>40836</v>
      </c>
      <c r="F1869" s="867" t="s">
        <v>1264</v>
      </c>
      <c r="G1869" s="49"/>
      <c r="H1869" s="868" t="s">
        <v>1092</v>
      </c>
      <c r="I1869" s="254">
        <v>320</v>
      </c>
      <c r="J1869" s="254">
        <v>11216.317560845442</v>
      </c>
      <c r="K1869" s="716">
        <f t="shared" si="153"/>
        <v>3589222</v>
      </c>
      <c r="L1869" s="52" t="s">
        <v>159</v>
      </c>
      <c r="M1869" s="52" t="s">
        <v>157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94"/>
      <c r="AB1869" s="831"/>
      <c r="AC1869" s="831"/>
      <c r="AD1869" s="831"/>
    </row>
    <row r="1870" spans="1:30" ht="15.75" customHeight="1">
      <c r="A1870" s="204" t="str">
        <f>IF(B1870&lt;&gt;"",IF(AND(B1870&gt;=_TM1,B1870&lt;=_TM2,OR(TH!L1870="1111",TH!M1870="1111")),TH!D1870,""),"")</f>
        <v/>
      </c>
      <c r="B1870" s="712">
        <f t="shared" si="151"/>
        <v>10</v>
      </c>
      <c r="C1870" s="860">
        <f t="shared" si="152"/>
        <v>40836</v>
      </c>
      <c r="D1870" s="48" t="s">
        <v>1116</v>
      </c>
      <c r="E1870" s="48">
        <v>40836</v>
      </c>
      <c r="F1870" s="867" t="s">
        <v>1261</v>
      </c>
      <c r="G1870" s="49"/>
      <c r="H1870" s="868" t="s">
        <v>1092</v>
      </c>
      <c r="I1870" s="254">
        <v>150</v>
      </c>
      <c r="J1870" s="254">
        <v>15701.494852512109</v>
      </c>
      <c r="K1870" s="716">
        <f t="shared" si="153"/>
        <v>2355224</v>
      </c>
      <c r="L1870" s="52" t="s">
        <v>159</v>
      </c>
      <c r="M1870" s="52" t="s">
        <v>157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94"/>
      <c r="AB1870" s="831"/>
      <c r="AC1870" s="831"/>
      <c r="AD1870" s="831"/>
    </row>
    <row r="1871" spans="1:30" ht="15.75" customHeight="1">
      <c r="A1871" s="204" t="str">
        <f>IF(B1871&lt;&gt;"",IF(AND(B1871&gt;=_TM1,B1871&lt;=_TM2,OR(TH!L1871="1111",TH!M1871="1111")),TH!D1871,""),"")</f>
        <v/>
      </c>
      <c r="B1871" s="712">
        <f t="shared" si="151"/>
        <v>10</v>
      </c>
      <c r="C1871" s="860">
        <f t="shared" si="152"/>
        <v>40836</v>
      </c>
      <c r="D1871" s="48" t="s">
        <v>1116</v>
      </c>
      <c r="E1871" s="48">
        <v>40836</v>
      </c>
      <c r="F1871" s="867" t="s">
        <v>1267</v>
      </c>
      <c r="G1871" s="49"/>
      <c r="H1871" s="868" t="s">
        <v>1092</v>
      </c>
      <c r="I1871" s="254">
        <v>270</v>
      </c>
      <c r="J1871" s="254">
        <v>10759.430408067663</v>
      </c>
      <c r="K1871" s="716">
        <f t="shared" si="153"/>
        <v>2905046</v>
      </c>
      <c r="L1871" s="52" t="s">
        <v>159</v>
      </c>
      <c r="M1871" s="52" t="s">
        <v>157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94"/>
      <c r="AB1871" s="831"/>
      <c r="AC1871" s="831"/>
      <c r="AD1871" s="831"/>
    </row>
    <row r="1872" spans="1:30" ht="15.75" customHeight="1">
      <c r="A1872" s="204" t="str">
        <f>IF(B1872&lt;&gt;"",IF(AND(B1872&gt;=_TM1,B1872&lt;=_TM2,OR(TH!L1872="1111",TH!M1872="1111")),TH!D1872,""),"")</f>
        <v/>
      </c>
      <c r="B1872" s="712">
        <f t="shared" si="151"/>
        <v>10</v>
      </c>
      <c r="C1872" s="860">
        <f t="shared" si="152"/>
        <v>40836</v>
      </c>
      <c r="D1872" s="48" t="s">
        <v>1117</v>
      </c>
      <c r="E1872" s="48">
        <v>40836</v>
      </c>
      <c r="F1872" s="867" t="s">
        <v>748</v>
      </c>
      <c r="G1872" s="49"/>
      <c r="H1872" s="868" t="s">
        <v>1092</v>
      </c>
      <c r="I1872" s="254">
        <v>190</v>
      </c>
      <c r="J1872" s="254">
        <v>7168.6502911086</v>
      </c>
      <c r="K1872" s="716">
        <f t="shared" si="153"/>
        <v>1362044</v>
      </c>
      <c r="L1872" s="52" t="s">
        <v>159</v>
      </c>
      <c r="M1872" s="52" t="s">
        <v>157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94"/>
      <c r="AB1872" s="831"/>
      <c r="AC1872" s="831"/>
      <c r="AD1872" s="831"/>
    </row>
    <row r="1873" spans="1:30" ht="15.75" customHeight="1">
      <c r="A1873" s="204" t="str">
        <f>IF(B1873&lt;&gt;"",IF(AND(B1873&gt;=_TM1,B1873&lt;=_TM2,OR(TH!L1873="1111",TH!M1873="1111")),TH!D1873,""),"")</f>
        <v/>
      </c>
      <c r="B1873" s="712">
        <f t="shared" si="151"/>
        <v>10</v>
      </c>
      <c r="C1873" s="860">
        <f t="shared" si="152"/>
        <v>40836</v>
      </c>
      <c r="D1873" s="48" t="s">
        <v>1117</v>
      </c>
      <c r="E1873" s="48">
        <v>40836</v>
      </c>
      <c r="F1873" s="867" t="s">
        <v>746</v>
      </c>
      <c r="G1873" s="49"/>
      <c r="H1873" s="868" t="s">
        <v>1092</v>
      </c>
      <c r="I1873" s="254">
        <v>320</v>
      </c>
      <c r="J1873" s="254">
        <v>7125.6581858454429</v>
      </c>
      <c r="K1873" s="716">
        <f t="shared" si="153"/>
        <v>2280211</v>
      </c>
      <c r="L1873" s="52" t="s">
        <v>159</v>
      </c>
      <c r="M1873" s="52" t="s">
        <v>157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94"/>
      <c r="AB1873" s="831"/>
      <c r="AC1873" s="831"/>
      <c r="AD1873" s="831"/>
    </row>
    <row r="1874" spans="1:30" ht="15.75" customHeight="1">
      <c r="A1874" s="204" t="str">
        <f>IF(B1874&lt;&gt;"",IF(AND(B1874&gt;=_TM1,B1874&lt;=_TM2,OR(TH!L1874="1111",TH!M1874="1111")),TH!D1874,""),"")</f>
        <v/>
      </c>
      <c r="B1874" s="712">
        <f t="shared" si="151"/>
        <v>10</v>
      </c>
      <c r="C1874" s="860">
        <f t="shared" si="152"/>
        <v>40836</v>
      </c>
      <c r="D1874" s="48" t="s">
        <v>1117</v>
      </c>
      <c r="E1874" s="48">
        <v>40836</v>
      </c>
      <c r="F1874" s="867" t="s">
        <v>755</v>
      </c>
      <c r="G1874" s="49"/>
      <c r="H1874" s="868" t="s">
        <v>1092</v>
      </c>
      <c r="I1874" s="254">
        <v>300</v>
      </c>
      <c r="J1874" s="254">
        <v>9389.7048525121081</v>
      </c>
      <c r="K1874" s="716">
        <f t="shared" si="153"/>
        <v>2816911</v>
      </c>
      <c r="L1874" s="52" t="s">
        <v>159</v>
      </c>
      <c r="M1874" s="52" t="s">
        <v>157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94"/>
      <c r="AB1874" s="831"/>
      <c r="AC1874" s="831"/>
      <c r="AD1874" s="831"/>
    </row>
    <row r="1875" spans="1:30" ht="15.75" customHeight="1">
      <c r="A1875" s="204" t="str">
        <f>IF(B1875&lt;&gt;"",IF(AND(B1875&gt;=_TM1,B1875&lt;=_TM2,OR(TH!L1875="1111",TH!M1875="1111")),TH!D1875,""),"")</f>
        <v/>
      </c>
      <c r="B1875" s="712">
        <f t="shared" si="151"/>
        <v>10</v>
      </c>
      <c r="C1875" s="860">
        <f t="shared" si="152"/>
        <v>40836</v>
      </c>
      <c r="D1875" s="48" t="s">
        <v>1117</v>
      </c>
      <c r="E1875" s="48">
        <v>40836</v>
      </c>
      <c r="F1875" s="867" t="s">
        <v>750</v>
      </c>
      <c r="G1875" s="49"/>
      <c r="H1875" s="868" t="s">
        <v>1092</v>
      </c>
      <c r="I1875" s="254">
        <v>350</v>
      </c>
      <c r="J1875" s="254">
        <v>11395.865328702588</v>
      </c>
      <c r="K1875" s="716">
        <f t="shared" si="153"/>
        <v>3988553</v>
      </c>
      <c r="L1875" s="52" t="s">
        <v>159</v>
      </c>
      <c r="M1875" s="52" t="s">
        <v>157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94"/>
      <c r="AB1875" s="831"/>
      <c r="AC1875" s="831"/>
      <c r="AD1875" s="831"/>
    </row>
    <row r="1876" spans="1:30" ht="15.75" customHeight="1">
      <c r="A1876" s="204" t="str">
        <f>IF(B1876&lt;&gt;"",IF(AND(B1876&gt;=_TM1,B1876&lt;=_TM2,OR(TH!L1876="1111",TH!M1876="1111")),TH!D1876,""),"")</f>
        <v/>
      </c>
      <c r="B1876" s="712">
        <f t="shared" si="151"/>
        <v>10</v>
      </c>
      <c r="C1876" s="860">
        <f t="shared" si="152"/>
        <v>40836</v>
      </c>
      <c r="D1876" s="48" t="s">
        <v>1117</v>
      </c>
      <c r="E1876" s="48">
        <v>40836</v>
      </c>
      <c r="F1876" s="867" t="s">
        <v>1262</v>
      </c>
      <c r="G1876" s="49"/>
      <c r="H1876" s="868" t="s">
        <v>1092</v>
      </c>
      <c r="I1876" s="254">
        <v>290</v>
      </c>
      <c r="J1876" s="254">
        <v>11153.042668604065</v>
      </c>
      <c r="K1876" s="716">
        <f t="shared" si="153"/>
        <v>3234382</v>
      </c>
      <c r="L1876" s="52" t="s">
        <v>159</v>
      </c>
      <c r="M1876" s="52" t="s">
        <v>157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94"/>
      <c r="AB1876" s="831"/>
      <c r="AC1876" s="831"/>
      <c r="AD1876" s="831"/>
    </row>
    <row r="1877" spans="1:30" ht="15.75" customHeight="1">
      <c r="A1877" s="204" t="str">
        <f>IF(B1877&lt;&gt;"",IF(AND(B1877&gt;=_TM1,B1877&lt;=_TM2,OR(TH!L1877="1111",TH!M1877="1111")),TH!D1877,""),"")</f>
        <v/>
      </c>
      <c r="B1877" s="712">
        <f t="shared" si="151"/>
        <v>10</v>
      </c>
      <c r="C1877" s="860">
        <f t="shared" si="152"/>
        <v>40836</v>
      </c>
      <c r="D1877" s="48" t="s">
        <v>1117</v>
      </c>
      <c r="E1877" s="48">
        <v>40836</v>
      </c>
      <c r="F1877" s="867" t="s">
        <v>1268</v>
      </c>
      <c r="G1877" s="49"/>
      <c r="H1877" s="868" t="s">
        <v>1092</v>
      </c>
      <c r="I1877" s="254">
        <v>130</v>
      </c>
      <c r="J1877" s="254">
        <v>15454.500493537751</v>
      </c>
      <c r="K1877" s="716">
        <f t="shared" si="153"/>
        <v>2009085</v>
      </c>
      <c r="L1877" s="52" t="s">
        <v>159</v>
      </c>
      <c r="M1877" s="52" t="s">
        <v>157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94"/>
      <c r="AB1877" s="831"/>
      <c r="AC1877" s="831"/>
      <c r="AD1877" s="831"/>
    </row>
    <row r="1878" spans="1:30" ht="15.75" customHeight="1">
      <c r="A1878" s="204" t="str">
        <f>IF(B1878&lt;&gt;"",IF(AND(B1878&gt;=_TM1,B1878&lt;=_TM2,OR(TH!L1878="1111",TH!M1878="1111")),TH!D1878,""),"")</f>
        <v/>
      </c>
      <c r="B1878" s="36">
        <f t="shared" si="151"/>
        <v>10</v>
      </c>
      <c r="C1878" s="860">
        <f t="shared" si="152"/>
        <v>40836</v>
      </c>
      <c r="D1878" s="48" t="s">
        <v>960</v>
      </c>
      <c r="E1878" s="37">
        <v>40836</v>
      </c>
      <c r="F1878" s="192" t="s">
        <v>1265</v>
      </c>
      <c r="G1878" s="498" t="s">
        <v>1239</v>
      </c>
      <c r="H1878" s="193" t="s">
        <v>733</v>
      </c>
      <c r="I1878" s="256">
        <v>150</v>
      </c>
      <c r="J1878" s="256">
        <v>7107.5015191787761</v>
      </c>
      <c r="K1878" s="614">
        <f t="shared" si="153"/>
        <v>1066125</v>
      </c>
      <c r="L1878" s="52" t="s">
        <v>165</v>
      </c>
      <c r="M1878" s="52" t="s">
        <v>159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94"/>
    </row>
    <row r="1879" spans="1:30" ht="15.75" customHeight="1">
      <c r="A1879" s="204" t="str">
        <f>IF(B1879&lt;&gt;"",IF(AND(B1879&gt;=_TM1,B1879&lt;=_TM2,OR(TH!L1879="1111",TH!M1879="1111")),TH!D1879,""),"")</f>
        <v/>
      </c>
      <c r="B1879" s="36">
        <f t="shared" si="151"/>
        <v>10</v>
      </c>
      <c r="C1879" s="860">
        <f t="shared" si="152"/>
        <v>40836</v>
      </c>
      <c r="D1879" s="48" t="s">
        <v>960</v>
      </c>
      <c r="E1879" s="37">
        <v>40836</v>
      </c>
      <c r="F1879" s="192" t="s">
        <v>1266</v>
      </c>
      <c r="G1879" s="498" t="s">
        <v>1239</v>
      </c>
      <c r="H1879" s="193" t="s">
        <v>733</v>
      </c>
      <c r="I1879" s="256">
        <v>200</v>
      </c>
      <c r="J1879" s="256">
        <v>10854.50318584544</v>
      </c>
      <c r="K1879" s="614">
        <f t="shared" si="153"/>
        <v>2170901</v>
      </c>
      <c r="L1879" s="52" t="s">
        <v>165</v>
      </c>
      <c r="M1879" s="52" t="s">
        <v>159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94"/>
    </row>
    <row r="1880" spans="1:30" ht="15.75" customHeight="1">
      <c r="A1880" s="204" t="str">
        <f>IF(B1880&lt;&gt;"",IF(AND(B1880&gt;=_TM1,B1880&lt;=_TM2,OR(TH!L1880="1111",TH!M1880="1111")),TH!D1880,""),"")</f>
        <v/>
      </c>
      <c r="B1880" s="36">
        <f t="shared" si="151"/>
        <v>10</v>
      </c>
      <c r="C1880" s="860">
        <f t="shared" si="152"/>
        <v>40836</v>
      </c>
      <c r="D1880" s="48" t="s">
        <v>960</v>
      </c>
      <c r="E1880" s="37">
        <v>40836</v>
      </c>
      <c r="F1880" s="192" t="s">
        <v>1259</v>
      </c>
      <c r="G1880" s="498" t="s">
        <v>1239</v>
      </c>
      <c r="H1880" s="193" t="s">
        <v>733</v>
      </c>
      <c r="I1880" s="256">
        <v>220</v>
      </c>
      <c r="J1880" s="256">
        <v>9657.5945494818079</v>
      </c>
      <c r="K1880" s="614">
        <f t="shared" si="153"/>
        <v>2124671</v>
      </c>
      <c r="L1880" s="52" t="s">
        <v>165</v>
      </c>
      <c r="M1880" s="52" t="s">
        <v>159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94"/>
    </row>
    <row r="1881" spans="1:30" ht="15.75" customHeight="1">
      <c r="A1881" s="204" t="str">
        <f>IF(B1881&lt;&gt;"",IF(AND(B1881&gt;=_TM1,B1881&lt;=_TM2,OR(TH!L1881="1111",TH!M1881="1111")),TH!D1881,""),"")</f>
        <v/>
      </c>
      <c r="B1881" s="36">
        <f t="shared" ref="B1881:B1944" si="154">IF(C1881&lt;&gt;"",MONTH(C1881),"")</f>
        <v>10</v>
      </c>
      <c r="C1881" s="860">
        <f t="shared" si="152"/>
        <v>40836</v>
      </c>
      <c r="D1881" s="48" t="s">
        <v>960</v>
      </c>
      <c r="E1881" s="37">
        <v>40836</v>
      </c>
      <c r="F1881" s="192" t="s">
        <v>1258</v>
      </c>
      <c r="G1881" s="498" t="s">
        <v>1239</v>
      </c>
      <c r="H1881" s="193" t="s">
        <v>733</v>
      </c>
      <c r="I1881" s="256">
        <v>180</v>
      </c>
      <c r="J1881" s="256">
        <v>7430.5026302898868</v>
      </c>
      <c r="K1881" s="614">
        <f t="shared" si="153"/>
        <v>1337490</v>
      </c>
      <c r="L1881" s="52" t="s">
        <v>165</v>
      </c>
      <c r="M1881" s="52" t="s">
        <v>159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94"/>
    </row>
    <row r="1882" spans="1:30" ht="15.75" customHeight="1">
      <c r="A1882" s="204" t="str">
        <f>IF(B1882&lt;&gt;"",IF(AND(B1882&gt;=_TM1,B1882&lt;=_TM2,OR(TH!L1882="1111",TH!M1882="1111")),TH!D1882,""),"")</f>
        <v/>
      </c>
      <c r="B1882" s="36">
        <f t="shared" si="154"/>
        <v>10</v>
      </c>
      <c r="C1882" s="860">
        <f t="shared" si="152"/>
        <v>40836</v>
      </c>
      <c r="D1882" s="48" t="s">
        <v>960</v>
      </c>
      <c r="E1882" s="37">
        <v>40836</v>
      </c>
      <c r="F1882" s="192" t="s">
        <v>1260</v>
      </c>
      <c r="G1882" s="498" t="s">
        <v>1239</v>
      </c>
      <c r="H1882" s="193" t="s">
        <v>733</v>
      </c>
      <c r="I1882" s="256">
        <v>297</v>
      </c>
      <c r="J1882" s="256">
        <v>11136.484616821876</v>
      </c>
      <c r="K1882" s="614">
        <f t="shared" si="153"/>
        <v>3307536</v>
      </c>
      <c r="L1882" s="52" t="s">
        <v>165</v>
      </c>
      <c r="M1882" s="52" t="s">
        <v>159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94"/>
    </row>
    <row r="1883" spans="1:30" ht="15.75" customHeight="1">
      <c r="A1883" s="204" t="str">
        <f>IF(B1883&lt;&gt;"",IF(AND(B1883&gt;=_TM1,B1883&lt;=_TM2,OR(TH!L1883="1111",TH!M1883="1111")),TH!D1883,""),"")</f>
        <v/>
      </c>
      <c r="B1883" s="36">
        <f t="shared" si="154"/>
        <v>10</v>
      </c>
      <c r="C1883" s="860">
        <f t="shared" si="152"/>
        <v>40836</v>
      </c>
      <c r="D1883" s="48" t="s">
        <v>960</v>
      </c>
      <c r="E1883" s="37">
        <v>40836</v>
      </c>
      <c r="F1883" s="192" t="s">
        <v>1264</v>
      </c>
      <c r="G1883" s="498" t="s">
        <v>1239</v>
      </c>
      <c r="H1883" s="193" t="s">
        <v>733</v>
      </c>
      <c r="I1883" s="256">
        <v>320</v>
      </c>
      <c r="J1883" s="256">
        <v>11216.317560845442</v>
      </c>
      <c r="K1883" s="614">
        <f t="shared" si="153"/>
        <v>3589222</v>
      </c>
      <c r="L1883" s="52" t="s">
        <v>165</v>
      </c>
      <c r="M1883" s="52" t="s">
        <v>159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94"/>
    </row>
    <row r="1884" spans="1:30" ht="15.75" customHeight="1">
      <c r="A1884" s="204" t="str">
        <f>IF(B1884&lt;&gt;"",IF(AND(B1884&gt;=_TM1,B1884&lt;=_TM2,OR(TH!L1884="1111",TH!M1884="1111")),TH!D1884,""),"")</f>
        <v/>
      </c>
      <c r="B1884" s="36">
        <f t="shared" si="154"/>
        <v>10</v>
      </c>
      <c r="C1884" s="860">
        <f t="shared" si="152"/>
        <v>40836</v>
      </c>
      <c r="D1884" s="48" t="s">
        <v>960</v>
      </c>
      <c r="E1884" s="37">
        <v>40836</v>
      </c>
      <c r="F1884" s="192" t="s">
        <v>1261</v>
      </c>
      <c r="G1884" s="498" t="s">
        <v>1239</v>
      </c>
      <c r="H1884" s="193" t="s">
        <v>733</v>
      </c>
      <c r="I1884" s="256">
        <v>150</v>
      </c>
      <c r="J1884" s="256">
        <v>15701.494852512109</v>
      </c>
      <c r="K1884" s="614">
        <f t="shared" si="153"/>
        <v>2355224</v>
      </c>
      <c r="L1884" s="52" t="s">
        <v>165</v>
      </c>
      <c r="M1884" s="52" t="s">
        <v>159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94"/>
    </row>
    <row r="1885" spans="1:30" ht="15.75" customHeight="1">
      <c r="A1885" s="204" t="str">
        <f>IF(B1885&lt;&gt;"",IF(AND(B1885&gt;=_TM1,B1885&lt;=_TM2,OR(TH!L1885="1111",TH!M1885="1111")),TH!D1885,""),"")</f>
        <v/>
      </c>
      <c r="B1885" s="36">
        <f t="shared" si="154"/>
        <v>10</v>
      </c>
      <c r="C1885" s="860">
        <f t="shared" si="152"/>
        <v>40836</v>
      </c>
      <c r="D1885" s="48" t="s">
        <v>960</v>
      </c>
      <c r="E1885" s="37">
        <v>40836</v>
      </c>
      <c r="F1885" s="192" t="s">
        <v>1267</v>
      </c>
      <c r="G1885" s="498" t="s">
        <v>1239</v>
      </c>
      <c r="H1885" s="193" t="s">
        <v>733</v>
      </c>
      <c r="I1885" s="256">
        <v>270</v>
      </c>
      <c r="J1885" s="256">
        <v>10759.430408067663</v>
      </c>
      <c r="K1885" s="614">
        <f t="shared" si="153"/>
        <v>2905046</v>
      </c>
      <c r="L1885" s="52" t="s">
        <v>165</v>
      </c>
      <c r="M1885" s="52" t="s">
        <v>159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94"/>
    </row>
    <row r="1886" spans="1:30" ht="15.75" customHeight="1">
      <c r="A1886" s="204" t="str">
        <f>IF(B1886&lt;&gt;"",IF(AND(B1886&gt;=_TM1,B1886&lt;=_TM2,OR(TH!L1886="1111",TH!M1886="1111")),TH!D1886,""),"")</f>
        <v/>
      </c>
      <c r="B1886" s="36">
        <f t="shared" si="154"/>
        <v>10</v>
      </c>
      <c r="C1886" s="860">
        <f t="shared" si="152"/>
        <v>40836</v>
      </c>
      <c r="D1886" s="48" t="s">
        <v>960</v>
      </c>
      <c r="E1886" s="37">
        <v>40836</v>
      </c>
      <c r="F1886" s="192" t="s">
        <v>748</v>
      </c>
      <c r="G1886" s="498" t="s">
        <v>1239</v>
      </c>
      <c r="H1886" s="193" t="s">
        <v>733</v>
      </c>
      <c r="I1886" s="256">
        <v>190</v>
      </c>
      <c r="J1886" s="256">
        <v>7168.6502911086</v>
      </c>
      <c r="K1886" s="614">
        <f t="shared" si="153"/>
        <v>1362044</v>
      </c>
      <c r="L1886" s="52" t="s">
        <v>165</v>
      </c>
      <c r="M1886" s="52" t="s">
        <v>159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94"/>
    </row>
    <row r="1887" spans="1:30" ht="15.75" customHeight="1">
      <c r="A1887" s="204" t="str">
        <f>IF(B1887&lt;&gt;"",IF(AND(B1887&gt;=_TM1,B1887&lt;=_TM2,OR(TH!L1887="1111",TH!M1887="1111")),TH!D1887,""),"")</f>
        <v/>
      </c>
      <c r="B1887" s="36">
        <f t="shared" si="154"/>
        <v>10</v>
      </c>
      <c r="C1887" s="860">
        <f t="shared" si="152"/>
        <v>40836</v>
      </c>
      <c r="D1887" s="48" t="s">
        <v>960</v>
      </c>
      <c r="E1887" s="37">
        <v>40836</v>
      </c>
      <c r="F1887" s="192" t="s">
        <v>746</v>
      </c>
      <c r="G1887" s="498" t="s">
        <v>1239</v>
      </c>
      <c r="H1887" s="193" t="s">
        <v>733</v>
      </c>
      <c r="I1887" s="256">
        <v>320</v>
      </c>
      <c r="J1887" s="256">
        <v>7125.6581858454429</v>
      </c>
      <c r="K1887" s="614">
        <f t="shared" si="153"/>
        <v>2280211</v>
      </c>
      <c r="L1887" s="52" t="s">
        <v>165</v>
      </c>
      <c r="M1887" s="52" t="s">
        <v>159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94"/>
    </row>
    <row r="1888" spans="1:30" ht="15.75" customHeight="1">
      <c r="A1888" s="204" t="str">
        <f>IF(B1888&lt;&gt;"",IF(AND(B1888&gt;=_TM1,B1888&lt;=_TM2,OR(TH!L1888="1111",TH!M1888="1111")),TH!D1888,""),"")</f>
        <v/>
      </c>
      <c r="B1888" s="36">
        <f t="shared" si="154"/>
        <v>10</v>
      </c>
      <c r="C1888" s="860">
        <f t="shared" si="152"/>
        <v>40836</v>
      </c>
      <c r="D1888" s="48" t="s">
        <v>960</v>
      </c>
      <c r="E1888" s="37">
        <v>40836</v>
      </c>
      <c r="F1888" s="192" t="s">
        <v>755</v>
      </c>
      <c r="G1888" s="498" t="s">
        <v>1239</v>
      </c>
      <c r="H1888" s="193" t="s">
        <v>733</v>
      </c>
      <c r="I1888" s="256">
        <v>300</v>
      </c>
      <c r="J1888" s="256">
        <v>9389.7048525121081</v>
      </c>
      <c r="K1888" s="614">
        <f t="shared" si="153"/>
        <v>2816911</v>
      </c>
      <c r="L1888" s="52" t="s">
        <v>165</v>
      </c>
      <c r="M1888" s="52" t="s">
        <v>159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94"/>
    </row>
    <row r="1889" spans="1:30" ht="15.75" customHeight="1">
      <c r="A1889" s="204" t="str">
        <f>IF(B1889&lt;&gt;"",IF(AND(B1889&gt;=_TM1,B1889&lt;=_TM2,OR(TH!L1889="1111",TH!M1889="1111")),TH!D1889,""),"")</f>
        <v/>
      </c>
      <c r="B1889" s="36">
        <f t="shared" si="154"/>
        <v>10</v>
      </c>
      <c r="C1889" s="860">
        <f t="shared" si="152"/>
        <v>40836</v>
      </c>
      <c r="D1889" s="48" t="s">
        <v>960</v>
      </c>
      <c r="E1889" s="37">
        <v>40836</v>
      </c>
      <c r="F1889" s="192" t="s">
        <v>750</v>
      </c>
      <c r="G1889" s="498" t="s">
        <v>1239</v>
      </c>
      <c r="H1889" s="193" t="s">
        <v>733</v>
      </c>
      <c r="I1889" s="256">
        <v>350</v>
      </c>
      <c r="J1889" s="256">
        <v>11395.865328702588</v>
      </c>
      <c r="K1889" s="614">
        <f t="shared" si="153"/>
        <v>3988553</v>
      </c>
      <c r="L1889" s="52" t="s">
        <v>165</v>
      </c>
      <c r="M1889" s="52" t="s">
        <v>159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94"/>
    </row>
    <row r="1890" spans="1:30" ht="15.75" customHeight="1">
      <c r="A1890" s="204" t="str">
        <f>IF(B1890&lt;&gt;"",IF(AND(B1890&gt;=_TM1,B1890&lt;=_TM2,OR(TH!L1890="1111",TH!M1890="1111")),TH!D1890,""),"")</f>
        <v/>
      </c>
      <c r="B1890" s="36">
        <f t="shared" si="154"/>
        <v>10</v>
      </c>
      <c r="C1890" s="860">
        <f t="shared" si="152"/>
        <v>40836</v>
      </c>
      <c r="D1890" s="48" t="s">
        <v>960</v>
      </c>
      <c r="E1890" s="37">
        <v>40836</v>
      </c>
      <c r="F1890" s="192" t="s">
        <v>1262</v>
      </c>
      <c r="G1890" s="498" t="s">
        <v>1239</v>
      </c>
      <c r="H1890" s="193" t="s">
        <v>733</v>
      </c>
      <c r="I1890" s="256">
        <v>290</v>
      </c>
      <c r="J1890" s="256">
        <v>11153.042668604065</v>
      </c>
      <c r="K1890" s="614">
        <f t="shared" si="153"/>
        <v>3234382</v>
      </c>
      <c r="L1890" s="52" t="s">
        <v>165</v>
      </c>
      <c r="M1890" s="52" t="s">
        <v>159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94"/>
    </row>
    <row r="1891" spans="1:30" ht="15.75" customHeight="1">
      <c r="A1891" s="204" t="str">
        <f>IF(B1891&lt;&gt;"",IF(AND(B1891&gt;=_TM1,B1891&lt;=_TM2,OR(TH!L1891="1111",TH!M1891="1111")),TH!D1891,""),"")</f>
        <v/>
      </c>
      <c r="B1891" s="36">
        <f t="shared" si="154"/>
        <v>10</v>
      </c>
      <c r="C1891" s="860">
        <f t="shared" si="152"/>
        <v>40836</v>
      </c>
      <c r="D1891" s="48" t="s">
        <v>960</v>
      </c>
      <c r="E1891" s="37">
        <v>40836</v>
      </c>
      <c r="F1891" s="192" t="s">
        <v>1268</v>
      </c>
      <c r="G1891" s="498" t="s">
        <v>1239</v>
      </c>
      <c r="H1891" s="193" t="s">
        <v>733</v>
      </c>
      <c r="I1891" s="256">
        <v>130</v>
      </c>
      <c r="J1891" s="256">
        <v>15454.500493537751</v>
      </c>
      <c r="K1891" s="614">
        <f t="shared" si="153"/>
        <v>2009085</v>
      </c>
      <c r="L1891" s="52" t="s">
        <v>165</v>
      </c>
      <c r="M1891" s="52" t="s">
        <v>159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94"/>
    </row>
    <row r="1892" spans="1:30" ht="15.75" customHeight="1">
      <c r="A1892" s="204" t="str">
        <f>IF(B1892&lt;&gt;"",IF(AND(B1892&gt;=_TM1,B1892&lt;=_TM2,OR(TH!L1892="1111",TH!M1892="1111")),TH!D1892,""),"")</f>
        <v/>
      </c>
      <c r="B1892" s="712">
        <f t="shared" si="154"/>
        <v>10</v>
      </c>
      <c r="C1892" s="191">
        <v>40838</v>
      </c>
      <c r="D1892" s="191" t="s">
        <v>961</v>
      </c>
      <c r="E1892" s="191">
        <v>40838</v>
      </c>
      <c r="F1892" s="192" t="s">
        <v>746</v>
      </c>
      <c r="G1892" s="498" t="s">
        <v>1240</v>
      </c>
      <c r="H1892" s="193" t="s">
        <v>733</v>
      </c>
      <c r="I1892" s="256">
        <v>210</v>
      </c>
      <c r="J1892" s="256">
        <v>10595</v>
      </c>
      <c r="K1892" s="614">
        <v>2224950</v>
      </c>
      <c r="L1892" s="194" t="s">
        <v>259</v>
      </c>
      <c r="M1892" s="194" t="s">
        <v>167</v>
      </c>
      <c r="N1892" s="52" t="str">
        <f>IF(AND('331-CT'!$E$7=TH!H1892,OR(L1892="331",M1892="331")),"331",IF(AND(OR(L1892="131",M1892="131"),H1892='131-CT'!$E$7),"131",""))</f>
        <v>131</v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94"/>
      <c r="AB1892" s="831"/>
      <c r="AC1892" s="831"/>
      <c r="AD1892" s="831"/>
    </row>
    <row r="1893" spans="1:30" ht="15.75" customHeight="1">
      <c r="A1893" s="204" t="str">
        <f>IF(B1893&lt;&gt;"",IF(AND(B1893&gt;=_TM1,B1893&lt;=_TM2,OR(TH!L1893="1111",TH!M1893="1111")),TH!D1893,""),"")</f>
        <v/>
      </c>
      <c r="B1893" s="712">
        <f t="shared" si="154"/>
        <v>10</v>
      </c>
      <c r="C1893" s="191">
        <v>40838</v>
      </c>
      <c r="D1893" s="191" t="s">
        <v>961</v>
      </c>
      <c r="E1893" s="191">
        <v>40838</v>
      </c>
      <c r="F1893" s="192" t="s">
        <v>1269</v>
      </c>
      <c r="G1893" s="498" t="s">
        <v>1240</v>
      </c>
      <c r="H1893" s="193" t="s">
        <v>733</v>
      </c>
      <c r="I1893" s="256">
        <v>150</v>
      </c>
      <c r="J1893" s="256">
        <v>17966</v>
      </c>
      <c r="K1893" s="614">
        <v>2694900</v>
      </c>
      <c r="L1893" s="194" t="s">
        <v>259</v>
      </c>
      <c r="M1893" s="194" t="s">
        <v>167</v>
      </c>
      <c r="N1893" s="52" t="str">
        <f>IF(AND('331-CT'!$E$7=TH!H1893,OR(L1893="331",M1893="331")),"331",IF(AND(OR(L1893="131",M1893="131"),H1893='131-CT'!$E$7),"131",""))</f>
        <v>131</v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94"/>
      <c r="AB1893" s="831"/>
      <c r="AC1893" s="831"/>
      <c r="AD1893" s="831"/>
    </row>
    <row r="1894" spans="1:30" ht="15.75" customHeight="1">
      <c r="A1894" s="204" t="str">
        <f>IF(B1894&lt;&gt;"",IF(AND(B1894&gt;=_TM1,B1894&lt;=_TM2,OR(TH!L1894="1111",TH!M1894="1111")),TH!D1894,""),"")</f>
        <v/>
      </c>
      <c r="B1894" s="712">
        <f t="shared" si="154"/>
        <v>10</v>
      </c>
      <c r="C1894" s="191">
        <v>40838</v>
      </c>
      <c r="D1894" s="191" t="s">
        <v>961</v>
      </c>
      <c r="E1894" s="191">
        <v>40838</v>
      </c>
      <c r="F1894" s="192" t="s">
        <v>1270</v>
      </c>
      <c r="G1894" s="498" t="s">
        <v>1240</v>
      </c>
      <c r="H1894" s="193" t="s">
        <v>733</v>
      </c>
      <c r="I1894" s="256">
        <v>342</v>
      </c>
      <c r="J1894" s="256">
        <v>14535</v>
      </c>
      <c r="K1894" s="614">
        <v>4970970</v>
      </c>
      <c r="L1894" s="194" t="s">
        <v>259</v>
      </c>
      <c r="M1894" s="194" t="s">
        <v>167</v>
      </c>
      <c r="N1894" s="52" t="str">
        <f>IF(AND('331-CT'!$E$7=TH!H1894,OR(L1894="331",M1894="331")),"331",IF(AND(OR(L1894="131",M1894="131"),H1894='131-CT'!$E$7),"131",""))</f>
        <v>131</v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94"/>
      <c r="AB1894" s="831"/>
      <c r="AC1894" s="831"/>
      <c r="AD1894" s="831"/>
    </row>
    <row r="1895" spans="1:30" ht="15.75" customHeight="1">
      <c r="A1895" s="204" t="str">
        <f>IF(B1895&lt;&gt;"",IF(AND(B1895&gt;=_TM1,B1895&lt;=_TM2,OR(TH!L1895="1111",TH!M1895="1111")),TH!D1895,""),"")</f>
        <v/>
      </c>
      <c r="B1895" s="712">
        <f t="shared" si="154"/>
        <v>10</v>
      </c>
      <c r="C1895" s="191">
        <v>40838</v>
      </c>
      <c r="D1895" s="191" t="s">
        <v>961</v>
      </c>
      <c r="E1895" s="191">
        <v>40838</v>
      </c>
      <c r="F1895" s="192" t="s">
        <v>747</v>
      </c>
      <c r="G1895" s="498" t="s">
        <v>1240</v>
      </c>
      <c r="H1895" s="193" t="s">
        <v>733</v>
      </c>
      <c r="I1895" s="256">
        <v>150</v>
      </c>
      <c r="J1895" s="256">
        <v>11321</v>
      </c>
      <c r="K1895" s="614">
        <v>1698150</v>
      </c>
      <c r="L1895" s="194" t="s">
        <v>259</v>
      </c>
      <c r="M1895" s="194" t="s">
        <v>167</v>
      </c>
      <c r="N1895" s="52" t="str">
        <f>IF(AND('331-CT'!$E$7=TH!H1895,OR(L1895="331",M1895="331")),"331",IF(AND(OR(L1895="131",M1895="131"),H1895='131-CT'!$E$7),"131",""))</f>
        <v>131</v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94"/>
      <c r="AB1895" s="831"/>
      <c r="AC1895" s="831"/>
      <c r="AD1895" s="831"/>
    </row>
    <row r="1896" spans="1:30" ht="15.75" customHeight="1">
      <c r="A1896" s="204" t="str">
        <f>IF(B1896&lt;&gt;"",IF(AND(B1896&gt;=_TM1,B1896&lt;=_TM2,OR(TH!L1896="1111",TH!M1896="1111")),TH!D1896,""),"")</f>
        <v/>
      </c>
      <c r="B1896" s="712">
        <f t="shared" si="154"/>
        <v>10</v>
      </c>
      <c r="C1896" s="191">
        <v>40838</v>
      </c>
      <c r="D1896" s="191" t="s">
        <v>961</v>
      </c>
      <c r="E1896" s="191">
        <v>40838</v>
      </c>
      <c r="F1896" s="192" t="s">
        <v>1271</v>
      </c>
      <c r="G1896" s="498" t="s">
        <v>1240</v>
      </c>
      <c r="H1896" s="193" t="s">
        <v>733</v>
      </c>
      <c r="I1896" s="256">
        <v>160</v>
      </c>
      <c r="J1896" s="256">
        <v>10267</v>
      </c>
      <c r="K1896" s="614">
        <v>1642720</v>
      </c>
      <c r="L1896" s="194" t="s">
        <v>259</v>
      </c>
      <c r="M1896" s="194" t="s">
        <v>167</v>
      </c>
      <c r="N1896" s="52" t="str">
        <f>IF(AND('331-CT'!$E$7=TH!H1896,OR(L1896="331",M1896="331")),"331",IF(AND(OR(L1896="131",M1896="131"),H1896='131-CT'!$E$7),"131",""))</f>
        <v>131</v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94"/>
      <c r="AB1896" s="831"/>
      <c r="AC1896" s="831"/>
      <c r="AD1896" s="831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712">
        <f t="shared" si="154"/>
        <v>10</v>
      </c>
      <c r="C1897" s="191">
        <v>40838</v>
      </c>
      <c r="D1897" s="191" t="s">
        <v>961</v>
      </c>
      <c r="E1897" s="191">
        <v>40838</v>
      </c>
      <c r="F1897" s="192" t="s">
        <v>1010</v>
      </c>
      <c r="G1897" s="498" t="s">
        <v>1240</v>
      </c>
      <c r="H1897" s="193" t="s">
        <v>733</v>
      </c>
      <c r="I1897" s="256">
        <v>100</v>
      </c>
      <c r="J1897" s="256">
        <v>13099</v>
      </c>
      <c r="K1897" s="614">
        <v>1309900</v>
      </c>
      <c r="L1897" s="194" t="s">
        <v>259</v>
      </c>
      <c r="M1897" s="194" t="s">
        <v>167</v>
      </c>
      <c r="N1897" s="52" t="str">
        <f>IF(AND('331-CT'!$E$7=TH!H1897,OR(L1897="331",M1897="331")),"331",IF(AND(OR(L1897="131",M1897="131"),H1897='131-CT'!$E$7),"131",""))</f>
        <v>131</v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94"/>
      <c r="AB1897" s="831"/>
      <c r="AC1897" s="831"/>
      <c r="AD1897" s="831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712">
        <f t="shared" si="154"/>
        <v>10</v>
      </c>
      <c r="C1898" s="191">
        <v>40838</v>
      </c>
      <c r="D1898" s="191" t="s">
        <v>961</v>
      </c>
      <c r="E1898" s="191">
        <v>40838</v>
      </c>
      <c r="F1898" s="192" t="s">
        <v>749</v>
      </c>
      <c r="G1898" s="498" t="s">
        <v>1240</v>
      </c>
      <c r="H1898" s="193" t="s">
        <v>733</v>
      </c>
      <c r="I1898" s="256">
        <v>170</v>
      </c>
      <c r="J1898" s="256">
        <v>12564</v>
      </c>
      <c r="K1898" s="614">
        <v>2135880</v>
      </c>
      <c r="L1898" s="194" t="s">
        <v>259</v>
      </c>
      <c r="M1898" s="194" t="s">
        <v>167</v>
      </c>
      <c r="N1898" s="52" t="str">
        <f>IF(AND('331-CT'!$E$7=TH!H1898,OR(L1898="331",M1898="331")),"331",IF(AND(OR(L1898="131",M1898="131"),H1898='131-CT'!$E$7),"131",""))</f>
        <v>131</v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94"/>
      <c r="AB1898" s="831"/>
      <c r="AC1898" s="831"/>
      <c r="AD1898" s="831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712">
        <f t="shared" si="154"/>
        <v>10</v>
      </c>
      <c r="C1899" s="191">
        <v>40838</v>
      </c>
      <c r="D1899" s="191" t="s">
        <v>961</v>
      </c>
      <c r="E1899" s="191">
        <v>40838</v>
      </c>
      <c r="F1899" s="192" t="s">
        <v>752</v>
      </c>
      <c r="G1899" s="498" t="s">
        <v>1240</v>
      </c>
      <c r="H1899" s="193" t="s">
        <v>733</v>
      </c>
      <c r="I1899" s="256">
        <v>190</v>
      </c>
      <c r="J1899" s="256">
        <v>16284</v>
      </c>
      <c r="K1899" s="614">
        <v>3093960</v>
      </c>
      <c r="L1899" s="194" t="s">
        <v>259</v>
      </c>
      <c r="M1899" s="194" t="s">
        <v>167</v>
      </c>
      <c r="N1899" s="52" t="str">
        <f>IF(AND('331-CT'!$E$7=TH!H1899,OR(L1899="331",M1899="331")),"331",IF(AND(OR(L1899="131",M1899="131"),H1899='131-CT'!$E$7),"131",""))</f>
        <v>131</v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94"/>
      <c r="AB1899" s="831"/>
      <c r="AC1899" s="831"/>
      <c r="AD1899" s="831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712">
        <f t="shared" si="154"/>
        <v>10</v>
      </c>
      <c r="C1900" s="191">
        <v>40838</v>
      </c>
      <c r="D1900" s="191" t="s">
        <v>961</v>
      </c>
      <c r="E1900" s="191">
        <v>40838</v>
      </c>
      <c r="F1900" s="192" t="s">
        <v>748</v>
      </c>
      <c r="G1900" s="498" t="s">
        <v>1240</v>
      </c>
      <c r="H1900" s="193" t="s">
        <v>733</v>
      </c>
      <c r="I1900" s="256">
        <v>110</v>
      </c>
      <c r="J1900" s="256">
        <v>10253</v>
      </c>
      <c r="K1900" s="614">
        <v>1127830</v>
      </c>
      <c r="L1900" s="194" t="s">
        <v>259</v>
      </c>
      <c r="M1900" s="194" t="s">
        <v>167</v>
      </c>
      <c r="N1900" s="52" t="str">
        <f>IF(AND('331-CT'!$E$7=TH!H1900,OR(L1900="331",M1900="331")),"331",IF(AND(OR(L1900="131",M1900="131"),H1900='131-CT'!$E$7),"131",""))</f>
        <v>131</v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94"/>
      <c r="AB1900" s="831"/>
      <c r="AC1900" s="831"/>
      <c r="AD1900" s="831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712">
        <f t="shared" si="154"/>
        <v>10</v>
      </c>
      <c r="C1901" s="191">
        <v>40838</v>
      </c>
      <c r="D1901" s="191" t="s">
        <v>961</v>
      </c>
      <c r="E1901" s="191">
        <v>40838</v>
      </c>
      <c r="F1901" s="192" t="s">
        <v>1272</v>
      </c>
      <c r="G1901" s="498" t="s">
        <v>1240</v>
      </c>
      <c r="H1901" s="193" t="s">
        <v>733</v>
      </c>
      <c r="I1901" s="256">
        <v>300</v>
      </c>
      <c r="J1901" s="256">
        <v>18620</v>
      </c>
      <c r="K1901" s="614">
        <v>5586000</v>
      </c>
      <c r="L1901" s="194" t="s">
        <v>259</v>
      </c>
      <c r="M1901" s="194" t="s">
        <v>167</v>
      </c>
      <c r="N1901" s="52" t="str">
        <f>IF(AND('331-CT'!$E$7=TH!H1901,OR(L1901="331",M1901="331")),"331",IF(AND(OR(L1901="131",M1901="131"),H1901='131-CT'!$E$7),"131",""))</f>
        <v>131</v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94"/>
      <c r="AB1901" s="831"/>
      <c r="AC1901" s="831"/>
      <c r="AD1901" s="831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712">
        <f t="shared" si="154"/>
        <v>10</v>
      </c>
      <c r="C1902" s="191">
        <v>40838</v>
      </c>
      <c r="D1902" s="191" t="s">
        <v>961</v>
      </c>
      <c r="E1902" s="191">
        <v>40838</v>
      </c>
      <c r="F1902" s="192" t="s">
        <v>1176</v>
      </c>
      <c r="G1902" s="498" t="s">
        <v>1240</v>
      </c>
      <c r="H1902" s="193" t="s">
        <v>733</v>
      </c>
      <c r="I1902" s="256"/>
      <c r="J1902" s="256"/>
      <c r="K1902" s="614">
        <f>2648526+1</f>
        <v>2648527</v>
      </c>
      <c r="L1902" s="194" t="s">
        <v>259</v>
      </c>
      <c r="M1902" s="194" t="s">
        <v>731</v>
      </c>
      <c r="N1902" s="52" t="str">
        <f>IF(AND('331-CT'!$E$7=TH!H1902,OR(L1902="331",M1902="331")),"331",IF(AND(OR(L1902="131",M1902="131"),H1902='131-CT'!$E$7),"131",""))</f>
        <v>131</v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94"/>
      <c r="AB1902" s="831"/>
      <c r="AC1902" s="831"/>
      <c r="AD1902" s="831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712">
        <f t="shared" si="154"/>
        <v>10</v>
      </c>
      <c r="C1903" s="860">
        <f t="shared" ref="C1903:C1922" si="155">E1903</f>
        <v>40838</v>
      </c>
      <c r="D1903" s="48" t="s">
        <v>1118</v>
      </c>
      <c r="E1903" s="48">
        <v>40838</v>
      </c>
      <c r="F1903" s="867" t="s">
        <v>746</v>
      </c>
      <c r="G1903" s="49"/>
      <c r="H1903" s="868" t="s">
        <v>1092</v>
      </c>
      <c r="I1903" s="254">
        <v>210</v>
      </c>
      <c r="J1903" s="254">
        <v>7107.5034239406823</v>
      </c>
      <c r="K1903" s="716">
        <f t="shared" ref="K1903:K1922" si="156">ROUND(I1903*J1903,0)</f>
        <v>1492576</v>
      </c>
      <c r="L1903" s="52" t="s">
        <v>159</v>
      </c>
      <c r="M1903" s="52" t="s">
        <v>157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94"/>
      <c r="AB1903" s="831"/>
      <c r="AC1903" s="831"/>
      <c r="AD1903" s="831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712">
        <f t="shared" si="154"/>
        <v>10</v>
      </c>
      <c r="C1904" s="860">
        <f t="shared" si="155"/>
        <v>40838</v>
      </c>
      <c r="D1904" s="48" t="s">
        <v>1118</v>
      </c>
      <c r="E1904" s="48">
        <v>40838</v>
      </c>
      <c r="F1904" s="867" t="s">
        <v>1269</v>
      </c>
      <c r="G1904" s="49"/>
      <c r="H1904" s="868" t="s">
        <v>1092</v>
      </c>
      <c r="I1904" s="254">
        <v>150</v>
      </c>
      <c r="J1904" s="254">
        <v>8650.8348525121073</v>
      </c>
      <c r="K1904" s="716">
        <f t="shared" si="156"/>
        <v>1297625</v>
      </c>
      <c r="L1904" s="52" t="s">
        <v>159</v>
      </c>
      <c r="M1904" s="52" t="s">
        <v>157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94"/>
      <c r="AB1904" s="831"/>
      <c r="AC1904" s="831"/>
      <c r="AD1904" s="831"/>
    </row>
    <row r="1905" spans="1:30" ht="15.75" customHeight="1">
      <c r="A1905" s="204" t="str">
        <f>IF(B1905&lt;&gt;"",IF(AND(B1905&gt;=_TM1,B1905&lt;=_TM2,OR(TH!L1905="1111",TH!M1905="1111")),TH!D1905,""),"")</f>
        <v/>
      </c>
      <c r="B1905" s="712">
        <f t="shared" si="154"/>
        <v>10</v>
      </c>
      <c r="C1905" s="860">
        <f t="shared" si="155"/>
        <v>40838</v>
      </c>
      <c r="D1905" s="48" t="s">
        <v>1118</v>
      </c>
      <c r="E1905" s="48">
        <v>40838</v>
      </c>
      <c r="F1905" s="867" t="s">
        <v>1270</v>
      </c>
      <c r="G1905" s="49"/>
      <c r="H1905" s="868" t="s">
        <v>1092</v>
      </c>
      <c r="I1905" s="254">
        <v>342</v>
      </c>
      <c r="J1905" s="254">
        <v>9441.5929811670794</v>
      </c>
      <c r="K1905" s="716">
        <f t="shared" si="156"/>
        <v>3229025</v>
      </c>
      <c r="L1905" s="52" t="s">
        <v>159</v>
      </c>
      <c r="M1905" s="52" t="s">
        <v>157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94"/>
      <c r="AB1905" s="831"/>
      <c r="AC1905" s="831"/>
      <c r="AD1905" s="831"/>
    </row>
    <row r="1906" spans="1:30" ht="15.75" customHeight="1">
      <c r="A1906" s="204" t="str">
        <f>IF(B1906&lt;&gt;"",IF(AND(B1906&gt;=_TM1,B1906&lt;=_TM2,OR(TH!L1906="1111",TH!M1906="1111")),TH!D1906,""),"")</f>
        <v/>
      </c>
      <c r="B1906" s="712">
        <f t="shared" si="154"/>
        <v>10</v>
      </c>
      <c r="C1906" s="860">
        <f t="shared" si="155"/>
        <v>40838</v>
      </c>
      <c r="D1906" s="48" t="s">
        <v>1118</v>
      </c>
      <c r="E1906" s="48">
        <v>40838</v>
      </c>
      <c r="F1906" s="867" t="s">
        <v>747</v>
      </c>
      <c r="G1906" s="49"/>
      <c r="H1906" s="868" t="s">
        <v>1092</v>
      </c>
      <c r="I1906" s="254">
        <v>150</v>
      </c>
      <c r="J1906" s="254">
        <v>7430.5015191787761</v>
      </c>
      <c r="K1906" s="716">
        <f t="shared" si="156"/>
        <v>1114575</v>
      </c>
      <c r="L1906" s="52" t="s">
        <v>159</v>
      </c>
      <c r="M1906" s="52" t="s">
        <v>157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94"/>
      <c r="AB1906" s="831"/>
      <c r="AC1906" s="831"/>
      <c r="AD1906" s="831"/>
    </row>
    <row r="1907" spans="1:30" ht="15.75" customHeight="1">
      <c r="A1907" s="204" t="str">
        <f>IF(B1907&lt;&gt;"",IF(AND(B1907&gt;=_TM1,B1907&lt;=_TM2,OR(TH!L1907="1111",TH!M1907="1111")),TH!D1907,""),"")</f>
        <v/>
      </c>
      <c r="B1907" s="712">
        <f t="shared" si="154"/>
        <v>10</v>
      </c>
      <c r="C1907" s="860">
        <f t="shared" si="155"/>
        <v>40838</v>
      </c>
      <c r="D1907" s="48" t="s">
        <v>1118</v>
      </c>
      <c r="E1907" s="48">
        <v>40838</v>
      </c>
      <c r="F1907" s="192" t="s">
        <v>1271</v>
      </c>
      <c r="G1907" s="49"/>
      <c r="H1907" s="868" t="s">
        <v>1092</v>
      </c>
      <c r="I1907" s="254">
        <v>160</v>
      </c>
      <c r="J1907" s="254">
        <v>7180.114435845443</v>
      </c>
      <c r="K1907" s="716">
        <f t="shared" si="156"/>
        <v>1148818</v>
      </c>
      <c r="L1907" s="52" t="s">
        <v>159</v>
      </c>
      <c r="M1907" s="52" t="s">
        <v>157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94"/>
      <c r="AB1907" s="831"/>
      <c r="AC1907" s="831"/>
      <c r="AD1907" s="831"/>
    </row>
    <row r="1908" spans="1:30" ht="15.75" customHeight="1">
      <c r="A1908" s="204" t="str">
        <f>IF(B1908&lt;&gt;"",IF(AND(B1908&gt;=_TM1,B1908&lt;=_TM2,OR(TH!L1908="1111",TH!M1908="1111")),TH!D1908,""),"")</f>
        <v/>
      </c>
      <c r="B1908" s="712">
        <f t="shared" si="154"/>
        <v>10</v>
      </c>
      <c r="C1908" s="860">
        <f t="shared" si="155"/>
        <v>40838</v>
      </c>
      <c r="D1908" s="48" t="s">
        <v>1118</v>
      </c>
      <c r="E1908" s="48">
        <v>40838</v>
      </c>
      <c r="F1908" s="867" t="s">
        <v>1010</v>
      </c>
      <c r="G1908" s="49"/>
      <c r="H1908" s="868" t="s">
        <v>1092</v>
      </c>
      <c r="I1908" s="254">
        <v>100</v>
      </c>
      <c r="J1908" s="254">
        <v>10496.498185845441</v>
      </c>
      <c r="K1908" s="716">
        <f t="shared" si="156"/>
        <v>1049650</v>
      </c>
      <c r="L1908" s="52" t="s">
        <v>159</v>
      </c>
      <c r="M1908" s="52" t="s">
        <v>157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94"/>
      <c r="AB1908" s="831"/>
      <c r="AC1908" s="831"/>
      <c r="AD1908" s="831"/>
    </row>
    <row r="1909" spans="1:30" ht="15.75" customHeight="1">
      <c r="A1909" s="204" t="str">
        <f>IF(B1909&lt;&gt;"",IF(AND(B1909&gt;=_TM1,B1909&lt;=_TM2,OR(TH!L1909="1111",TH!M1909="1111")),TH!D1909,""),"")</f>
        <v/>
      </c>
      <c r="B1909" s="712">
        <f t="shared" si="154"/>
        <v>10</v>
      </c>
      <c r="C1909" s="860">
        <f t="shared" si="155"/>
        <v>40838</v>
      </c>
      <c r="D1909" s="48" t="s">
        <v>1118</v>
      </c>
      <c r="E1909" s="48">
        <v>40838</v>
      </c>
      <c r="F1909" s="867" t="s">
        <v>749</v>
      </c>
      <c r="G1909" s="49"/>
      <c r="H1909" s="868" t="s">
        <v>1092</v>
      </c>
      <c r="I1909" s="254">
        <v>170</v>
      </c>
      <c r="J1909" s="254">
        <v>10292.384656433678</v>
      </c>
      <c r="K1909" s="716">
        <f t="shared" si="156"/>
        <v>1749705</v>
      </c>
      <c r="L1909" s="52" t="s">
        <v>159</v>
      </c>
      <c r="M1909" s="52" t="s">
        <v>157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94"/>
      <c r="AB1909" s="831"/>
      <c r="AC1909" s="831"/>
      <c r="AD1909" s="831"/>
    </row>
    <row r="1910" spans="1:30" ht="15.75" customHeight="1">
      <c r="A1910" s="204" t="str">
        <f>IF(B1910&lt;&gt;"",IF(AND(B1910&gt;=_TM1,B1910&lt;=_TM2,OR(TH!L1910="1111",TH!M1910="1111")),TH!D1910,""),"")</f>
        <v/>
      </c>
      <c r="B1910" s="712">
        <f t="shared" si="154"/>
        <v>10</v>
      </c>
      <c r="C1910" s="860">
        <f t="shared" si="155"/>
        <v>40838</v>
      </c>
      <c r="D1910" s="48" t="s">
        <v>1119</v>
      </c>
      <c r="E1910" s="48">
        <v>40838</v>
      </c>
      <c r="F1910" s="867" t="s">
        <v>752</v>
      </c>
      <c r="G1910" s="49"/>
      <c r="H1910" s="868" t="s">
        <v>1092</v>
      </c>
      <c r="I1910" s="254">
        <v>190</v>
      </c>
      <c r="J1910" s="254">
        <v>12481.4502911086</v>
      </c>
      <c r="K1910" s="716">
        <f t="shared" si="156"/>
        <v>2371476</v>
      </c>
      <c r="L1910" s="52" t="s">
        <v>159</v>
      </c>
      <c r="M1910" s="52" t="s">
        <v>157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94"/>
      <c r="AB1910" s="831"/>
      <c r="AC1910" s="831"/>
      <c r="AD1910" s="831"/>
    </row>
    <row r="1911" spans="1:30" ht="15.75" customHeight="1">
      <c r="A1911" s="204" t="str">
        <f>IF(B1911&lt;&gt;"",IF(AND(B1911&gt;=_TM1,B1911&lt;=_TM2,OR(TH!L1911="1111",TH!M1911="1111")),TH!D1911,""),"")</f>
        <v/>
      </c>
      <c r="B1911" s="712">
        <f t="shared" si="154"/>
        <v>10</v>
      </c>
      <c r="C1911" s="860">
        <f t="shared" si="155"/>
        <v>40838</v>
      </c>
      <c r="D1911" s="48" t="s">
        <v>1119</v>
      </c>
      <c r="E1911" s="48">
        <v>40838</v>
      </c>
      <c r="F1911" s="867" t="s">
        <v>748</v>
      </c>
      <c r="G1911" s="49"/>
      <c r="H1911" s="868" t="s">
        <v>1092</v>
      </c>
      <c r="I1911" s="254">
        <v>110</v>
      </c>
      <c r="J1911" s="254">
        <v>7486.2445494818066</v>
      </c>
      <c r="K1911" s="716">
        <f t="shared" si="156"/>
        <v>823487</v>
      </c>
      <c r="L1911" s="52" t="s">
        <v>159</v>
      </c>
      <c r="M1911" s="52" t="s">
        <v>157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94"/>
      <c r="AB1911" s="831"/>
      <c r="AC1911" s="831"/>
      <c r="AD1911" s="831"/>
    </row>
    <row r="1912" spans="1:30" ht="15.75" customHeight="1">
      <c r="A1912" s="204" t="str">
        <f>IF(B1912&lt;&gt;"",IF(AND(B1912&gt;=_TM1,B1912&lt;=_TM2,OR(TH!L1912="1111",TH!M1912="1111")),TH!D1912,""),"")</f>
        <v/>
      </c>
      <c r="B1912" s="712">
        <f t="shared" si="154"/>
        <v>10</v>
      </c>
      <c r="C1912" s="860">
        <f t="shared" si="155"/>
        <v>40838</v>
      </c>
      <c r="D1912" s="48" t="s">
        <v>1119</v>
      </c>
      <c r="E1912" s="48">
        <v>40838</v>
      </c>
      <c r="F1912" s="867" t="s">
        <v>1272</v>
      </c>
      <c r="G1912" s="49"/>
      <c r="H1912" s="868" t="s">
        <v>1092</v>
      </c>
      <c r="I1912" s="254">
        <v>300</v>
      </c>
      <c r="J1912" s="254">
        <v>9295.3048525121085</v>
      </c>
      <c r="K1912" s="716">
        <f t="shared" si="156"/>
        <v>2788591</v>
      </c>
      <c r="L1912" s="52" t="s">
        <v>159</v>
      </c>
      <c r="M1912" s="52" t="s">
        <v>157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94"/>
      <c r="AB1912" s="831"/>
      <c r="AC1912" s="831"/>
      <c r="AD1912" s="831"/>
    </row>
    <row r="1913" spans="1:30" ht="15.75" customHeight="1">
      <c r="A1913" s="204" t="str">
        <f>IF(B1913&lt;&gt;"",IF(AND(B1913&gt;=_TM1,B1913&lt;=_TM2,OR(TH!L1913="1111",TH!M1913="1111")),TH!D1913,""),"")</f>
        <v/>
      </c>
      <c r="B1913" s="36">
        <f t="shared" si="154"/>
        <v>10</v>
      </c>
      <c r="C1913" s="860">
        <f t="shared" si="155"/>
        <v>40838</v>
      </c>
      <c r="D1913" s="48" t="s">
        <v>961</v>
      </c>
      <c r="E1913" s="37">
        <v>40838</v>
      </c>
      <c r="F1913" s="192" t="s">
        <v>746</v>
      </c>
      <c r="G1913" s="498" t="s">
        <v>1240</v>
      </c>
      <c r="H1913" s="193" t="s">
        <v>733</v>
      </c>
      <c r="I1913" s="256">
        <v>210</v>
      </c>
      <c r="J1913" s="256">
        <v>7107.5034239406823</v>
      </c>
      <c r="K1913" s="614">
        <f t="shared" si="156"/>
        <v>1492576</v>
      </c>
      <c r="L1913" s="52" t="s">
        <v>165</v>
      </c>
      <c r="M1913" s="52" t="s">
        <v>159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94"/>
    </row>
    <row r="1914" spans="1:30" ht="15.75" customHeight="1">
      <c r="A1914" s="204" t="str">
        <f>IF(B1914&lt;&gt;"",IF(AND(B1914&gt;=_TM1,B1914&lt;=_TM2,OR(TH!L1914="1111",TH!M1914="1111")),TH!D1914,""),"")</f>
        <v/>
      </c>
      <c r="B1914" s="36">
        <f t="shared" si="154"/>
        <v>10</v>
      </c>
      <c r="C1914" s="860">
        <f t="shared" si="155"/>
        <v>40838</v>
      </c>
      <c r="D1914" s="48" t="s">
        <v>961</v>
      </c>
      <c r="E1914" s="37">
        <v>40838</v>
      </c>
      <c r="F1914" s="192" t="s">
        <v>1269</v>
      </c>
      <c r="G1914" s="498" t="s">
        <v>1240</v>
      </c>
      <c r="H1914" s="193" t="s">
        <v>733</v>
      </c>
      <c r="I1914" s="256">
        <v>150</v>
      </c>
      <c r="J1914" s="256">
        <v>8650.8348525121073</v>
      </c>
      <c r="K1914" s="614">
        <f t="shared" si="156"/>
        <v>1297625</v>
      </c>
      <c r="L1914" s="52" t="s">
        <v>165</v>
      </c>
      <c r="M1914" s="52" t="s">
        <v>159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94"/>
    </row>
    <row r="1915" spans="1:30" ht="15.75" customHeight="1">
      <c r="A1915" s="204" t="str">
        <f>IF(B1915&lt;&gt;"",IF(AND(B1915&gt;=_TM1,B1915&lt;=_TM2,OR(TH!L1915="1111",TH!M1915="1111")),TH!D1915,""),"")</f>
        <v/>
      </c>
      <c r="B1915" s="36">
        <f t="shared" si="154"/>
        <v>10</v>
      </c>
      <c r="C1915" s="860">
        <f t="shared" si="155"/>
        <v>40838</v>
      </c>
      <c r="D1915" s="48" t="s">
        <v>961</v>
      </c>
      <c r="E1915" s="37">
        <v>40838</v>
      </c>
      <c r="F1915" s="192" t="s">
        <v>1270</v>
      </c>
      <c r="G1915" s="498" t="s">
        <v>1240</v>
      </c>
      <c r="H1915" s="193" t="s">
        <v>733</v>
      </c>
      <c r="I1915" s="256">
        <v>342</v>
      </c>
      <c r="J1915" s="256">
        <v>9441.5929811670794</v>
      </c>
      <c r="K1915" s="614">
        <f t="shared" si="156"/>
        <v>3229025</v>
      </c>
      <c r="L1915" s="52" t="s">
        <v>165</v>
      </c>
      <c r="M1915" s="52" t="s">
        <v>159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94"/>
    </row>
    <row r="1916" spans="1:30" ht="15.75" customHeight="1">
      <c r="A1916" s="204" t="str">
        <f>IF(B1916&lt;&gt;"",IF(AND(B1916&gt;=_TM1,B1916&lt;=_TM2,OR(TH!L1916="1111",TH!M1916="1111")),TH!D1916,""),"")</f>
        <v/>
      </c>
      <c r="B1916" s="36">
        <f t="shared" si="154"/>
        <v>10</v>
      </c>
      <c r="C1916" s="860">
        <f t="shared" si="155"/>
        <v>40838</v>
      </c>
      <c r="D1916" s="48" t="s">
        <v>961</v>
      </c>
      <c r="E1916" s="37">
        <v>40838</v>
      </c>
      <c r="F1916" s="192" t="s">
        <v>747</v>
      </c>
      <c r="G1916" s="498" t="s">
        <v>1240</v>
      </c>
      <c r="H1916" s="193" t="s">
        <v>733</v>
      </c>
      <c r="I1916" s="256">
        <v>150</v>
      </c>
      <c r="J1916" s="256">
        <v>7430.5015191787761</v>
      </c>
      <c r="K1916" s="614">
        <f t="shared" si="156"/>
        <v>1114575</v>
      </c>
      <c r="L1916" s="52" t="s">
        <v>165</v>
      </c>
      <c r="M1916" s="52" t="s">
        <v>159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94"/>
    </row>
    <row r="1917" spans="1:30" ht="15.75" customHeight="1">
      <c r="A1917" s="204" t="str">
        <f>IF(B1917&lt;&gt;"",IF(AND(B1917&gt;=_TM1,B1917&lt;=_TM2,OR(TH!L1917="1111",TH!M1917="1111")),TH!D1917,""),"")</f>
        <v/>
      </c>
      <c r="B1917" s="36">
        <f t="shared" si="154"/>
        <v>10</v>
      </c>
      <c r="C1917" s="860">
        <f t="shared" si="155"/>
        <v>40838</v>
      </c>
      <c r="D1917" s="48" t="s">
        <v>961</v>
      </c>
      <c r="E1917" s="37">
        <v>40838</v>
      </c>
      <c r="F1917" s="192" t="s">
        <v>1271</v>
      </c>
      <c r="G1917" s="498" t="s">
        <v>1240</v>
      </c>
      <c r="H1917" s="193" t="s">
        <v>733</v>
      </c>
      <c r="I1917" s="256">
        <v>160</v>
      </c>
      <c r="J1917" s="256">
        <v>7180.114435845443</v>
      </c>
      <c r="K1917" s="614">
        <f t="shared" si="156"/>
        <v>1148818</v>
      </c>
      <c r="L1917" s="52" t="s">
        <v>165</v>
      </c>
      <c r="M1917" s="52" t="s">
        <v>159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94"/>
    </row>
    <row r="1918" spans="1:30" ht="15.75" customHeight="1">
      <c r="A1918" s="204" t="str">
        <f>IF(B1918&lt;&gt;"",IF(AND(B1918&gt;=_TM1,B1918&lt;=_TM2,OR(TH!L1918="1111",TH!M1918="1111")),TH!D1918,""),"")</f>
        <v/>
      </c>
      <c r="B1918" s="36">
        <f t="shared" si="154"/>
        <v>10</v>
      </c>
      <c r="C1918" s="860">
        <f t="shared" si="155"/>
        <v>40838</v>
      </c>
      <c r="D1918" s="48" t="s">
        <v>961</v>
      </c>
      <c r="E1918" s="37">
        <v>40838</v>
      </c>
      <c r="F1918" s="192" t="s">
        <v>1010</v>
      </c>
      <c r="G1918" s="498" t="s">
        <v>1240</v>
      </c>
      <c r="H1918" s="193" t="s">
        <v>733</v>
      </c>
      <c r="I1918" s="256">
        <v>100</v>
      </c>
      <c r="J1918" s="256">
        <v>10496.498185845441</v>
      </c>
      <c r="K1918" s="614">
        <f t="shared" si="156"/>
        <v>1049650</v>
      </c>
      <c r="L1918" s="52" t="s">
        <v>165</v>
      </c>
      <c r="M1918" s="52" t="s">
        <v>159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94"/>
    </row>
    <row r="1919" spans="1:30" ht="15.75" customHeight="1">
      <c r="A1919" s="204" t="str">
        <f>IF(B1919&lt;&gt;"",IF(AND(B1919&gt;=_TM1,B1919&lt;=_TM2,OR(TH!L1919="1111",TH!M1919="1111")),TH!D1919,""),"")</f>
        <v/>
      </c>
      <c r="B1919" s="36">
        <f t="shared" si="154"/>
        <v>10</v>
      </c>
      <c r="C1919" s="860">
        <f t="shared" si="155"/>
        <v>40838</v>
      </c>
      <c r="D1919" s="48" t="s">
        <v>961</v>
      </c>
      <c r="E1919" s="37">
        <v>40838</v>
      </c>
      <c r="F1919" s="192" t="s">
        <v>749</v>
      </c>
      <c r="G1919" s="498" t="s">
        <v>1240</v>
      </c>
      <c r="H1919" s="193" t="s">
        <v>733</v>
      </c>
      <c r="I1919" s="256">
        <v>170</v>
      </c>
      <c r="J1919" s="256">
        <v>10292.384656433678</v>
      </c>
      <c r="K1919" s="614">
        <f t="shared" si="156"/>
        <v>1749705</v>
      </c>
      <c r="L1919" s="52" t="s">
        <v>165</v>
      </c>
      <c r="M1919" s="52" t="s">
        <v>159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94"/>
    </row>
    <row r="1920" spans="1:30" ht="15.75" customHeight="1">
      <c r="A1920" s="204" t="str">
        <f>IF(B1920&lt;&gt;"",IF(AND(B1920&gt;=_TM1,B1920&lt;=_TM2,OR(TH!L1920="1111",TH!M1920="1111")),TH!D1920,""),"")</f>
        <v/>
      </c>
      <c r="B1920" s="36">
        <f t="shared" si="154"/>
        <v>10</v>
      </c>
      <c r="C1920" s="860">
        <f t="shared" si="155"/>
        <v>40838</v>
      </c>
      <c r="D1920" s="48" t="s">
        <v>961</v>
      </c>
      <c r="E1920" s="37">
        <v>40838</v>
      </c>
      <c r="F1920" s="192" t="s">
        <v>752</v>
      </c>
      <c r="G1920" s="498" t="s">
        <v>1240</v>
      </c>
      <c r="H1920" s="193" t="s">
        <v>733</v>
      </c>
      <c r="I1920" s="256">
        <v>190</v>
      </c>
      <c r="J1920" s="256">
        <v>12481.4502911086</v>
      </c>
      <c r="K1920" s="614">
        <f t="shared" si="156"/>
        <v>2371476</v>
      </c>
      <c r="L1920" s="52" t="s">
        <v>165</v>
      </c>
      <c r="M1920" s="52" t="s">
        <v>159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94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36">
        <f t="shared" si="154"/>
        <v>10</v>
      </c>
      <c r="C1921" s="860">
        <f t="shared" si="155"/>
        <v>40838</v>
      </c>
      <c r="D1921" s="48" t="s">
        <v>961</v>
      </c>
      <c r="E1921" s="37">
        <v>40838</v>
      </c>
      <c r="F1921" s="192" t="s">
        <v>748</v>
      </c>
      <c r="G1921" s="498" t="s">
        <v>1240</v>
      </c>
      <c r="H1921" s="193" t="s">
        <v>733</v>
      </c>
      <c r="I1921" s="256">
        <v>110</v>
      </c>
      <c r="J1921" s="256">
        <v>7486.2445494818066</v>
      </c>
      <c r="K1921" s="614">
        <f t="shared" si="156"/>
        <v>823487</v>
      </c>
      <c r="L1921" s="52" t="s">
        <v>165</v>
      </c>
      <c r="M1921" s="52" t="s">
        <v>159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94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36">
        <f t="shared" si="154"/>
        <v>10</v>
      </c>
      <c r="C1922" s="860">
        <f t="shared" si="155"/>
        <v>40838</v>
      </c>
      <c r="D1922" s="48" t="s">
        <v>961</v>
      </c>
      <c r="E1922" s="37">
        <v>40838</v>
      </c>
      <c r="F1922" s="192" t="s">
        <v>1272</v>
      </c>
      <c r="G1922" s="498" t="s">
        <v>1240</v>
      </c>
      <c r="H1922" s="193" t="s">
        <v>733</v>
      </c>
      <c r="I1922" s="256">
        <v>300</v>
      </c>
      <c r="J1922" s="256">
        <v>9295.3048525121085</v>
      </c>
      <c r="K1922" s="614">
        <f t="shared" si="156"/>
        <v>2788591</v>
      </c>
      <c r="L1922" s="52" t="s">
        <v>165</v>
      </c>
      <c r="M1922" s="52" t="s">
        <v>159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94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712">
        <f t="shared" si="154"/>
        <v>10</v>
      </c>
      <c r="C1923" s="191">
        <v>40839</v>
      </c>
      <c r="D1923" s="191" t="s">
        <v>964</v>
      </c>
      <c r="E1923" s="191">
        <v>40839</v>
      </c>
      <c r="F1923" s="192" t="s">
        <v>1241</v>
      </c>
      <c r="G1923" s="498" t="s">
        <v>1242</v>
      </c>
      <c r="H1923" s="7" t="s">
        <v>765</v>
      </c>
      <c r="I1923" s="256">
        <v>564</v>
      </c>
      <c r="J1923" s="256">
        <v>5080</v>
      </c>
      <c r="K1923" s="614">
        <v>2865120</v>
      </c>
      <c r="L1923" s="194" t="s">
        <v>259</v>
      </c>
      <c r="M1923" s="194" t="s">
        <v>167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94"/>
      <c r="AB1923" s="831"/>
      <c r="AC1923" s="831"/>
      <c r="AD1923" s="831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712">
        <f t="shared" si="154"/>
        <v>10</v>
      </c>
      <c r="C1924" s="191">
        <v>40839</v>
      </c>
      <c r="D1924" s="191" t="s">
        <v>964</v>
      </c>
      <c r="E1924" s="191">
        <v>40839</v>
      </c>
      <c r="F1924" s="192" t="s">
        <v>1243</v>
      </c>
      <c r="G1924" s="498" t="s">
        <v>1242</v>
      </c>
      <c r="H1924" s="7" t="s">
        <v>765</v>
      </c>
      <c r="I1924" s="256">
        <v>401</v>
      </c>
      <c r="J1924" s="256">
        <v>4980</v>
      </c>
      <c r="K1924" s="614">
        <v>1996980</v>
      </c>
      <c r="L1924" s="194" t="s">
        <v>259</v>
      </c>
      <c r="M1924" s="194" t="s">
        <v>167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94"/>
      <c r="AB1924" s="831"/>
      <c r="AC1924" s="831"/>
      <c r="AD1924" s="831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712">
        <f t="shared" si="154"/>
        <v>10</v>
      </c>
      <c r="C1925" s="191">
        <v>40839</v>
      </c>
      <c r="D1925" s="191" t="s">
        <v>964</v>
      </c>
      <c r="E1925" s="191">
        <v>40839</v>
      </c>
      <c r="F1925" s="192" t="s">
        <v>1244</v>
      </c>
      <c r="G1925" s="498" t="s">
        <v>1242</v>
      </c>
      <c r="H1925" s="7" t="s">
        <v>765</v>
      </c>
      <c r="I1925" s="256">
        <v>506</v>
      </c>
      <c r="J1925" s="256">
        <v>5180</v>
      </c>
      <c r="K1925" s="614">
        <v>2621080</v>
      </c>
      <c r="L1925" s="194" t="s">
        <v>259</v>
      </c>
      <c r="M1925" s="194" t="s">
        <v>167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94"/>
      <c r="AB1925" s="831"/>
      <c r="AC1925" s="831"/>
      <c r="AD1925" s="831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712">
        <f t="shared" si="154"/>
        <v>10</v>
      </c>
      <c r="C1926" s="191">
        <v>40839</v>
      </c>
      <c r="D1926" s="191" t="s">
        <v>964</v>
      </c>
      <c r="E1926" s="191">
        <v>40839</v>
      </c>
      <c r="F1926" s="192" t="s">
        <v>1245</v>
      </c>
      <c r="G1926" s="498" t="s">
        <v>1242</v>
      </c>
      <c r="H1926" s="7" t="s">
        <v>765</v>
      </c>
      <c r="I1926" s="256">
        <v>301</v>
      </c>
      <c r="J1926" s="256">
        <v>6740</v>
      </c>
      <c r="K1926" s="614">
        <v>2028740</v>
      </c>
      <c r="L1926" s="194" t="s">
        <v>259</v>
      </c>
      <c r="M1926" s="194" t="s">
        <v>167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94"/>
      <c r="AB1926" s="831"/>
      <c r="AC1926" s="831"/>
      <c r="AD1926" s="831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712">
        <f t="shared" si="154"/>
        <v>10</v>
      </c>
      <c r="C1927" s="191">
        <v>40839</v>
      </c>
      <c r="D1927" s="191" t="s">
        <v>964</v>
      </c>
      <c r="E1927" s="191">
        <v>40839</v>
      </c>
      <c r="F1927" s="192" t="s">
        <v>1246</v>
      </c>
      <c r="G1927" s="498" t="s">
        <v>1242</v>
      </c>
      <c r="H1927" s="7" t="s">
        <v>765</v>
      </c>
      <c r="I1927" s="256">
        <v>308</v>
      </c>
      <c r="J1927" s="256">
        <v>4980</v>
      </c>
      <c r="K1927" s="614">
        <v>1533840</v>
      </c>
      <c r="L1927" s="194" t="s">
        <v>259</v>
      </c>
      <c r="M1927" s="194" t="s">
        <v>167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94"/>
      <c r="AB1927" s="831"/>
      <c r="AC1927" s="831"/>
      <c r="AD1927" s="831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712">
        <f t="shared" si="154"/>
        <v>10</v>
      </c>
      <c r="C1928" s="191">
        <v>40839</v>
      </c>
      <c r="D1928" s="191" t="s">
        <v>964</v>
      </c>
      <c r="E1928" s="191">
        <v>40839</v>
      </c>
      <c r="F1928" s="192" t="s">
        <v>1247</v>
      </c>
      <c r="G1928" s="498" t="s">
        <v>1242</v>
      </c>
      <c r="H1928" s="7" t="s">
        <v>765</v>
      </c>
      <c r="I1928" s="256">
        <v>506</v>
      </c>
      <c r="J1928" s="256">
        <v>6680</v>
      </c>
      <c r="K1928" s="614">
        <v>3380080</v>
      </c>
      <c r="L1928" s="194" t="s">
        <v>259</v>
      </c>
      <c r="M1928" s="194" t="s">
        <v>167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94"/>
      <c r="AB1928" s="831"/>
      <c r="AC1928" s="831"/>
      <c r="AD1928" s="831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712">
        <f t="shared" si="154"/>
        <v>10</v>
      </c>
      <c r="C1929" s="191">
        <v>40839</v>
      </c>
      <c r="D1929" s="191" t="s">
        <v>964</v>
      </c>
      <c r="E1929" s="191">
        <v>40839</v>
      </c>
      <c r="F1929" s="192" t="s">
        <v>1248</v>
      </c>
      <c r="G1929" s="498" t="s">
        <v>1242</v>
      </c>
      <c r="H1929" s="7" t="s">
        <v>765</v>
      </c>
      <c r="I1929" s="256">
        <v>396</v>
      </c>
      <c r="J1929" s="256">
        <v>4400</v>
      </c>
      <c r="K1929" s="614">
        <v>1742400</v>
      </c>
      <c r="L1929" s="194" t="s">
        <v>259</v>
      </c>
      <c r="M1929" s="194" t="s">
        <v>167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94"/>
      <c r="AB1929" s="831"/>
      <c r="AC1929" s="831"/>
      <c r="AD1929" s="831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712">
        <f t="shared" si="154"/>
        <v>10</v>
      </c>
      <c r="C1930" s="191">
        <v>40839</v>
      </c>
      <c r="D1930" s="191" t="s">
        <v>964</v>
      </c>
      <c r="E1930" s="191">
        <v>40839</v>
      </c>
      <c r="F1930" s="192" t="s">
        <v>1249</v>
      </c>
      <c r="G1930" s="498" t="s">
        <v>1242</v>
      </c>
      <c r="H1930" s="7" t="s">
        <v>765</v>
      </c>
      <c r="I1930" s="256">
        <v>280</v>
      </c>
      <c r="J1930" s="256">
        <v>2700</v>
      </c>
      <c r="K1930" s="614">
        <v>756000</v>
      </c>
      <c r="L1930" s="194" t="s">
        <v>259</v>
      </c>
      <c r="M1930" s="194" t="s">
        <v>167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94"/>
      <c r="AB1930" s="831"/>
      <c r="AC1930" s="831"/>
      <c r="AD1930" s="831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712">
        <f t="shared" si="154"/>
        <v>10</v>
      </c>
      <c r="C1931" s="191">
        <v>40839</v>
      </c>
      <c r="D1931" s="191" t="s">
        <v>964</v>
      </c>
      <c r="E1931" s="191">
        <v>40839</v>
      </c>
      <c r="F1931" s="192" t="s">
        <v>1176</v>
      </c>
      <c r="G1931" s="498" t="s">
        <v>1242</v>
      </c>
      <c r="H1931" s="7" t="s">
        <v>765</v>
      </c>
      <c r="I1931" s="256"/>
      <c r="J1931" s="256"/>
      <c r="K1931" s="614">
        <f>1692424+1</f>
        <v>1692425</v>
      </c>
      <c r="L1931" s="194" t="s">
        <v>259</v>
      </c>
      <c r="M1931" s="194" t="s">
        <v>731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94"/>
      <c r="AB1931" s="831"/>
      <c r="AC1931" s="831"/>
      <c r="AD1931" s="831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712">
        <f t="shared" si="154"/>
        <v>10</v>
      </c>
      <c r="C1932" s="860">
        <f t="shared" ref="C1932:C1947" si="157">E1932</f>
        <v>40839</v>
      </c>
      <c r="D1932" s="48" t="s">
        <v>1120</v>
      </c>
      <c r="E1932" s="48">
        <v>40839</v>
      </c>
      <c r="F1932" s="867" t="s">
        <v>1241</v>
      </c>
      <c r="G1932" s="49"/>
      <c r="H1932" s="868" t="s">
        <v>1092</v>
      </c>
      <c r="I1932" s="254">
        <v>564</v>
      </c>
      <c r="J1932" s="254">
        <v>4226.8893915192002</v>
      </c>
      <c r="K1932" s="716">
        <f t="shared" ref="K1932:K1947" si="158">ROUND(I1932*J1932,0)</f>
        <v>2383966</v>
      </c>
      <c r="L1932" s="52" t="s">
        <v>159</v>
      </c>
      <c r="M1932" s="52" t="s">
        <v>157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94"/>
      <c r="AB1932" s="831"/>
      <c r="AC1932" s="831"/>
      <c r="AD1932" s="831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712">
        <f t="shared" si="154"/>
        <v>10</v>
      </c>
      <c r="C1933" s="860">
        <f t="shared" si="157"/>
        <v>40839</v>
      </c>
      <c r="D1933" s="48" t="s">
        <v>1120</v>
      </c>
      <c r="E1933" s="48">
        <v>40839</v>
      </c>
      <c r="F1933" s="867" t="s">
        <v>1243</v>
      </c>
      <c r="G1933" s="49"/>
      <c r="H1933" s="868" t="s">
        <v>1092</v>
      </c>
      <c r="I1933" s="254">
        <v>401</v>
      </c>
      <c r="J1933" s="254">
        <v>4893.1191584140215</v>
      </c>
      <c r="K1933" s="716">
        <f t="shared" si="158"/>
        <v>1962141</v>
      </c>
      <c r="L1933" s="52" t="s">
        <v>159</v>
      </c>
      <c r="M1933" s="52" t="s">
        <v>157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94"/>
      <c r="AB1933" s="831"/>
      <c r="AC1933" s="831"/>
      <c r="AD1933" s="831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712">
        <f t="shared" si="154"/>
        <v>10</v>
      </c>
      <c r="C1934" s="860">
        <f t="shared" si="157"/>
        <v>40839</v>
      </c>
      <c r="D1934" s="48" t="s">
        <v>1120</v>
      </c>
      <c r="E1934" s="48">
        <v>40839</v>
      </c>
      <c r="F1934" s="867" t="s">
        <v>1244</v>
      </c>
      <c r="G1934" s="49"/>
      <c r="H1934" s="868" t="s">
        <v>1092</v>
      </c>
      <c r="I1934" s="254">
        <v>506</v>
      </c>
      <c r="J1934" s="254">
        <v>4674.3955376240992</v>
      </c>
      <c r="K1934" s="716">
        <f t="shared" si="158"/>
        <v>2365244</v>
      </c>
      <c r="L1934" s="52" t="s">
        <v>159</v>
      </c>
      <c r="M1934" s="52" t="s">
        <v>157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94"/>
      <c r="AB1934" s="831"/>
      <c r="AC1934" s="831"/>
      <c r="AD1934" s="831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712">
        <f t="shared" si="154"/>
        <v>10</v>
      </c>
      <c r="C1935" s="860">
        <f t="shared" si="157"/>
        <v>40839</v>
      </c>
      <c r="D1935" s="48" t="s">
        <v>1120</v>
      </c>
      <c r="E1935" s="48">
        <v>40839</v>
      </c>
      <c r="F1935" s="867" t="s">
        <v>1245</v>
      </c>
      <c r="G1935" s="49"/>
      <c r="H1935" s="868" t="s">
        <v>1092</v>
      </c>
      <c r="I1935" s="254">
        <v>301</v>
      </c>
      <c r="J1935" s="254">
        <v>6478.0397473072353</v>
      </c>
      <c r="K1935" s="716">
        <f t="shared" si="158"/>
        <v>1949890</v>
      </c>
      <c r="L1935" s="52" t="s">
        <v>159</v>
      </c>
      <c r="M1935" s="52" t="s">
        <v>157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94"/>
      <c r="AB1935" s="831"/>
      <c r="AC1935" s="831"/>
      <c r="AD1935" s="831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712">
        <f t="shared" si="154"/>
        <v>10</v>
      </c>
      <c r="C1936" s="860">
        <f t="shared" si="157"/>
        <v>40839</v>
      </c>
      <c r="D1936" s="48" t="s">
        <v>1120</v>
      </c>
      <c r="E1936" s="48">
        <v>40839</v>
      </c>
      <c r="F1936" s="867" t="s">
        <v>1246</v>
      </c>
      <c r="G1936" s="49"/>
      <c r="H1936" s="868" t="s">
        <v>1092</v>
      </c>
      <c r="I1936" s="254">
        <v>308</v>
      </c>
      <c r="J1936" s="254">
        <v>3856.5049390921954</v>
      </c>
      <c r="K1936" s="716">
        <f t="shared" si="158"/>
        <v>1187804</v>
      </c>
      <c r="L1936" s="52" t="s">
        <v>159</v>
      </c>
      <c r="M1936" s="52" t="s">
        <v>157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94"/>
      <c r="AB1936" s="831"/>
      <c r="AC1936" s="831"/>
      <c r="AD1936" s="831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712">
        <f t="shared" si="154"/>
        <v>10</v>
      </c>
      <c r="C1937" s="860">
        <f t="shared" si="157"/>
        <v>40839</v>
      </c>
      <c r="D1937" s="48" t="s">
        <v>1120</v>
      </c>
      <c r="E1937" s="48">
        <v>40839</v>
      </c>
      <c r="F1937" s="867" t="s">
        <v>1247</v>
      </c>
      <c r="G1937" s="49"/>
      <c r="H1937" s="868" t="s">
        <v>1092</v>
      </c>
      <c r="I1937" s="254">
        <v>506</v>
      </c>
      <c r="J1937" s="254">
        <v>5810.3797273474202</v>
      </c>
      <c r="K1937" s="716">
        <f t="shared" si="158"/>
        <v>2940052</v>
      </c>
      <c r="L1937" s="52" t="s">
        <v>159</v>
      </c>
      <c r="M1937" s="52" t="s">
        <v>157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94"/>
      <c r="AB1937" s="831"/>
      <c r="AC1937" s="831"/>
      <c r="AD1937" s="831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712">
        <f t="shared" si="154"/>
        <v>10</v>
      </c>
      <c r="C1938" s="860">
        <f t="shared" si="157"/>
        <v>40839</v>
      </c>
      <c r="D1938" s="48" t="s">
        <v>1120</v>
      </c>
      <c r="E1938" s="48">
        <v>40839</v>
      </c>
      <c r="F1938" s="867" t="s">
        <v>1248</v>
      </c>
      <c r="G1938" s="49"/>
      <c r="H1938" s="868" t="s">
        <v>1092</v>
      </c>
      <c r="I1938" s="254">
        <v>396</v>
      </c>
      <c r="J1938" s="254">
        <v>4368.5536403908982</v>
      </c>
      <c r="K1938" s="716">
        <f t="shared" si="158"/>
        <v>1729947</v>
      </c>
      <c r="L1938" s="52" t="s">
        <v>159</v>
      </c>
      <c r="M1938" s="52" t="s">
        <v>157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94"/>
      <c r="AB1938" s="831"/>
      <c r="AC1938" s="831"/>
      <c r="AD1938" s="831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712">
        <f t="shared" si="154"/>
        <v>10</v>
      </c>
      <c r="C1939" s="860">
        <f t="shared" si="157"/>
        <v>40839</v>
      </c>
      <c r="D1939" s="48" t="s">
        <v>1120</v>
      </c>
      <c r="E1939" s="48">
        <v>40839</v>
      </c>
      <c r="F1939" s="867" t="s">
        <v>1249</v>
      </c>
      <c r="G1939" s="49"/>
      <c r="H1939" s="868" t="s">
        <v>1092</v>
      </c>
      <c r="I1939" s="254">
        <v>280</v>
      </c>
      <c r="J1939" s="254">
        <v>2167.2546144168714</v>
      </c>
      <c r="K1939" s="716">
        <f t="shared" si="158"/>
        <v>606831</v>
      </c>
      <c r="L1939" s="52" t="s">
        <v>159</v>
      </c>
      <c r="M1939" s="52" t="s">
        <v>157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94"/>
      <c r="AB1939" s="831"/>
      <c r="AC1939" s="831"/>
      <c r="AD1939" s="831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36">
        <f t="shared" si="154"/>
        <v>10</v>
      </c>
      <c r="C1940" s="860">
        <f t="shared" si="157"/>
        <v>40839</v>
      </c>
      <c r="D1940" s="48" t="s">
        <v>964</v>
      </c>
      <c r="E1940" s="37">
        <v>40839</v>
      </c>
      <c r="F1940" s="192" t="s">
        <v>1241</v>
      </c>
      <c r="G1940" s="498" t="s">
        <v>1242</v>
      </c>
      <c r="H1940" s="7" t="s">
        <v>765</v>
      </c>
      <c r="I1940" s="256">
        <v>564</v>
      </c>
      <c r="J1940" s="256">
        <v>4226.8893915192002</v>
      </c>
      <c r="K1940" s="614">
        <f t="shared" si="158"/>
        <v>2383966</v>
      </c>
      <c r="L1940" s="52" t="s">
        <v>165</v>
      </c>
      <c r="M1940" s="52" t="s">
        <v>159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94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36">
        <f t="shared" si="154"/>
        <v>10</v>
      </c>
      <c r="C1941" s="860">
        <f t="shared" si="157"/>
        <v>40839</v>
      </c>
      <c r="D1941" s="48" t="s">
        <v>964</v>
      </c>
      <c r="E1941" s="37">
        <v>40839</v>
      </c>
      <c r="F1941" s="192" t="s">
        <v>1243</v>
      </c>
      <c r="G1941" s="498" t="s">
        <v>1242</v>
      </c>
      <c r="H1941" s="7" t="s">
        <v>765</v>
      </c>
      <c r="I1941" s="256">
        <v>401</v>
      </c>
      <c r="J1941" s="256">
        <v>4893.1191584140215</v>
      </c>
      <c r="K1941" s="614">
        <f t="shared" si="158"/>
        <v>1962141</v>
      </c>
      <c r="L1941" s="52" t="s">
        <v>165</v>
      </c>
      <c r="M1941" s="52" t="s">
        <v>159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94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36">
        <f t="shared" si="154"/>
        <v>10</v>
      </c>
      <c r="C1942" s="860">
        <f t="shared" si="157"/>
        <v>40839</v>
      </c>
      <c r="D1942" s="48" t="s">
        <v>964</v>
      </c>
      <c r="E1942" s="37">
        <v>40839</v>
      </c>
      <c r="F1942" s="192" t="s">
        <v>1244</v>
      </c>
      <c r="G1942" s="498" t="s">
        <v>1242</v>
      </c>
      <c r="H1942" s="7" t="s">
        <v>765</v>
      </c>
      <c r="I1942" s="256">
        <v>506</v>
      </c>
      <c r="J1942" s="256">
        <v>4674.3955376240992</v>
      </c>
      <c r="K1942" s="614">
        <f t="shared" si="158"/>
        <v>2365244</v>
      </c>
      <c r="L1942" s="52" t="s">
        <v>165</v>
      </c>
      <c r="M1942" s="52" t="s">
        <v>159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94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36">
        <f t="shared" si="154"/>
        <v>10</v>
      </c>
      <c r="C1943" s="860">
        <f t="shared" si="157"/>
        <v>40839</v>
      </c>
      <c r="D1943" s="48" t="s">
        <v>964</v>
      </c>
      <c r="E1943" s="37">
        <v>40839</v>
      </c>
      <c r="F1943" s="192" t="s">
        <v>1245</v>
      </c>
      <c r="G1943" s="498" t="s">
        <v>1242</v>
      </c>
      <c r="H1943" s="7" t="s">
        <v>765</v>
      </c>
      <c r="I1943" s="256">
        <v>301</v>
      </c>
      <c r="J1943" s="256">
        <v>6478.0397473072353</v>
      </c>
      <c r="K1943" s="614">
        <f t="shared" si="158"/>
        <v>1949890</v>
      </c>
      <c r="L1943" s="52" t="s">
        <v>165</v>
      </c>
      <c r="M1943" s="52" t="s">
        <v>159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94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36">
        <f t="shared" si="154"/>
        <v>10</v>
      </c>
      <c r="C1944" s="860">
        <f t="shared" si="157"/>
        <v>40839</v>
      </c>
      <c r="D1944" s="48" t="s">
        <v>964</v>
      </c>
      <c r="E1944" s="37">
        <v>40839</v>
      </c>
      <c r="F1944" s="192" t="s">
        <v>1246</v>
      </c>
      <c r="G1944" s="498" t="s">
        <v>1242</v>
      </c>
      <c r="H1944" s="7" t="s">
        <v>765</v>
      </c>
      <c r="I1944" s="256">
        <v>308</v>
      </c>
      <c r="J1944" s="256">
        <v>3856.5049390921954</v>
      </c>
      <c r="K1944" s="614">
        <f t="shared" si="158"/>
        <v>1187804</v>
      </c>
      <c r="L1944" s="52" t="s">
        <v>165</v>
      </c>
      <c r="M1944" s="52" t="s">
        <v>159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94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36">
        <f t="shared" ref="B1945:B2008" si="159">IF(C1945&lt;&gt;"",MONTH(C1945),"")</f>
        <v>10</v>
      </c>
      <c r="C1945" s="860">
        <f t="shared" si="157"/>
        <v>40839</v>
      </c>
      <c r="D1945" s="48" t="s">
        <v>964</v>
      </c>
      <c r="E1945" s="37">
        <v>40839</v>
      </c>
      <c r="F1945" s="192" t="s">
        <v>1247</v>
      </c>
      <c r="G1945" s="498" t="s">
        <v>1242</v>
      </c>
      <c r="H1945" s="7" t="s">
        <v>765</v>
      </c>
      <c r="I1945" s="256">
        <v>506</v>
      </c>
      <c r="J1945" s="256">
        <v>5810.3797273474202</v>
      </c>
      <c r="K1945" s="614">
        <f t="shared" si="158"/>
        <v>2940052</v>
      </c>
      <c r="L1945" s="52" t="s">
        <v>165</v>
      </c>
      <c r="M1945" s="52" t="s">
        <v>159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94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36">
        <f t="shared" si="159"/>
        <v>10</v>
      </c>
      <c r="C1946" s="860">
        <f t="shared" si="157"/>
        <v>40839</v>
      </c>
      <c r="D1946" s="48" t="s">
        <v>964</v>
      </c>
      <c r="E1946" s="37">
        <v>40839</v>
      </c>
      <c r="F1946" s="192" t="s">
        <v>1248</v>
      </c>
      <c r="G1946" s="498" t="s">
        <v>1242</v>
      </c>
      <c r="H1946" s="7" t="s">
        <v>765</v>
      </c>
      <c r="I1946" s="256">
        <v>396</v>
      </c>
      <c r="J1946" s="256">
        <v>4368.5536403908982</v>
      </c>
      <c r="K1946" s="614">
        <f t="shared" si="158"/>
        <v>1729947</v>
      </c>
      <c r="L1946" s="52" t="s">
        <v>165</v>
      </c>
      <c r="M1946" s="52" t="s">
        <v>159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94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36">
        <f t="shared" si="159"/>
        <v>10</v>
      </c>
      <c r="C1947" s="860">
        <f t="shared" si="157"/>
        <v>40839</v>
      </c>
      <c r="D1947" s="48" t="s">
        <v>964</v>
      </c>
      <c r="E1947" s="37">
        <v>40839</v>
      </c>
      <c r="F1947" s="192" t="s">
        <v>1249</v>
      </c>
      <c r="G1947" s="498" t="s">
        <v>1242</v>
      </c>
      <c r="H1947" s="7" t="s">
        <v>765</v>
      </c>
      <c r="I1947" s="256">
        <v>280</v>
      </c>
      <c r="J1947" s="256">
        <v>2167.2546144168714</v>
      </c>
      <c r="K1947" s="614">
        <f t="shared" si="158"/>
        <v>606831</v>
      </c>
      <c r="L1947" s="52" t="s">
        <v>165</v>
      </c>
      <c r="M1947" s="52" t="s">
        <v>159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94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12">
        <f t="shared" si="159"/>
        <v>10</v>
      </c>
      <c r="C1948" s="191">
        <v>40840</v>
      </c>
      <c r="D1948" s="191" t="s">
        <v>965</v>
      </c>
      <c r="E1948" s="191">
        <v>40840</v>
      </c>
      <c r="F1948" s="192" t="s">
        <v>1250</v>
      </c>
      <c r="G1948" s="498" t="s">
        <v>1251</v>
      </c>
      <c r="H1948" s="193" t="s">
        <v>735</v>
      </c>
      <c r="I1948" s="256">
        <v>165</v>
      </c>
      <c r="J1948" s="256">
        <v>25900</v>
      </c>
      <c r="K1948" s="614">
        <v>4273500</v>
      </c>
      <c r="L1948" s="194" t="s">
        <v>259</v>
      </c>
      <c r="M1948" s="194" t="s">
        <v>167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94"/>
      <c r="AB1948" s="831"/>
      <c r="AC1948" s="831"/>
      <c r="AD1948" s="831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712">
        <f t="shared" si="159"/>
        <v>10</v>
      </c>
      <c r="C1949" s="191">
        <v>40840</v>
      </c>
      <c r="D1949" s="191" t="s">
        <v>965</v>
      </c>
      <c r="E1949" s="191">
        <v>40840</v>
      </c>
      <c r="F1949" s="192" t="s">
        <v>1252</v>
      </c>
      <c r="G1949" s="498" t="s">
        <v>1251</v>
      </c>
      <c r="H1949" s="193" t="s">
        <v>735</v>
      </c>
      <c r="I1949" s="256">
        <v>571</v>
      </c>
      <c r="J1949" s="256">
        <v>21300</v>
      </c>
      <c r="K1949" s="614">
        <v>12162300</v>
      </c>
      <c r="L1949" s="194" t="s">
        <v>259</v>
      </c>
      <c r="M1949" s="194" t="s">
        <v>167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94"/>
      <c r="AB1949" s="831"/>
      <c r="AC1949" s="831"/>
      <c r="AD1949" s="831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712">
        <f t="shared" si="159"/>
        <v>10</v>
      </c>
      <c r="C1950" s="191">
        <v>40840</v>
      </c>
      <c r="D1950" s="191" t="s">
        <v>965</v>
      </c>
      <c r="E1950" s="191">
        <v>40840</v>
      </c>
      <c r="F1950" s="192" t="s">
        <v>1176</v>
      </c>
      <c r="G1950" s="498" t="s">
        <v>1251</v>
      </c>
      <c r="H1950" s="193" t="s">
        <v>735</v>
      </c>
      <c r="I1950" s="256"/>
      <c r="J1950" s="256"/>
      <c r="K1950" s="614">
        <f>1643580+2</f>
        <v>1643582</v>
      </c>
      <c r="L1950" s="194" t="s">
        <v>259</v>
      </c>
      <c r="M1950" s="194" t="s">
        <v>731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94"/>
      <c r="AB1950" s="831"/>
      <c r="AC1950" s="831"/>
      <c r="AD1950" s="831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712">
        <f t="shared" si="159"/>
        <v>10</v>
      </c>
      <c r="C1951" s="860">
        <f>E1951</f>
        <v>40840</v>
      </c>
      <c r="D1951" s="48" t="s">
        <v>1121</v>
      </c>
      <c r="E1951" s="48">
        <v>40840</v>
      </c>
      <c r="F1951" s="867" t="s">
        <v>1250</v>
      </c>
      <c r="G1951" s="49"/>
      <c r="H1951" s="868" t="s">
        <v>1092</v>
      </c>
      <c r="I1951" s="254">
        <v>165</v>
      </c>
      <c r="J1951" s="254">
        <v>20534.356670693927</v>
      </c>
      <c r="K1951" s="716">
        <f>ROUND(I1951*J1951,0)</f>
        <v>3388169</v>
      </c>
      <c r="L1951" s="52" t="s">
        <v>159</v>
      </c>
      <c r="M1951" s="52" t="s">
        <v>157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94"/>
      <c r="AB1951" s="831"/>
      <c r="AC1951" s="831"/>
      <c r="AD1951" s="831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712">
        <f t="shared" si="159"/>
        <v>10</v>
      </c>
      <c r="C1952" s="860">
        <f>E1952</f>
        <v>40840</v>
      </c>
      <c r="D1952" s="48" t="s">
        <v>1121</v>
      </c>
      <c r="E1952" s="48">
        <v>40840</v>
      </c>
      <c r="F1952" s="867" t="s">
        <v>1252</v>
      </c>
      <c r="G1952" s="49"/>
      <c r="H1952" s="868" t="s">
        <v>1092</v>
      </c>
      <c r="I1952" s="254">
        <v>571</v>
      </c>
      <c r="J1952" s="254">
        <v>14778.765628927755</v>
      </c>
      <c r="K1952" s="716">
        <f>ROUND(I1952*J1952,0)</f>
        <v>8438675</v>
      </c>
      <c r="L1952" s="52" t="s">
        <v>159</v>
      </c>
      <c r="M1952" s="52" t="s">
        <v>157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94"/>
      <c r="AB1952" s="831"/>
      <c r="AC1952" s="831"/>
      <c r="AD1952" s="831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>
        <f t="shared" si="159"/>
        <v>10</v>
      </c>
      <c r="C1953" s="860">
        <f>E1953</f>
        <v>40840</v>
      </c>
      <c r="D1953" s="48" t="s">
        <v>965</v>
      </c>
      <c r="E1953" s="37">
        <v>40840</v>
      </c>
      <c r="F1953" s="192" t="s">
        <v>1250</v>
      </c>
      <c r="G1953" s="498" t="s">
        <v>1251</v>
      </c>
      <c r="H1953" s="193" t="s">
        <v>735</v>
      </c>
      <c r="I1953" s="256">
        <v>165</v>
      </c>
      <c r="J1953" s="256">
        <v>20534.356670693927</v>
      </c>
      <c r="K1953" s="614">
        <f>ROUND(I1953*J1953,0)</f>
        <v>3388169</v>
      </c>
      <c r="L1953" s="52" t="s">
        <v>165</v>
      </c>
      <c r="M1953" s="52" t="s">
        <v>159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94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>
        <f t="shared" si="159"/>
        <v>10</v>
      </c>
      <c r="C1954" s="860">
        <f>E1954</f>
        <v>40840</v>
      </c>
      <c r="D1954" s="48" t="s">
        <v>965</v>
      </c>
      <c r="E1954" s="37">
        <v>40840</v>
      </c>
      <c r="F1954" s="192" t="s">
        <v>1252</v>
      </c>
      <c r="G1954" s="498" t="s">
        <v>1251</v>
      </c>
      <c r="H1954" s="193" t="s">
        <v>735</v>
      </c>
      <c r="I1954" s="256">
        <v>571</v>
      </c>
      <c r="J1954" s="256">
        <v>14778.765628927755</v>
      </c>
      <c r="K1954" s="614">
        <f>ROUND(I1954*J1954,0)</f>
        <v>8438675</v>
      </c>
      <c r="L1954" s="52" t="s">
        <v>165</v>
      </c>
      <c r="M1954" s="52" t="s">
        <v>159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94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>
        <f t="shared" si="159"/>
        <v>10</v>
      </c>
      <c r="C1955" s="184">
        <v>40841</v>
      </c>
      <c r="D1955" s="184" t="s">
        <v>333</v>
      </c>
      <c r="E1955" s="184">
        <v>40841</v>
      </c>
      <c r="F1955" s="189" t="s">
        <v>364</v>
      </c>
      <c r="G1955" s="616" t="s">
        <v>330</v>
      </c>
      <c r="H1955" s="7"/>
      <c r="I1955" s="256"/>
      <c r="J1955" s="256"/>
      <c r="K1955" s="614">
        <v>39804</v>
      </c>
      <c r="L1955" s="615" t="s">
        <v>23</v>
      </c>
      <c r="M1955" s="615" t="s">
        <v>39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94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>
        <f t="shared" si="159"/>
        <v>10</v>
      </c>
      <c r="C1956" s="184">
        <v>40842</v>
      </c>
      <c r="D1956" s="184" t="s">
        <v>333</v>
      </c>
      <c r="E1956" s="184">
        <v>40842</v>
      </c>
      <c r="F1956" s="189" t="s">
        <v>335</v>
      </c>
      <c r="G1956" s="616" t="s">
        <v>330</v>
      </c>
      <c r="H1956" s="7" t="s">
        <v>735</v>
      </c>
      <c r="I1956" s="256"/>
      <c r="J1956" s="256"/>
      <c r="K1956" s="614">
        <v>4900000</v>
      </c>
      <c r="L1956" s="615" t="s">
        <v>23</v>
      </c>
      <c r="M1956" s="615" t="s">
        <v>259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94"/>
    </row>
    <row r="1957" spans="1:28" ht="15.75" customHeight="1">
      <c r="A1957" s="204" t="str">
        <f>IF(B1957&lt;&gt;"",IF(AND(B1957&gt;=_TM1,B1957&lt;=_TM2,OR(TH!L1957="1111",TH!M1957="1111")),TH!D1957,""),"")</f>
        <v>C08</v>
      </c>
      <c r="B1957" s="36">
        <f t="shared" si="159"/>
        <v>10</v>
      </c>
      <c r="C1957" s="191">
        <v>40845</v>
      </c>
      <c r="D1957" s="191" t="s">
        <v>441</v>
      </c>
      <c r="E1957" s="191">
        <v>40845</v>
      </c>
      <c r="F1957" s="192" t="s">
        <v>1231</v>
      </c>
      <c r="G1957" s="498" t="s">
        <v>1232</v>
      </c>
      <c r="H1957" s="7" t="s">
        <v>371</v>
      </c>
      <c r="I1957" s="256"/>
      <c r="J1957" s="256"/>
      <c r="K1957" s="614">
        <v>2960000</v>
      </c>
      <c r="L1957" s="194" t="s">
        <v>157</v>
      </c>
      <c r="M1957" s="194" t="s">
        <v>46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94"/>
    </row>
    <row r="1958" spans="1:28" ht="15.75" customHeight="1">
      <c r="A1958" s="204" t="str">
        <f>IF(B1958&lt;&gt;"",IF(AND(B1958&gt;=_TM1,B1958&lt;=_TM2,OR(TH!L1958="1111",TH!M1958="1111")),TH!D1958,""),"")</f>
        <v>C08</v>
      </c>
      <c r="B1958" s="36">
        <f t="shared" si="159"/>
        <v>10</v>
      </c>
      <c r="C1958" s="191">
        <v>40845</v>
      </c>
      <c r="D1958" s="191" t="s">
        <v>441</v>
      </c>
      <c r="E1958" s="191">
        <v>40845</v>
      </c>
      <c r="F1958" s="192" t="s">
        <v>1165</v>
      </c>
      <c r="G1958" s="498" t="s">
        <v>1232</v>
      </c>
      <c r="H1958" s="7" t="s">
        <v>371</v>
      </c>
      <c r="I1958" s="256"/>
      <c r="J1958" s="256"/>
      <c r="K1958" s="38">
        <v>296000</v>
      </c>
      <c r="L1958" s="194" t="s">
        <v>9</v>
      </c>
      <c r="M1958" s="194" t="s">
        <v>46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94"/>
      <c r="AB1958" s="198">
        <v>10</v>
      </c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>
        <f t="shared" si="159"/>
        <v>10</v>
      </c>
      <c r="C1959" s="720">
        <v>40847</v>
      </c>
      <c r="D1959" s="720" t="s">
        <v>337</v>
      </c>
      <c r="E1959" s="835">
        <v>40847</v>
      </c>
      <c r="F1959" s="721" t="s">
        <v>947</v>
      </c>
      <c r="G1959" s="722"/>
      <c r="H1959" s="628"/>
      <c r="I1959" s="494"/>
      <c r="J1959" s="494"/>
      <c r="K1959" s="723">
        <v>6700577</v>
      </c>
      <c r="L1959" s="724" t="s">
        <v>75</v>
      </c>
      <c r="M1959" s="724" t="s">
        <v>262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>x</v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94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>
        <f t="shared" si="159"/>
        <v>10</v>
      </c>
      <c r="C1960" s="720">
        <v>40847</v>
      </c>
      <c r="D1960" s="720" t="s">
        <v>337</v>
      </c>
      <c r="E1960" s="835">
        <v>40847</v>
      </c>
      <c r="F1960" s="721" t="s">
        <v>785</v>
      </c>
      <c r="G1960" s="722"/>
      <c r="H1960" s="628"/>
      <c r="I1960" s="494"/>
      <c r="J1960" s="494"/>
      <c r="K1960" s="614">
        <v>6028846</v>
      </c>
      <c r="L1960" s="724" t="s">
        <v>157</v>
      </c>
      <c r="M1960" s="724" t="s">
        <v>262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94"/>
    </row>
    <row r="1961" spans="1:28" ht="15.75" customHeight="1">
      <c r="A1961" s="204" t="str">
        <f>IF(B1961&lt;&gt;"",IF(AND(B1961&gt;=_TM1,B1961&lt;=_TM2,OR(TH!L1961="1111",TH!M1961="1111")),TH!D1961,""),"")</f>
        <v>C09</v>
      </c>
      <c r="B1961" s="36">
        <f t="shared" si="159"/>
        <v>10</v>
      </c>
      <c r="C1961" s="720">
        <v>40847</v>
      </c>
      <c r="D1961" s="720" t="s">
        <v>442</v>
      </c>
      <c r="E1961" s="835">
        <v>40847</v>
      </c>
      <c r="F1961" s="721" t="s">
        <v>1218</v>
      </c>
      <c r="G1961" s="722"/>
      <c r="H1961" s="628" t="s">
        <v>363</v>
      </c>
      <c r="I1961" s="494"/>
      <c r="J1961" s="494"/>
      <c r="K1961" s="723">
        <v>12729423</v>
      </c>
      <c r="L1961" s="724" t="s">
        <v>262</v>
      </c>
      <c r="M1961" s="724" t="s">
        <v>46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94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>
        <f t="shared" si="159"/>
        <v>10</v>
      </c>
      <c r="C1962" s="191">
        <v>40847</v>
      </c>
      <c r="D1962" s="184" t="s">
        <v>695</v>
      </c>
      <c r="E1962" s="191">
        <v>40847</v>
      </c>
      <c r="F1962" s="189" t="s">
        <v>388</v>
      </c>
      <c r="G1962" s="498" t="s">
        <v>1233</v>
      </c>
      <c r="H1962" s="7" t="s">
        <v>391</v>
      </c>
      <c r="I1962" s="256">
        <v>100</v>
      </c>
      <c r="J1962" s="256">
        <v>25000</v>
      </c>
      <c r="K1962" s="614">
        <v>2500000</v>
      </c>
      <c r="L1962" s="194" t="s">
        <v>153</v>
      </c>
      <c r="M1962" s="194" t="s">
        <v>8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>x</v>
      </c>
      <c r="Z1962" s="52" t="str">
        <f>IF(AND(B1962&lt;=NKC!$N$8,B1962&gt;=NKC!$M$8),"x","")</f>
        <v/>
      </c>
      <c r="AA1962" s="894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>
        <f t="shared" si="159"/>
        <v>10</v>
      </c>
      <c r="C1963" s="191">
        <v>40847</v>
      </c>
      <c r="D1963" s="184" t="s">
        <v>695</v>
      </c>
      <c r="E1963" s="191">
        <v>40847</v>
      </c>
      <c r="F1963" s="189" t="s">
        <v>389</v>
      </c>
      <c r="G1963" s="498" t="s">
        <v>1233</v>
      </c>
      <c r="H1963" s="7" t="s">
        <v>391</v>
      </c>
      <c r="I1963" s="256"/>
      <c r="J1963" s="256"/>
      <c r="K1963" s="38">
        <v>250000</v>
      </c>
      <c r="L1963" s="194" t="s">
        <v>9</v>
      </c>
      <c r="M1963" s="194" t="s">
        <v>8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94"/>
      <c r="AB1963" s="198">
        <v>10</v>
      </c>
    </row>
    <row r="1964" spans="1:28" ht="15.75" customHeight="1">
      <c r="A1964" s="204" t="str">
        <f>IF(B1964&lt;&gt;"",IF(AND(B1964&gt;=_TM1,B1964&lt;=_TM2,OR(TH!L1964="1111",TH!M1964="1111")),TH!D1964,""),"")</f>
        <v>C10</v>
      </c>
      <c r="B1964" s="36">
        <f t="shared" si="159"/>
        <v>10</v>
      </c>
      <c r="C1964" s="191">
        <v>40847</v>
      </c>
      <c r="D1964" s="191" t="s">
        <v>657</v>
      </c>
      <c r="E1964" s="191">
        <v>40847</v>
      </c>
      <c r="F1964" s="192" t="s">
        <v>637</v>
      </c>
      <c r="G1964" s="498" t="s">
        <v>1233</v>
      </c>
      <c r="H1964" s="7" t="s">
        <v>391</v>
      </c>
      <c r="I1964" s="258"/>
      <c r="J1964" s="258"/>
      <c r="K1964" s="38">
        <v>2750000</v>
      </c>
      <c r="L1964" s="194" t="s">
        <v>8</v>
      </c>
      <c r="M1964" s="194" t="s">
        <v>46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94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>
        <f t="shared" si="159"/>
        <v>10</v>
      </c>
      <c r="C1965" s="191">
        <f>E1965</f>
        <v>40847</v>
      </c>
      <c r="D1965" s="37" t="s">
        <v>1253</v>
      </c>
      <c r="E1965" s="794">
        <v>40847</v>
      </c>
      <c r="F1965" s="456" t="s">
        <v>388</v>
      </c>
      <c r="G1965" s="40"/>
      <c r="H1965" s="628" t="s">
        <v>1092</v>
      </c>
      <c r="I1965" s="256">
        <v>50</v>
      </c>
      <c r="J1965" s="256">
        <v>25000</v>
      </c>
      <c r="K1965" s="866">
        <f>ROUND(I1965*J1965,0)</f>
        <v>1250000</v>
      </c>
      <c r="L1965" s="39" t="s">
        <v>157</v>
      </c>
      <c r="M1965" s="39" t="s">
        <v>153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>x</v>
      </c>
      <c r="Z1965" s="52" t="str">
        <f>IF(AND(B1965&lt;=NKC!$N$8,B1965&gt;=NKC!$M$8),"x","")</f>
        <v/>
      </c>
      <c r="AA1965" s="894"/>
    </row>
    <row r="1966" spans="1:28" ht="15.75" customHeight="1">
      <c r="A1966" s="204" t="str">
        <f>IF(B1966&lt;&gt;"",IF(AND(B1966&gt;=_TM1,B1966&lt;=_TM2,OR(TH!L1966="1111",TH!M1966="1111")),TH!D1966,""),"")</f>
        <v>C11</v>
      </c>
      <c r="B1966" s="36">
        <f t="shared" si="159"/>
        <v>11</v>
      </c>
      <c r="C1966" s="191">
        <v>40848</v>
      </c>
      <c r="D1966" s="191" t="s">
        <v>658</v>
      </c>
      <c r="E1966" s="191">
        <v>40848</v>
      </c>
      <c r="F1966" s="192" t="s">
        <v>1168</v>
      </c>
      <c r="G1966" s="498" t="s">
        <v>1273</v>
      </c>
      <c r="H1966" s="193" t="s">
        <v>1223</v>
      </c>
      <c r="I1966" s="256"/>
      <c r="J1966" s="256"/>
      <c r="K1966" s="38">
        <v>510000</v>
      </c>
      <c r="L1966" s="194" t="s">
        <v>261</v>
      </c>
      <c r="M1966" s="615" t="s">
        <v>46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94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>
        <f t="shared" si="159"/>
        <v>11</v>
      </c>
      <c r="C1967" s="191">
        <v>40848</v>
      </c>
      <c r="D1967" s="191" t="s">
        <v>966</v>
      </c>
      <c r="E1967" s="191">
        <v>40848</v>
      </c>
      <c r="F1967" s="192" t="s">
        <v>1206</v>
      </c>
      <c r="G1967" s="498" t="s">
        <v>1328</v>
      </c>
      <c r="H1967" s="210" t="s">
        <v>763</v>
      </c>
      <c r="I1967" s="256">
        <v>400</v>
      </c>
      <c r="J1967" s="256">
        <v>3100</v>
      </c>
      <c r="K1967" s="614">
        <v>1240000</v>
      </c>
      <c r="L1967" s="194" t="s">
        <v>259</v>
      </c>
      <c r="M1967" s="194" t="s">
        <v>167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94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>
        <f t="shared" si="159"/>
        <v>11</v>
      </c>
      <c r="C1968" s="191">
        <v>40848</v>
      </c>
      <c r="D1968" s="191" t="s">
        <v>966</v>
      </c>
      <c r="E1968" s="191">
        <v>40848</v>
      </c>
      <c r="F1968" s="192" t="s">
        <v>1176</v>
      </c>
      <c r="G1968" s="498" t="s">
        <v>1328</v>
      </c>
      <c r="H1968" s="210" t="s">
        <v>763</v>
      </c>
      <c r="I1968" s="256"/>
      <c r="J1968" s="256"/>
      <c r="K1968" s="614">
        <f>124000+1</f>
        <v>124001</v>
      </c>
      <c r="L1968" s="194" t="s">
        <v>259</v>
      </c>
      <c r="M1968" s="194" t="s">
        <v>731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94"/>
    </row>
    <row r="1969" spans="1:30" ht="15.75" customHeight="1">
      <c r="A1969" s="204" t="str">
        <f>IF(B1969&lt;&gt;"",IF(AND(B1969&gt;=_TM1,B1969&lt;=_TM2,OR(TH!L1969="1111",TH!M1969="1111")),TH!D1969,""),"")</f>
        <v>T02</v>
      </c>
      <c r="B1969" s="36">
        <f t="shared" si="159"/>
        <v>11</v>
      </c>
      <c r="C1969" s="191">
        <v>40848</v>
      </c>
      <c r="D1969" s="191" t="s">
        <v>433</v>
      </c>
      <c r="E1969" s="191">
        <v>40848</v>
      </c>
      <c r="F1969" s="192" t="s">
        <v>335</v>
      </c>
      <c r="G1969" s="498" t="s">
        <v>1328</v>
      </c>
      <c r="H1969" s="210" t="s">
        <v>763</v>
      </c>
      <c r="I1969" s="256"/>
      <c r="J1969" s="256"/>
      <c r="K1969" s="614">
        <v>1364001</v>
      </c>
      <c r="L1969" s="194" t="s">
        <v>46</v>
      </c>
      <c r="M1969" s="194" t="s">
        <v>259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94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36">
        <f t="shared" si="159"/>
        <v>11</v>
      </c>
      <c r="C1970" s="191">
        <f t="shared" ref="C1970:C1979" si="160">E1970</f>
        <v>40848</v>
      </c>
      <c r="D1970" s="860" t="s">
        <v>1099</v>
      </c>
      <c r="E1970" s="794">
        <v>40848</v>
      </c>
      <c r="F1970" s="189" t="s">
        <v>579</v>
      </c>
      <c r="G1970" s="40"/>
      <c r="H1970" s="628" t="s">
        <v>1092</v>
      </c>
      <c r="I1970" s="256">
        <v>80</v>
      </c>
      <c r="J1970" s="256">
        <v>7543</v>
      </c>
      <c r="K1970" s="614">
        <f t="shared" ref="K1970:K1979" si="161">ROUND(I1970*J1970,0)</f>
        <v>603440</v>
      </c>
      <c r="L1970" s="52" t="s">
        <v>157</v>
      </c>
      <c r="M1970" s="52" t="s">
        <v>151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94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36">
        <f t="shared" si="159"/>
        <v>11</v>
      </c>
      <c r="C1971" s="191">
        <f t="shared" si="160"/>
        <v>40848</v>
      </c>
      <c r="D1971" s="860" t="s">
        <v>1099</v>
      </c>
      <c r="E1971" s="794">
        <v>40848</v>
      </c>
      <c r="F1971" s="40" t="s">
        <v>649</v>
      </c>
      <c r="G1971" s="40"/>
      <c r="H1971" s="628" t="s">
        <v>1092</v>
      </c>
      <c r="I1971" s="256">
        <v>75</v>
      </c>
      <c r="J1971" s="256">
        <v>16502</v>
      </c>
      <c r="K1971" s="614">
        <f t="shared" si="161"/>
        <v>1237650</v>
      </c>
      <c r="L1971" s="52" t="s">
        <v>157</v>
      </c>
      <c r="M1971" s="52" t="s">
        <v>151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94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36">
        <f t="shared" si="159"/>
        <v>11</v>
      </c>
      <c r="C1972" s="191">
        <f t="shared" si="160"/>
        <v>40848</v>
      </c>
      <c r="D1972" s="860" t="s">
        <v>1099</v>
      </c>
      <c r="E1972" s="794">
        <v>40848</v>
      </c>
      <c r="F1972" s="189" t="s">
        <v>507</v>
      </c>
      <c r="G1972" s="40"/>
      <c r="H1972" s="628" t="s">
        <v>1092</v>
      </c>
      <c r="I1972" s="256">
        <v>33</v>
      </c>
      <c r="J1972" s="256">
        <v>8620</v>
      </c>
      <c r="K1972" s="614">
        <f t="shared" si="161"/>
        <v>284460</v>
      </c>
      <c r="L1972" s="52" t="s">
        <v>157</v>
      </c>
      <c r="M1972" s="52" t="s">
        <v>151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94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36">
        <f t="shared" si="159"/>
        <v>11</v>
      </c>
      <c r="C1973" s="191">
        <f t="shared" si="160"/>
        <v>40848</v>
      </c>
      <c r="D1973" s="860" t="s">
        <v>1099</v>
      </c>
      <c r="E1973" s="794">
        <v>40848</v>
      </c>
      <c r="F1973" s="189" t="s">
        <v>578</v>
      </c>
      <c r="G1973" s="40"/>
      <c r="H1973" s="628" t="s">
        <v>1092</v>
      </c>
      <c r="I1973" s="256">
        <v>22</v>
      </c>
      <c r="J1973" s="256">
        <v>10344</v>
      </c>
      <c r="K1973" s="614">
        <f t="shared" si="161"/>
        <v>227568</v>
      </c>
      <c r="L1973" s="52" t="s">
        <v>157</v>
      </c>
      <c r="M1973" s="52" t="s">
        <v>151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94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36">
        <f t="shared" si="159"/>
        <v>11</v>
      </c>
      <c r="C1974" s="191">
        <f t="shared" si="160"/>
        <v>40848</v>
      </c>
      <c r="D1974" s="860" t="s">
        <v>1099</v>
      </c>
      <c r="E1974" s="794">
        <v>40848</v>
      </c>
      <c r="F1974" s="189" t="s">
        <v>507</v>
      </c>
      <c r="G1974" s="40"/>
      <c r="H1974" s="628" t="s">
        <v>1092</v>
      </c>
      <c r="I1974" s="256">
        <v>44</v>
      </c>
      <c r="J1974" s="256">
        <v>8620</v>
      </c>
      <c r="K1974" s="614">
        <f t="shared" si="161"/>
        <v>379280</v>
      </c>
      <c r="L1974" s="52" t="s">
        <v>157</v>
      </c>
      <c r="M1974" s="52" t="s">
        <v>151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94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36">
        <f t="shared" si="159"/>
        <v>11</v>
      </c>
      <c r="C1975" s="191">
        <f t="shared" si="160"/>
        <v>40848</v>
      </c>
      <c r="D1975" s="860" t="s">
        <v>1099</v>
      </c>
      <c r="E1975" s="794">
        <v>40848</v>
      </c>
      <c r="F1975" s="40" t="s">
        <v>642</v>
      </c>
      <c r="G1975" s="40"/>
      <c r="H1975" s="628" t="s">
        <v>1092</v>
      </c>
      <c r="I1975" s="256">
        <v>15.5</v>
      </c>
      <c r="J1975" s="256">
        <v>20278</v>
      </c>
      <c r="K1975" s="614">
        <f t="shared" si="161"/>
        <v>314309</v>
      </c>
      <c r="L1975" s="52" t="s">
        <v>157</v>
      </c>
      <c r="M1975" s="52" t="s">
        <v>151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94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36">
        <f t="shared" si="159"/>
        <v>11</v>
      </c>
      <c r="C1976" s="191">
        <f t="shared" si="160"/>
        <v>40848</v>
      </c>
      <c r="D1976" s="860" t="s">
        <v>1099</v>
      </c>
      <c r="E1976" s="794">
        <v>40848</v>
      </c>
      <c r="F1976" s="40" t="s">
        <v>651</v>
      </c>
      <c r="G1976" s="40"/>
      <c r="H1976" s="628" t="s">
        <v>1092</v>
      </c>
      <c r="I1976" s="256">
        <v>32</v>
      </c>
      <c r="J1976" s="256">
        <v>14105</v>
      </c>
      <c r="K1976" s="614">
        <f t="shared" si="161"/>
        <v>451360</v>
      </c>
      <c r="L1976" s="52" t="s">
        <v>157</v>
      </c>
      <c r="M1976" s="52" t="s">
        <v>151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94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36">
        <f t="shared" si="159"/>
        <v>11</v>
      </c>
      <c r="C1977" s="191">
        <f t="shared" si="160"/>
        <v>40848</v>
      </c>
      <c r="D1977" s="860" t="s">
        <v>1099</v>
      </c>
      <c r="E1977" s="794">
        <v>40848</v>
      </c>
      <c r="F1977" s="189" t="s">
        <v>553</v>
      </c>
      <c r="G1977" s="40"/>
      <c r="H1977" s="628" t="s">
        <v>1092</v>
      </c>
      <c r="I1977" s="256">
        <v>1</v>
      </c>
      <c r="J1977" s="256">
        <v>17368</v>
      </c>
      <c r="K1977" s="614">
        <f t="shared" si="161"/>
        <v>17368</v>
      </c>
      <c r="L1977" s="52" t="s">
        <v>157</v>
      </c>
      <c r="M1977" s="52" t="s">
        <v>151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94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12">
        <f t="shared" si="159"/>
        <v>11</v>
      </c>
      <c r="C1978" s="860">
        <f t="shared" si="160"/>
        <v>40848</v>
      </c>
      <c r="D1978" s="48" t="s">
        <v>1122</v>
      </c>
      <c r="E1978" s="895">
        <v>40848</v>
      </c>
      <c r="F1978" s="49" t="s">
        <v>1206</v>
      </c>
      <c r="G1978" s="49"/>
      <c r="H1978" s="868" t="s">
        <v>1092</v>
      </c>
      <c r="I1978" s="254">
        <v>400</v>
      </c>
      <c r="J1978" s="254">
        <v>2807.1056858454431</v>
      </c>
      <c r="K1978" s="716">
        <f t="shared" si="161"/>
        <v>1122842</v>
      </c>
      <c r="L1978" s="52" t="s">
        <v>159</v>
      </c>
      <c r="M1978" s="52" t="s">
        <v>157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94"/>
      <c r="AB1978" s="831"/>
      <c r="AC1978" s="831"/>
      <c r="AD1978" s="831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36">
        <f t="shared" si="159"/>
        <v>11</v>
      </c>
      <c r="C1979" s="191">
        <f t="shared" si="160"/>
        <v>40848</v>
      </c>
      <c r="D1979" s="37" t="s">
        <v>966</v>
      </c>
      <c r="E1979" s="794">
        <v>40848</v>
      </c>
      <c r="F1979" s="192" t="s">
        <v>1206</v>
      </c>
      <c r="G1979" s="498" t="s">
        <v>1328</v>
      </c>
      <c r="H1979" s="210" t="s">
        <v>763</v>
      </c>
      <c r="I1979" s="256">
        <v>400</v>
      </c>
      <c r="J1979" s="256">
        <v>2807.1056858454431</v>
      </c>
      <c r="K1979" s="866">
        <f t="shared" si="161"/>
        <v>1122842</v>
      </c>
      <c r="L1979" s="854" t="s">
        <v>165</v>
      </c>
      <c r="M1979" s="854" t="s">
        <v>159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94"/>
    </row>
    <row r="1980" spans="1:30" ht="15.75" customHeight="1">
      <c r="A1980" s="204" t="str">
        <f>IF(B1980&lt;&gt;"",IF(AND(B1980&gt;=_TM1,B1980&lt;=_TM2,OR(TH!L1980="1111",TH!M1980="1111")),TH!D1980,""),"")</f>
        <v>C12</v>
      </c>
      <c r="B1980" s="36">
        <f t="shared" si="159"/>
        <v>11</v>
      </c>
      <c r="C1980" s="191">
        <v>40850</v>
      </c>
      <c r="D1980" s="191" t="s">
        <v>659</v>
      </c>
      <c r="E1980" s="191">
        <v>40850</v>
      </c>
      <c r="F1980" s="192" t="s">
        <v>468</v>
      </c>
      <c r="G1980" s="495" t="s">
        <v>1274</v>
      </c>
      <c r="H1980" s="45" t="s">
        <v>470</v>
      </c>
      <c r="I1980" s="258"/>
      <c r="J1980" s="256"/>
      <c r="K1980" s="38">
        <v>803075</v>
      </c>
      <c r="L1980" s="194" t="s">
        <v>75</v>
      </c>
      <c r="M1980" s="615" t="s">
        <v>46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>x</v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94"/>
    </row>
    <row r="1981" spans="1:30" ht="15.75" customHeight="1">
      <c r="A1981" s="204" t="str">
        <f>IF(B1981&lt;&gt;"",IF(AND(B1981&gt;=_TM1,B1981&lt;=_TM2,OR(TH!L1981="1111",TH!M1981="1111")),TH!D1981,""),"")</f>
        <v>C12</v>
      </c>
      <c r="B1981" s="36">
        <f t="shared" si="159"/>
        <v>11</v>
      </c>
      <c r="C1981" s="191">
        <v>40850</v>
      </c>
      <c r="D1981" s="191" t="s">
        <v>659</v>
      </c>
      <c r="E1981" s="191">
        <v>40850</v>
      </c>
      <c r="F1981" s="192" t="s">
        <v>471</v>
      </c>
      <c r="G1981" s="495" t="s">
        <v>1274</v>
      </c>
      <c r="H1981" s="45" t="s">
        <v>470</v>
      </c>
      <c r="I1981" s="258"/>
      <c r="J1981" s="256"/>
      <c r="K1981" s="38">
        <v>80308</v>
      </c>
      <c r="L1981" s="194" t="s">
        <v>9</v>
      </c>
      <c r="M1981" s="615" t="s">
        <v>46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94"/>
      <c r="AB1981" s="198">
        <v>11</v>
      </c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36">
        <f t="shared" si="159"/>
        <v>11</v>
      </c>
      <c r="C1982" s="191">
        <f t="shared" ref="C1982:C1999" si="162">E1982</f>
        <v>40852</v>
      </c>
      <c r="D1982" s="860" t="s">
        <v>1100</v>
      </c>
      <c r="E1982" s="794">
        <v>40852</v>
      </c>
      <c r="F1982" s="189" t="s">
        <v>401</v>
      </c>
      <c r="G1982" s="40"/>
      <c r="H1982" s="628" t="s">
        <v>1092</v>
      </c>
      <c r="I1982" s="256">
        <v>10</v>
      </c>
      <c r="J1982" s="256">
        <v>36792</v>
      </c>
      <c r="K1982" s="614">
        <f t="shared" ref="K1982:K1999" si="163">ROUND(I1982*J1982,0)</f>
        <v>367920</v>
      </c>
      <c r="L1982" s="52" t="s">
        <v>157</v>
      </c>
      <c r="M1982" s="52" t="s">
        <v>151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94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36">
        <f t="shared" si="159"/>
        <v>11</v>
      </c>
      <c r="C1983" s="191">
        <f t="shared" si="162"/>
        <v>40852</v>
      </c>
      <c r="D1983" s="860" t="s">
        <v>1100</v>
      </c>
      <c r="E1983" s="794">
        <v>40852</v>
      </c>
      <c r="F1983" s="189" t="s">
        <v>501</v>
      </c>
      <c r="G1983" s="40"/>
      <c r="H1983" s="628" t="s">
        <v>1092</v>
      </c>
      <c r="I1983" s="256">
        <v>5.5</v>
      </c>
      <c r="J1983" s="256">
        <v>13498</v>
      </c>
      <c r="K1983" s="614">
        <f t="shared" si="163"/>
        <v>74239</v>
      </c>
      <c r="L1983" s="52" t="s">
        <v>157</v>
      </c>
      <c r="M1983" s="52" t="s">
        <v>151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94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36">
        <f t="shared" si="159"/>
        <v>11</v>
      </c>
      <c r="C1984" s="191">
        <f t="shared" si="162"/>
        <v>40852</v>
      </c>
      <c r="D1984" s="860" t="s">
        <v>1100</v>
      </c>
      <c r="E1984" s="794">
        <v>40852</v>
      </c>
      <c r="F1984" s="40" t="s">
        <v>649</v>
      </c>
      <c r="G1984" s="40"/>
      <c r="H1984" s="628" t="s">
        <v>1092</v>
      </c>
      <c r="I1984" s="256">
        <v>143</v>
      </c>
      <c r="J1984" s="256">
        <v>16502</v>
      </c>
      <c r="K1984" s="614">
        <f t="shared" si="163"/>
        <v>2359786</v>
      </c>
      <c r="L1984" s="52" t="s">
        <v>157</v>
      </c>
      <c r="M1984" s="52" t="s">
        <v>151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94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36">
        <f t="shared" si="159"/>
        <v>11</v>
      </c>
      <c r="C1985" s="191">
        <f t="shared" si="162"/>
        <v>40852</v>
      </c>
      <c r="D1985" s="860" t="s">
        <v>1100</v>
      </c>
      <c r="E1985" s="794">
        <v>40852</v>
      </c>
      <c r="F1985" s="40" t="s">
        <v>611</v>
      </c>
      <c r="G1985" s="40"/>
      <c r="H1985" s="628" t="s">
        <v>1092</v>
      </c>
      <c r="I1985" s="256">
        <v>1.5</v>
      </c>
      <c r="J1985" s="256">
        <v>18396</v>
      </c>
      <c r="K1985" s="614">
        <f t="shared" si="163"/>
        <v>27594</v>
      </c>
      <c r="L1985" s="52" t="s">
        <v>157</v>
      </c>
      <c r="M1985" s="52" t="s">
        <v>151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94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36">
        <f t="shared" si="159"/>
        <v>11</v>
      </c>
      <c r="C1986" s="191">
        <f t="shared" si="162"/>
        <v>40852</v>
      </c>
      <c r="D1986" s="860" t="s">
        <v>1100</v>
      </c>
      <c r="E1986" s="794">
        <v>40852</v>
      </c>
      <c r="F1986" s="456" t="s">
        <v>643</v>
      </c>
      <c r="G1986" s="40"/>
      <c r="H1986" s="628" t="s">
        <v>1092</v>
      </c>
      <c r="I1986" s="256">
        <v>19</v>
      </c>
      <c r="J1986" s="256">
        <v>25631</v>
      </c>
      <c r="K1986" s="614">
        <f t="shared" si="163"/>
        <v>486989</v>
      </c>
      <c r="L1986" s="52" t="s">
        <v>157</v>
      </c>
      <c r="M1986" s="52" t="s">
        <v>151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94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>
        <f t="shared" si="159"/>
        <v>11</v>
      </c>
      <c r="C1987" s="191">
        <f t="shared" si="162"/>
        <v>40852</v>
      </c>
      <c r="D1987" s="860" t="s">
        <v>1100</v>
      </c>
      <c r="E1987" s="794">
        <v>40852</v>
      </c>
      <c r="F1987" s="189" t="s">
        <v>549</v>
      </c>
      <c r="G1987" s="40"/>
      <c r="H1987" s="628" t="s">
        <v>1092</v>
      </c>
      <c r="I1987" s="256">
        <v>35</v>
      </c>
      <c r="J1987" s="256">
        <v>13954</v>
      </c>
      <c r="K1987" s="614">
        <f t="shared" si="163"/>
        <v>488390</v>
      </c>
      <c r="L1987" s="52" t="s">
        <v>157</v>
      </c>
      <c r="M1987" s="52" t="s">
        <v>151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94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>
        <f t="shared" si="159"/>
        <v>11</v>
      </c>
      <c r="C1988" s="191">
        <f t="shared" si="162"/>
        <v>40852</v>
      </c>
      <c r="D1988" s="860" t="s">
        <v>1100</v>
      </c>
      <c r="E1988" s="794">
        <v>40852</v>
      </c>
      <c r="F1988" s="40" t="s">
        <v>643</v>
      </c>
      <c r="G1988" s="40"/>
      <c r="H1988" s="628" t="s">
        <v>1092</v>
      </c>
      <c r="I1988" s="256">
        <v>22</v>
      </c>
      <c r="J1988" s="256">
        <v>25631</v>
      </c>
      <c r="K1988" s="614">
        <f t="shared" si="163"/>
        <v>563882</v>
      </c>
      <c r="L1988" s="52" t="s">
        <v>157</v>
      </c>
      <c r="M1988" s="52" t="s">
        <v>151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94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>
        <f t="shared" si="159"/>
        <v>11</v>
      </c>
      <c r="C1989" s="191">
        <f t="shared" si="162"/>
        <v>40852</v>
      </c>
      <c r="D1989" s="860" t="s">
        <v>1100</v>
      </c>
      <c r="E1989" s="794">
        <v>40852</v>
      </c>
      <c r="F1989" s="189" t="s">
        <v>519</v>
      </c>
      <c r="G1989" s="40"/>
      <c r="H1989" s="628" t="s">
        <v>1092</v>
      </c>
      <c r="I1989" s="256">
        <v>16</v>
      </c>
      <c r="J1989" s="256">
        <v>10603</v>
      </c>
      <c r="K1989" s="614">
        <f t="shared" si="163"/>
        <v>169648</v>
      </c>
      <c r="L1989" s="52" t="s">
        <v>157</v>
      </c>
      <c r="M1989" s="52" t="s">
        <v>151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94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>
        <f t="shared" si="159"/>
        <v>11</v>
      </c>
      <c r="C1990" s="191">
        <f t="shared" si="162"/>
        <v>40852</v>
      </c>
      <c r="D1990" s="860" t="s">
        <v>1100</v>
      </c>
      <c r="E1990" s="794">
        <v>40852</v>
      </c>
      <c r="F1990" s="40" t="s">
        <v>624</v>
      </c>
      <c r="G1990" s="40"/>
      <c r="H1990" s="628" t="s">
        <v>1092</v>
      </c>
      <c r="I1990" s="256">
        <v>1</v>
      </c>
      <c r="J1990" s="256">
        <v>23688</v>
      </c>
      <c r="K1990" s="614">
        <f t="shared" si="163"/>
        <v>23688</v>
      </c>
      <c r="L1990" s="52" t="s">
        <v>157</v>
      </c>
      <c r="M1990" s="52" t="s">
        <v>151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94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>
        <f t="shared" si="159"/>
        <v>11</v>
      </c>
      <c r="C1991" s="191">
        <f t="shared" si="162"/>
        <v>40853</v>
      </c>
      <c r="D1991" s="860" t="s">
        <v>1101</v>
      </c>
      <c r="E1991" s="794">
        <v>40853</v>
      </c>
      <c r="F1991" s="40" t="s">
        <v>627</v>
      </c>
      <c r="G1991" s="40"/>
      <c r="H1991" s="628" t="s">
        <v>1092</v>
      </c>
      <c r="I1991" s="256">
        <v>10</v>
      </c>
      <c r="J1991" s="256">
        <v>16703</v>
      </c>
      <c r="K1991" s="614">
        <f t="shared" si="163"/>
        <v>167030</v>
      </c>
      <c r="L1991" s="52" t="s">
        <v>157</v>
      </c>
      <c r="M1991" s="52" t="s">
        <v>151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94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>
        <f t="shared" si="159"/>
        <v>11</v>
      </c>
      <c r="C1992" s="191">
        <f t="shared" si="162"/>
        <v>40853</v>
      </c>
      <c r="D1992" s="860" t="s">
        <v>1101</v>
      </c>
      <c r="E1992" s="794">
        <v>40853</v>
      </c>
      <c r="F1992" s="189" t="s">
        <v>553</v>
      </c>
      <c r="G1992" s="40"/>
      <c r="H1992" s="628" t="s">
        <v>1092</v>
      </c>
      <c r="I1992" s="256">
        <v>94</v>
      </c>
      <c r="J1992" s="256">
        <v>17368</v>
      </c>
      <c r="K1992" s="614">
        <f t="shared" si="163"/>
        <v>1632592</v>
      </c>
      <c r="L1992" s="52" t="s">
        <v>157</v>
      </c>
      <c r="M1992" s="52" t="s">
        <v>151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94"/>
    </row>
    <row r="1993" spans="1:30" s="83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159"/>
        <v>11</v>
      </c>
      <c r="C1993" s="191">
        <f t="shared" si="162"/>
        <v>40853</v>
      </c>
      <c r="D1993" s="860" t="s">
        <v>1101</v>
      </c>
      <c r="E1993" s="794">
        <v>40853</v>
      </c>
      <c r="F1993" s="40" t="s">
        <v>642</v>
      </c>
      <c r="G1993" s="40"/>
      <c r="H1993" s="628" t="s">
        <v>1092</v>
      </c>
      <c r="I1993" s="256">
        <v>58</v>
      </c>
      <c r="J1993" s="256">
        <v>20278</v>
      </c>
      <c r="K1993" s="614">
        <f t="shared" si="163"/>
        <v>1176124</v>
      </c>
      <c r="L1993" s="52" t="s">
        <v>157</v>
      </c>
      <c r="M1993" s="52" t="s">
        <v>151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94"/>
      <c r="AB1993" s="198"/>
      <c r="AC1993" s="198"/>
      <c r="AD1993" s="198"/>
    </row>
    <row r="1994" spans="1:30" s="83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159"/>
        <v>11</v>
      </c>
      <c r="C1994" s="191">
        <f t="shared" si="162"/>
        <v>40853</v>
      </c>
      <c r="D1994" s="860" t="s">
        <v>1101</v>
      </c>
      <c r="E1994" s="794">
        <v>40853</v>
      </c>
      <c r="F1994" s="189" t="s">
        <v>507</v>
      </c>
      <c r="G1994" s="40"/>
      <c r="H1994" s="628" t="s">
        <v>1092</v>
      </c>
      <c r="I1994" s="256">
        <v>4</v>
      </c>
      <c r="J1994" s="256">
        <v>8620</v>
      </c>
      <c r="K1994" s="614">
        <f t="shared" si="163"/>
        <v>34480</v>
      </c>
      <c r="L1994" s="52" t="s">
        <v>157</v>
      </c>
      <c r="M1994" s="52" t="s">
        <v>151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94"/>
      <c r="AB1994" s="198"/>
      <c r="AC1994" s="198"/>
      <c r="AD1994" s="198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36">
        <f t="shared" si="159"/>
        <v>11</v>
      </c>
      <c r="C1995" s="191">
        <f t="shared" si="162"/>
        <v>40853</v>
      </c>
      <c r="D1995" s="860" t="s">
        <v>1101</v>
      </c>
      <c r="E1995" s="794">
        <v>40853</v>
      </c>
      <c r="F1995" s="189" t="s">
        <v>507</v>
      </c>
      <c r="G1995" s="40"/>
      <c r="H1995" s="628" t="s">
        <v>1092</v>
      </c>
      <c r="I1995" s="256">
        <v>1</v>
      </c>
      <c r="J1995" s="256">
        <v>8620</v>
      </c>
      <c r="K1995" s="614">
        <f t="shared" si="163"/>
        <v>8620</v>
      </c>
      <c r="L1995" s="52" t="s">
        <v>157</v>
      </c>
      <c r="M1995" s="52" t="s">
        <v>151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94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36">
        <f t="shared" si="159"/>
        <v>11</v>
      </c>
      <c r="C1996" s="191">
        <f t="shared" si="162"/>
        <v>40853</v>
      </c>
      <c r="D1996" s="860" t="s">
        <v>1101</v>
      </c>
      <c r="E1996" s="794">
        <v>40853</v>
      </c>
      <c r="F1996" s="189" t="s">
        <v>638</v>
      </c>
      <c r="G1996" s="40"/>
      <c r="H1996" s="628" t="s">
        <v>1092</v>
      </c>
      <c r="I1996" s="256">
        <v>2.5</v>
      </c>
      <c r="J1996" s="256">
        <v>24595</v>
      </c>
      <c r="K1996" s="614">
        <f t="shared" si="163"/>
        <v>61488</v>
      </c>
      <c r="L1996" s="52" t="s">
        <v>157</v>
      </c>
      <c r="M1996" s="52" t="s">
        <v>151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94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36">
        <f t="shared" si="159"/>
        <v>11</v>
      </c>
      <c r="C1997" s="191">
        <f t="shared" si="162"/>
        <v>40853</v>
      </c>
      <c r="D1997" s="860" t="s">
        <v>1101</v>
      </c>
      <c r="E1997" s="794">
        <v>40853</v>
      </c>
      <c r="F1997" s="40" t="s">
        <v>642</v>
      </c>
      <c r="G1997" s="40"/>
      <c r="H1997" s="628" t="s">
        <v>1092</v>
      </c>
      <c r="I1997" s="256">
        <v>40</v>
      </c>
      <c r="J1997" s="256">
        <v>20278</v>
      </c>
      <c r="K1997" s="614">
        <f t="shared" si="163"/>
        <v>811120</v>
      </c>
      <c r="L1997" s="52" t="s">
        <v>157</v>
      </c>
      <c r="M1997" s="52" t="s">
        <v>151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94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36">
        <f t="shared" si="159"/>
        <v>11</v>
      </c>
      <c r="C1998" s="191">
        <f t="shared" si="162"/>
        <v>40853</v>
      </c>
      <c r="D1998" s="860" t="s">
        <v>1101</v>
      </c>
      <c r="E1998" s="794">
        <v>40853</v>
      </c>
      <c r="F1998" s="189" t="s">
        <v>553</v>
      </c>
      <c r="G1998" s="40"/>
      <c r="H1998" s="628" t="s">
        <v>1092</v>
      </c>
      <c r="I1998" s="256">
        <v>4</v>
      </c>
      <c r="J1998" s="256">
        <v>17368</v>
      </c>
      <c r="K1998" s="614">
        <f t="shared" si="163"/>
        <v>69472</v>
      </c>
      <c r="L1998" s="52" t="s">
        <v>157</v>
      </c>
      <c r="M1998" s="52" t="s">
        <v>151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94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36">
        <f t="shared" si="159"/>
        <v>11</v>
      </c>
      <c r="C1999" s="191">
        <f t="shared" si="162"/>
        <v>40853</v>
      </c>
      <c r="D1999" s="860" t="s">
        <v>1101</v>
      </c>
      <c r="E1999" s="794">
        <v>40853</v>
      </c>
      <c r="F1999" s="189" t="s">
        <v>542</v>
      </c>
      <c r="G1999" s="40"/>
      <c r="H1999" s="628" t="s">
        <v>1092</v>
      </c>
      <c r="I1999" s="256">
        <v>1.5</v>
      </c>
      <c r="J1999" s="256">
        <v>19638</v>
      </c>
      <c r="K1999" s="614">
        <f t="shared" si="163"/>
        <v>29457</v>
      </c>
      <c r="L1999" s="52" t="s">
        <v>157</v>
      </c>
      <c r="M1999" s="52" t="s">
        <v>151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94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36">
        <f t="shared" si="159"/>
        <v>11</v>
      </c>
      <c r="C2000" s="184">
        <v>40854</v>
      </c>
      <c r="D2000" s="184" t="s">
        <v>333</v>
      </c>
      <c r="E2000" s="184">
        <v>40854</v>
      </c>
      <c r="F2000" s="189" t="s">
        <v>335</v>
      </c>
      <c r="G2000" s="616" t="s">
        <v>330</v>
      </c>
      <c r="H2000" s="7" t="s">
        <v>765</v>
      </c>
      <c r="I2000" s="256"/>
      <c r="J2000" s="256"/>
      <c r="K2000" s="614">
        <v>18616664</v>
      </c>
      <c r="L2000" s="615" t="s">
        <v>23</v>
      </c>
      <c r="M2000" s="615" t="s">
        <v>259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94"/>
    </row>
    <row r="2001" spans="1:27" ht="15.75" customHeight="1">
      <c r="A2001" s="204" t="str">
        <f>IF(B2001&lt;&gt;"",IF(AND(B2001&gt;=_TM1,B2001&lt;=_TM2,OR(TH!L2001="1111",TH!M2001="1111")),TH!D2001,""),"")</f>
        <v/>
      </c>
      <c r="B2001" s="36">
        <f t="shared" si="159"/>
        <v>11</v>
      </c>
      <c r="C2001" s="184">
        <v>40854</v>
      </c>
      <c r="D2001" s="184" t="s">
        <v>333</v>
      </c>
      <c r="E2001" s="184">
        <v>40854</v>
      </c>
      <c r="F2001" s="189" t="s">
        <v>335</v>
      </c>
      <c r="G2001" s="616" t="s">
        <v>330</v>
      </c>
      <c r="H2001" s="193" t="s">
        <v>733</v>
      </c>
      <c r="I2001" s="256"/>
      <c r="J2001" s="256"/>
      <c r="K2001" s="614">
        <v>219757311</v>
      </c>
      <c r="L2001" s="615" t="s">
        <v>23</v>
      </c>
      <c r="M2001" s="615" t="s">
        <v>259</v>
      </c>
      <c r="N2001" s="52" t="str">
        <f>IF(AND('331-CT'!$E$7=TH!H2001,OR(L2001="331",M2001="331")),"331",IF(AND(OR(L2001="131",M2001="131"),H2001='131-CT'!$E$7),"131",""))</f>
        <v>131</v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94"/>
    </row>
    <row r="2002" spans="1:27" ht="15.75" customHeight="1">
      <c r="A2002" s="204" t="str">
        <f>IF(B2002&lt;&gt;"",IF(AND(B2002&gt;=_TM1,B2002&lt;=_TM2,OR(TH!L2002="1111",TH!M2002="1111")),TH!D2002,""),"")</f>
        <v/>
      </c>
      <c r="B2002" s="36">
        <f t="shared" si="159"/>
        <v>11</v>
      </c>
      <c r="C2002" s="191">
        <v>40855</v>
      </c>
      <c r="D2002" s="191" t="s">
        <v>967</v>
      </c>
      <c r="E2002" s="191">
        <v>40855</v>
      </c>
      <c r="F2002" s="192" t="s">
        <v>1265</v>
      </c>
      <c r="G2002" s="498" t="s">
        <v>1288</v>
      </c>
      <c r="H2002" s="193" t="s">
        <v>733</v>
      </c>
      <c r="I2002" s="256">
        <v>150</v>
      </c>
      <c r="J2002" s="256">
        <v>10397</v>
      </c>
      <c r="K2002" s="614">
        <v>1559550</v>
      </c>
      <c r="L2002" s="194" t="s">
        <v>259</v>
      </c>
      <c r="M2002" s="194" t="s">
        <v>167</v>
      </c>
      <c r="N2002" s="52" t="str">
        <f>IF(AND('331-CT'!$E$7=TH!H2002,OR(L2002="331",M2002="331")),"331",IF(AND(OR(L2002="131",M2002="131"),H2002='131-CT'!$E$7),"131",""))</f>
        <v>131</v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94"/>
    </row>
    <row r="2003" spans="1:27" ht="15.75" customHeight="1">
      <c r="A2003" s="204" t="str">
        <f>IF(B2003&lt;&gt;"",IF(AND(B2003&gt;=_TM1,B2003&lt;=_TM2,OR(TH!L2003="1111",TH!M2003="1111")),TH!D2003,""),"")</f>
        <v/>
      </c>
      <c r="B2003" s="36">
        <f t="shared" si="159"/>
        <v>11</v>
      </c>
      <c r="C2003" s="191">
        <v>40855</v>
      </c>
      <c r="D2003" s="191" t="s">
        <v>967</v>
      </c>
      <c r="E2003" s="191">
        <v>40855</v>
      </c>
      <c r="F2003" s="192" t="s">
        <v>1266</v>
      </c>
      <c r="G2003" s="498" t="s">
        <v>1288</v>
      </c>
      <c r="H2003" s="193" t="s">
        <v>733</v>
      </c>
      <c r="I2003" s="256">
        <v>33</v>
      </c>
      <c r="J2003" s="256">
        <v>12869</v>
      </c>
      <c r="K2003" s="614">
        <v>424677</v>
      </c>
      <c r="L2003" s="194" t="s">
        <v>259</v>
      </c>
      <c r="M2003" s="194" t="s">
        <v>167</v>
      </c>
      <c r="N2003" s="52" t="str">
        <f>IF(AND('331-CT'!$E$7=TH!H2003,OR(L2003="331",M2003="331")),"331",IF(AND(OR(L2003="131",M2003="131"),H2003='131-CT'!$E$7),"131",""))</f>
        <v>131</v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94"/>
    </row>
    <row r="2004" spans="1:27" ht="15.75" customHeight="1">
      <c r="A2004" s="204" t="str">
        <f>IF(B2004&lt;&gt;"",IF(AND(B2004&gt;=_TM1,B2004&lt;=_TM2,OR(TH!L2004="1111",TH!M2004="1111")),TH!D2004,""),"")</f>
        <v/>
      </c>
      <c r="B2004" s="36">
        <f t="shared" si="159"/>
        <v>11</v>
      </c>
      <c r="C2004" s="191">
        <v>40855</v>
      </c>
      <c r="D2004" s="191" t="s">
        <v>967</v>
      </c>
      <c r="E2004" s="191">
        <v>40855</v>
      </c>
      <c r="F2004" s="192" t="s">
        <v>1259</v>
      </c>
      <c r="G2004" s="498" t="s">
        <v>1288</v>
      </c>
      <c r="H2004" s="193" t="s">
        <v>733</v>
      </c>
      <c r="I2004" s="256">
        <v>22</v>
      </c>
      <c r="J2004" s="256">
        <v>14450</v>
      </c>
      <c r="K2004" s="614">
        <v>317900</v>
      </c>
      <c r="L2004" s="194" t="s">
        <v>259</v>
      </c>
      <c r="M2004" s="194" t="s">
        <v>167</v>
      </c>
      <c r="N2004" s="52" t="str">
        <f>IF(AND('331-CT'!$E$7=TH!H2004,OR(L2004="331",M2004="331")),"331",IF(AND(OR(L2004="131",M2004="131"),H2004='131-CT'!$E$7),"131",""))</f>
        <v>131</v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94"/>
    </row>
    <row r="2005" spans="1:27" ht="15.75" customHeight="1">
      <c r="A2005" s="204" t="str">
        <f>IF(B2005&lt;&gt;"",IF(AND(B2005&gt;=_TM1,B2005&lt;=_TM2,OR(TH!L2005="1111",TH!M2005="1111")),TH!D2005,""),"")</f>
        <v/>
      </c>
      <c r="B2005" s="36">
        <f t="shared" si="159"/>
        <v>11</v>
      </c>
      <c r="C2005" s="191">
        <v>40855</v>
      </c>
      <c r="D2005" s="191" t="s">
        <v>967</v>
      </c>
      <c r="E2005" s="191">
        <v>40855</v>
      </c>
      <c r="F2005" s="192" t="s">
        <v>1258</v>
      </c>
      <c r="G2005" s="498" t="s">
        <v>1288</v>
      </c>
      <c r="H2005" s="193" t="s">
        <v>733</v>
      </c>
      <c r="I2005" s="256">
        <v>44</v>
      </c>
      <c r="J2005" s="256">
        <v>11420</v>
      </c>
      <c r="K2005" s="614">
        <v>502480</v>
      </c>
      <c r="L2005" s="194" t="s">
        <v>259</v>
      </c>
      <c r="M2005" s="194" t="s">
        <v>167</v>
      </c>
      <c r="N2005" s="52" t="str">
        <f>IF(AND('331-CT'!$E$7=TH!H2005,OR(L2005="331",M2005="331")),"331",IF(AND(OR(L2005="131",M2005="131"),H2005='131-CT'!$E$7),"131",""))</f>
        <v>131</v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94"/>
    </row>
    <row r="2006" spans="1:27" ht="15.75" customHeight="1">
      <c r="A2006" s="204" t="str">
        <f>IF(B2006&lt;&gt;"",IF(AND(B2006&gt;=_TM1,B2006&lt;=_TM2,OR(TH!L2006="1111",TH!M2006="1111")),TH!D2006,""),"")</f>
        <v/>
      </c>
      <c r="B2006" s="36">
        <f t="shared" si="159"/>
        <v>11</v>
      </c>
      <c r="C2006" s="191">
        <v>40855</v>
      </c>
      <c r="D2006" s="191" t="s">
        <v>967</v>
      </c>
      <c r="E2006" s="191">
        <v>40855</v>
      </c>
      <c r="F2006" s="192" t="s">
        <v>1260</v>
      </c>
      <c r="G2006" s="498" t="s">
        <v>1288</v>
      </c>
      <c r="H2006" s="193" t="s">
        <v>733</v>
      </c>
      <c r="I2006" s="256">
        <v>31</v>
      </c>
      <c r="J2006" s="256">
        <v>13881</v>
      </c>
      <c r="K2006" s="614">
        <v>430311</v>
      </c>
      <c r="L2006" s="194" t="s">
        <v>259</v>
      </c>
      <c r="M2006" s="194" t="s">
        <v>167</v>
      </c>
      <c r="N2006" s="52" t="str">
        <f>IF(AND('331-CT'!$E$7=TH!H2006,OR(L2006="331",M2006="331")),"331",IF(AND(OR(L2006="131",M2006="131"),H2006='131-CT'!$E$7),"131",""))</f>
        <v>131</v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94"/>
    </row>
    <row r="2007" spans="1:27" ht="15.75" customHeight="1">
      <c r="A2007" s="204" t="str">
        <f>IF(B2007&lt;&gt;"",IF(AND(B2007&gt;=_TM1,B2007&lt;=_TM2,OR(TH!L2007="1111",TH!M2007="1111")),TH!D2007,""),"")</f>
        <v/>
      </c>
      <c r="B2007" s="36">
        <f t="shared" si="159"/>
        <v>11</v>
      </c>
      <c r="C2007" s="191">
        <v>40855</v>
      </c>
      <c r="D2007" s="191" t="s">
        <v>967</v>
      </c>
      <c r="E2007" s="191">
        <v>40855</v>
      </c>
      <c r="F2007" s="192" t="s">
        <v>1264</v>
      </c>
      <c r="G2007" s="498" t="s">
        <v>1288</v>
      </c>
      <c r="H2007" s="193" t="s">
        <v>733</v>
      </c>
      <c r="I2007" s="256">
        <v>32</v>
      </c>
      <c r="J2007" s="256">
        <v>17372</v>
      </c>
      <c r="K2007" s="614">
        <v>555904</v>
      </c>
      <c r="L2007" s="194" t="s">
        <v>259</v>
      </c>
      <c r="M2007" s="194" t="s">
        <v>167</v>
      </c>
      <c r="N2007" s="52" t="str">
        <f>IF(AND('331-CT'!$E$7=TH!H2007,OR(L2007="331",M2007="331")),"331",IF(AND(OR(L2007="131",M2007="131"),H2007='131-CT'!$E$7),"131",""))</f>
        <v>131</v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94"/>
    </row>
    <row r="2008" spans="1:27" ht="15.75" customHeight="1">
      <c r="A2008" s="204" t="str">
        <f>IF(B2008&lt;&gt;"",IF(AND(B2008&gt;=_TM1,B2008&lt;=_TM2,OR(TH!L2008="1111",TH!M2008="1111")),TH!D2008,""),"")</f>
        <v/>
      </c>
      <c r="B2008" s="36">
        <f t="shared" si="159"/>
        <v>11</v>
      </c>
      <c r="C2008" s="191">
        <v>40855</v>
      </c>
      <c r="D2008" s="191" t="s">
        <v>967</v>
      </c>
      <c r="E2008" s="191">
        <v>40855</v>
      </c>
      <c r="F2008" s="192" t="s">
        <v>1261</v>
      </c>
      <c r="G2008" s="498" t="s">
        <v>1288</v>
      </c>
      <c r="H2008" s="193" t="s">
        <v>733</v>
      </c>
      <c r="I2008" s="256">
        <v>1</v>
      </c>
      <c r="J2008" s="256">
        <v>20981</v>
      </c>
      <c r="K2008" s="614">
        <v>20981</v>
      </c>
      <c r="L2008" s="194" t="s">
        <v>259</v>
      </c>
      <c r="M2008" s="194" t="s">
        <v>167</v>
      </c>
      <c r="N2008" s="52" t="str">
        <f>IF(AND('331-CT'!$E$7=TH!H2008,OR(L2008="331",M2008="331")),"331",IF(AND(OR(L2008="131",M2008="131"),H2008='131-CT'!$E$7),"131",""))</f>
        <v>131</v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94"/>
    </row>
    <row r="2009" spans="1:27" ht="15.75" customHeight="1">
      <c r="A2009" s="204" t="str">
        <f>IF(B2009&lt;&gt;"",IF(AND(B2009&gt;=_TM1,B2009&lt;=_TM2,OR(TH!L2009="1111",TH!M2009="1111")),TH!D2009,""),"")</f>
        <v/>
      </c>
      <c r="B2009" s="36">
        <f t="shared" ref="B2009:B2072" si="164">IF(C2009&lt;&gt;"",MONTH(C2009),"")</f>
        <v>11</v>
      </c>
      <c r="C2009" s="191">
        <v>40855</v>
      </c>
      <c r="D2009" s="191" t="s">
        <v>967</v>
      </c>
      <c r="E2009" s="191">
        <v>40855</v>
      </c>
      <c r="F2009" s="192" t="s">
        <v>1267</v>
      </c>
      <c r="G2009" s="498" t="s">
        <v>1288</v>
      </c>
      <c r="H2009" s="193" t="s">
        <v>733</v>
      </c>
      <c r="I2009" s="256">
        <v>27</v>
      </c>
      <c r="J2009" s="256">
        <v>16832</v>
      </c>
      <c r="K2009" s="614">
        <v>454464</v>
      </c>
      <c r="L2009" s="194" t="s">
        <v>259</v>
      </c>
      <c r="M2009" s="194" t="s">
        <v>167</v>
      </c>
      <c r="N2009" s="52" t="str">
        <f>IF(AND('331-CT'!$E$7=TH!H2009,OR(L2009="331",M2009="331")),"331",IF(AND(OR(L2009="131",M2009="131"),H2009='131-CT'!$E$7),"131",""))</f>
        <v>131</v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94"/>
    </row>
    <row r="2010" spans="1:27" ht="15.75" customHeight="1">
      <c r="A2010" s="204" t="str">
        <f>IF(B2010&lt;&gt;"",IF(AND(B2010&gt;=_TM1,B2010&lt;=_TM2,OR(TH!L2010="1111",TH!M2010="1111")),TH!D2010,""),"")</f>
        <v/>
      </c>
      <c r="B2010" s="36">
        <f t="shared" si="164"/>
        <v>11</v>
      </c>
      <c r="C2010" s="191">
        <v>40855</v>
      </c>
      <c r="D2010" s="191" t="s">
        <v>967</v>
      </c>
      <c r="E2010" s="191">
        <v>40855</v>
      </c>
      <c r="F2010" s="192" t="s">
        <v>748</v>
      </c>
      <c r="G2010" s="498" t="s">
        <v>1288</v>
      </c>
      <c r="H2010" s="193" t="s">
        <v>733</v>
      </c>
      <c r="I2010" s="256">
        <v>11</v>
      </c>
      <c r="J2010" s="256">
        <v>10253</v>
      </c>
      <c r="K2010" s="614">
        <v>112783</v>
      </c>
      <c r="L2010" s="194" t="s">
        <v>259</v>
      </c>
      <c r="M2010" s="194" t="s">
        <v>167</v>
      </c>
      <c r="N2010" s="52" t="str">
        <f>IF(AND('331-CT'!$E$7=TH!H2010,OR(L2010="331",M2010="331")),"331",IF(AND(OR(L2010="131",M2010="131"),H2010='131-CT'!$E$7),"131",""))</f>
        <v>131</v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94"/>
    </row>
    <row r="2011" spans="1:27" ht="15.75" customHeight="1">
      <c r="A2011" s="204" t="str">
        <f>IF(B2011&lt;&gt;"",IF(AND(B2011&gt;=_TM1,B2011&lt;=_TM2,OR(TH!L2011="1111",TH!M2011="1111")),TH!D2011,""),"")</f>
        <v/>
      </c>
      <c r="B2011" s="36">
        <f t="shared" si="164"/>
        <v>11</v>
      </c>
      <c r="C2011" s="191">
        <v>40855</v>
      </c>
      <c r="D2011" s="191" t="s">
        <v>967</v>
      </c>
      <c r="E2011" s="191">
        <v>40855</v>
      </c>
      <c r="F2011" s="192" t="s">
        <v>746</v>
      </c>
      <c r="G2011" s="498" t="s">
        <v>1288</v>
      </c>
      <c r="H2011" s="193" t="s">
        <v>733</v>
      </c>
      <c r="I2011" s="256">
        <v>285</v>
      </c>
      <c r="J2011" s="256">
        <v>10595</v>
      </c>
      <c r="K2011" s="614">
        <v>3019575</v>
      </c>
      <c r="L2011" s="194" t="s">
        <v>259</v>
      </c>
      <c r="M2011" s="194" t="s">
        <v>167</v>
      </c>
      <c r="N2011" s="52" t="str">
        <f>IF(AND('331-CT'!$E$7=TH!H2011,OR(L2011="331",M2011="331")),"331",IF(AND(OR(L2011="131",M2011="131"),H2011='131-CT'!$E$7),"131",""))</f>
        <v>131</v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94"/>
    </row>
    <row r="2012" spans="1:27" ht="15.75" customHeight="1">
      <c r="A2012" s="204" t="str">
        <f>IF(B2012&lt;&gt;"",IF(AND(B2012&gt;=_TM1,B2012&lt;=_TM2,OR(TH!L2012="1111",TH!M2012="1111")),TH!D2012,""),"")</f>
        <v/>
      </c>
      <c r="B2012" s="36">
        <f t="shared" si="164"/>
        <v>11</v>
      </c>
      <c r="C2012" s="191">
        <v>40855</v>
      </c>
      <c r="D2012" s="191" t="s">
        <v>967</v>
      </c>
      <c r="E2012" s="191">
        <v>40855</v>
      </c>
      <c r="F2012" s="192" t="s">
        <v>755</v>
      </c>
      <c r="G2012" s="498" t="s">
        <v>1288</v>
      </c>
      <c r="H2012" s="193" t="s">
        <v>733</v>
      </c>
      <c r="I2012" s="256">
        <v>3</v>
      </c>
      <c r="J2012" s="256">
        <v>12179</v>
      </c>
      <c r="K2012" s="614">
        <v>36537</v>
      </c>
      <c r="L2012" s="194" t="s">
        <v>259</v>
      </c>
      <c r="M2012" s="194" t="s">
        <v>167</v>
      </c>
      <c r="N2012" s="52" t="str">
        <f>IF(AND('331-CT'!$E$7=TH!H2012,OR(L2012="331",M2012="331")),"331",IF(AND(OR(L2012="131",M2012="131"),H2012='131-CT'!$E$7),"131",""))</f>
        <v>131</v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94"/>
    </row>
    <row r="2013" spans="1:27" ht="15.75" customHeight="1">
      <c r="A2013" s="204" t="str">
        <f>IF(B2013&lt;&gt;"",IF(AND(B2013&gt;=_TM1,B2013&lt;=_TM2,OR(TH!L2013="1111",TH!M2013="1111")),TH!D2013,""),"")</f>
        <v/>
      </c>
      <c r="B2013" s="36">
        <f t="shared" si="164"/>
        <v>11</v>
      </c>
      <c r="C2013" s="191">
        <v>40855</v>
      </c>
      <c r="D2013" s="191" t="s">
        <v>967</v>
      </c>
      <c r="E2013" s="191">
        <v>40855</v>
      </c>
      <c r="F2013" s="192" t="s">
        <v>750</v>
      </c>
      <c r="G2013" s="498" t="s">
        <v>1288</v>
      </c>
      <c r="H2013" s="193" t="s">
        <v>733</v>
      </c>
      <c r="I2013" s="256">
        <v>37</v>
      </c>
      <c r="J2013" s="256">
        <v>15618</v>
      </c>
      <c r="K2013" s="614">
        <v>577866</v>
      </c>
      <c r="L2013" s="194" t="s">
        <v>259</v>
      </c>
      <c r="M2013" s="194" t="s">
        <v>167</v>
      </c>
      <c r="N2013" s="52" t="str">
        <f>IF(AND('331-CT'!$E$7=TH!H2013,OR(L2013="331",M2013="331")),"331",IF(AND(OR(L2013="131",M2013="131"),H2013='131-CT'!$E$7),"131",""))</f>
        <v>131</v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94"/>
    </row>
    <row r="2014" spans="1:27" ht="15.75" customHeight="1">
      <c r="A2014" s="204" t="str">
        <f>IF(B2014&lt;&gt;"",IF(AND(B2014&gt;=_TM1,B2014&lt;=_TM2,OR(TH!L2014="1111",TH!M2014="1111")),TH!D2014,""),"")</f>
        <v/>
      </c>
      <c r="B2014" s="36">
        <f t="shared" si="164"/>
        <v>11</v>
      </c>
      <c r="C2014" s="191">
        <v>40855</v>
      </c>
      <c r="D2014" s="191" t="s">
        <v>967</v>
      </c>
      <c r="E2014" s="191">
        <v>40855</v>
      </c>
      <c r="F2014" s="192" t="s">
        <v>1262</v>
      </c>
      <c r="G2014" s="498" t="s">
        <v>1288</v>
      </c>
      <c r="H2014" s="193" t="s">
        <v>733</v>
      </c>
      <c r="I2014" s="256">
        <v>35</v>
      </c>
      <c r="J2014" s="256">
        <v>16534</v>
      </c>
      <c r="K2014" s="614">
        <v>578690</v>
      </c>
      <c r="L2014" s="194" t="s">
        <v>259</v>
      </c>
      <c r="M2014" s="194" t="s">
        <v>167</v>
      </c>
      <c r="N2014" s="52" t="str">
        <f>IF(AND('331-CT'!$E$7=TH!H2014,OR(L2014="331",M2014="331")),"331",IF(AND(OR(L2014="131",M2014="131"),H2014='131-CT'!$E$7),"131",""))</f>
        <v>131</v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94"/>
    </row>
    <row r="2015" spans="1:27" ht="15.75" customHeight="1">
      <c r="A2015" s="204" t="str">
        <f>IF(B2015&lt;&gt;"",IF(AND(B2015&gt;=_TM1,B2015&lt;=_TM2,OR(TH!L2015="1111",TH!M2015="1111")),TH!D2015,""),"")</f>
        <v/>
      </c>
      <c r="B2015" s="36">
        <f t="shared" si="164"/>
        <v>11</v>
      </c>
      <c r="C2015" s="191">
        <v>40855</v>
      </c>
      <c r="D2015" s="191" t="s">
        <v>967</v>
      </c>
      <c r="E2015" s="191">
        <v>40855</v>
      </c>
      <c r="F2015" s="192" t="s">
        <v>1254</v>
      </c>
      <c r="G2015" s="498" t="s">
        <v>1288</v>
      </c>
      <c r="H2015" s="193" t="s">
        <v>733</v>
      </c>
      <c r="I2015" s="256">
        <v>44</v>
      </c>
      <c r="J2015" s="256">
        <v>14880</v>
      </c>
      <c r="K2015" s="614">
        <v>654720</v>
      </c>
      <c r="L2015" s="194" t="s">
        <v>259</v>
      </c>
      <c r="M2015" s="194" t="s">
        <v>167</v>
      </c>
      <c r="N2015" s="52" t="str">
        <f>IF(AND('331-CT'!$E$7=TH!H2015,OR(L2015="331",M2015="331")),"331",IF(AND(OR(L2015="131",M2015="131"),H2015='131-CT'!$E$7),"131",""))</f>
        <v>131</v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94"/>
    </row>
    <row r="2016" spans="1:27" ht="15.75" customHeight="1">
      <c r="A2016" s="204" t="str">
        <f>IF(B2016&lt;&gt;"",IF(AND(B2016&gt;=_TM1,B2016&lt;=_TM2,OR(TH!L2016="1111",TH!M2016="1111")),TH!D2016,""),"")</f>
        <v/>
      </c>
      <c r="B2016" s="36">
        <f t="shared" si="164"/>
        <v>11</v>
      </c>
      <c r="C2016" s="191">
        <v>40855</v>
      </c>
      <c r="D2016" s="191" t="s">
        <v>967</v>
      </c>
      <c r="E2016" s="191">
        <v>40855</v>
      </c>
      <c r="F2016" s="192" t="s">
        <v>1289</v>
      </c>
      <c r="G2016" s="498" t="s">
        <v>1288</v>
      </c>
      <c r="H2016" s="193" t="s">
        <v>733</v>
      </c>
      <c r="I2016" s="256">
        <v>16</v>
      </c>
      <c r="J2016" s="256">
        <v>12847</v>
      </c>
      <c r="K2016" s="614">
        <v>205552</v>
      </c>
      <c r="L2016" s="194" t="s">
        <v>259</v>
      </c>
      <c r="M2016" s="194" t="s">
        <v>167</v>
      </c>
      <c r="N2016" s="52" t="str">
        <f>IF(AND('331-CT'!$E$7=TH!H2016,OR(L2016="331",M2016="331")),"331",IF(AND(OR(L2016="131",M2016="131"),H2016='131-CT'!$E$7),"131",""))</f>
        <v>131</v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94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>
        <f t="shared" si="164"/>
        <v>11</v>
      </c>
      <c r="C2017" s="191">
        <v>40855</v>
      </c>
      <c r="D2017" s="191" t="s">
        <v>967</v>
      </c>
      <c r="E2017" s="191">
        <v>40855</v>
      </c>
      <c r="F2017" s="192" t="s">
        <v>1263</v>
      </c>
      <c r="G2017" s="498" t="s">
        <v>1288</v>
      </c>
      <c r="H2017" s="193" t="s">
        <v>733</v>
      </c>
      <c r="I2017" s="256">
        <v>2</v>
      </c>
      <c r="J2017" s="256">
        <v>15669</v>
      </c>
      <c r="K2017" s="614">
        <v>31338</v>
      </c>
      <c r="L2017" s="194" t="s">
        <v>259</v>
      </c>
      <c r="M2017" s="194" t="s">
        <v>167</v>
      </c>
      <c r="N2017" s="52" t="str">
        <f>IF(AND('331-CT'!$E$7=TH!H2017,OR(L2017="331",M2017="331")),"331",IF(AND(OR(L2017="131",M2017="131"),H2017='131-CT'!$E$7),"131",""))</f>
        <v>131</v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94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>
        <f t="shared" si="164"/>
        <v>11</v>
      </c>
      <c r="C2018" s="191">
        <v>40855</v>
      </c>
      <c r="D2018" s="191" t="s">
        <v>967</v>
      </c>
      <c r="E2018" s="191">
        <v>40855</v>
      </c>
      <c r="F2018" s="192" t="s">
        <v>1176</v>
      </c>
      <c r="G2018" s="498" t="s">
        <v>1288</v>
      </c>
      <c r="H2018" s="193" t="s">
        <v>733</v>
      </c>
      <c r="I2018" s="256"/>
      <c r="J2018" s="256"/>
      <c r="K2018" s="614">
        <f>948333+2</f>
        <v>948335</v>
      </c>
      <c r="L2018" s="194" t="s">
        <v>259</v>
      </c>
      <c r="M2018" s="194" t="s">
        <v>731</v>
      </c>
      <c r="N2018" s="52" t="str">
        <f>IF(AND('331-CT'!$E$7=TH!H2018,OR(L2018="331",M2018="331")),"331",IF(AND(OR(L2018="131",M2018="131"),H2018='131-CT'!$E$7),"131",""))</f>
        <v>131</v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94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712">
        <f t="shared" si="164"/>
        <v>11</v>
      </c>
      <c r="C2019" s="860">
        <f t="shared" ref="C2019:C2059" si="165">E2019</f>
        <v>40855</v>
      </c>
      <c r="D2019" s="48" t="s">
        <v>1123</v>
      </c>
      <c r="E2019" s="895">
        <v>40855</v>
      </c>
      <c r="F2019" s="870" t="s">
        <v>1265</v>
      </c>
      <c r="G2019" s="49"/>
      <c r="H2019" s="868" t="s">
        <v>1092</v>
      </c>
      <c r="I2019" s="254">
        <v>150</v>
      </c>
      <c r="J2019" s="254">
        <v>9549.5015191787752</v>
      </c>
      <c r="K2019" s="716">
        <f t="shared" ref="K2019:K2059" si="166">ROUND(I2019*J2019,0)</f>
        <v>1432425</v>
      </c>
      <c r="L2019" s="52" t="s">
        <v>159</v>
      </c>
      <c r="M2019" s="52" t="s">
        <v>157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94"/>
      <c r="AB2019" s="831"/>
      <c r="AC2019" s="831"/>
      <c r="AD2019" s="831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712">
        <f t="shared" si="164"/>
        <v>11</v>
      </c>
      <c r="C2020" s="860">
        <f t="shared" si="165"/>
        <v>40855</v>
      </c>
      <c r="D2020" s="48" t="s">
        <v>1123</v>
      </c>
      <c r="E2020" s="895">
        <v>40855</v>
      </c>
      <c r="F2020" s="49" t="s">
        <v>1266</v>
      </c>
      <c r="G2020" s="49"/>
      <c r="H2020" s="868" t="s">
        <v>1092</v>
      </c>
      <c r="I2020" s="254">
        <v>33</v>
      </c>
      <c r="J2020" s="254">
        <v>9918.4778828151411</v>
      </c>
      <c r="K2020" s="716">
        <f t="shared" si="166"/>
        <v>327310</v>
      </c>
      <c r="L2020" s="52" t="s">
        <v>159</v>
      </c>
      <c r="M2020" s="52" t="s">
        <v>157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94"/>
      <c r="AB2020" s="831"/>
      <c r="AC2020" s="831"/>
      <c r="AD2020" s="831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712">
        <f t="shared" si="164"/>
        <v>11</v>
      </c>
      <c r="C2021" s="860">
        <f t="shared" si="165"/>
        <v>40855</v>
      </c>
      <c r="D2021" s="48" t="s">
        <v>1123</v>
      </c>
      <c r="E2021" s="895">
        <v>40855</v>
      </c>
      <c r="F2021" s="49" t="s">
        <v>1259</v>
      </c>
      <c r="G2021" s="49"/>
      <c r="H2021" s="868" t="s">
        <v>1092</v>
      </c>
      <c r="I2021" s="254">
        <v>22</v>
      </c>
      <c r="J2021" s="254">
        <v>11642.462731299987</v>
      </c>
      <c r="K2021" s="716">
        <f t="shared" si="166"/>
        <v>256134</v>
      </c>
      <c r="L2021" s="52" t="s">
        <v>159</v>
      </c>
      <c r="M2021" s="52" t="s">
        <v>157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94"/>
      <c r="AB2021" s="831"/>
      <c r="AC2021" s="831"/>
      <c r="AD2021" s="831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712">
        <f t="shared" si="164"/>
        <v>11</v>
      </c>
      <c r="C2022" s="860">
        <f t="shared" si="165"/>
        <v>40855</v>
      </c>
      <c r="D2022" s="48" t="s">
        <v>1123</v>
      </c>
      <c r="E2022" s="895">
        <v>40855</v>
      </c>
      <c r="F2022" s="49" t="s">
        <v>1258</v>
      </c>
      <c r="G2022" s="49"/>
      <c r="H2022" s="868" t="s">
        <v>1092</v>
      </c>
      <c r="I2022" s="254">
        <v>44</v>
      </c>
      <c r="J2022" s="254">
        <v>9918.4854585727135</v>
      </c>
      <c r="K2022" s="716">
        <f t="shared" si="166"/>
        <v>436413</v>
      </c>
      <c r="L2022" s="52" t="s">
        <v>159</v>
      </c>
      <c r="M2022" s="52" t="s">
        <v>157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94"/>
      <c r="AB2022" s="831"/>
      <c r="AC2022" s="831"/>
      <c r="AD2022" s="831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712">
        <f t="shared" si="164"/>
        <v>11</v>
      </c>
      <c r="C2023" s="860">
        <f t="shared" si="165"/>
        <v>40855</v>
      </c>
      <c r="D2023" s="48" t="s">
        <v>1123</v>
      </c>
      <c r="E2023" s="895">
        <v>40855</v>
      </c>
      <c r="F2023" s="49" t="s">
        <v>1260</v>
      </c>
      <c r="G2023" s="49"/>
      <c r="H2023" s="868" t="s">
        <v>1092</v>
      </c>
      <c r="I2023" s="254">
        <v>31</v>
      </c>
      <c r="J2023" s="254">
        <v>11437.475927780924</v>
      </c>
      <c r="K2023" s="716">
        <f t="shared" si="166"/>
        <v>354562</v>
      </c>
      <c r="L2023" s="52" t="s">
        <v>159</v>
      </c>
      <c r="M2023" s="52" t="s">
        <v>157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94"/>
      <c r="AB2023" s="831"/>
      <c r="AC2023" s="831"/>
      <c r="AD2023" s="831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712">
        <f t="shared" si="164"/>
        <v>11</v>
      </c>
      <c r="C2024" s="860">
        <f t="shared" si="165"/>
        <v>40855</v>
      </c>
      <c r="D2024" s="48" t="s">
        <v>1123</v>
      </c>
      <c r="E2024" s="895">
        <v>40855</v>
      </c>
      <c r="F2024" s="49" t="s">
        <v>1264</v>
      </c>
      <c r="G2024" s="49"/>
      <c r="H2024" s="868" t="s">
        <v>1092</v>
      </c>
      <c r="I2024" s="254">
        <v>32</v>
      </c>
      <c r="J2024" s="254">
        <v>15403.476935845443</v>
      </c>
      <c r="K2024" s="716">
        <f t="shared" si="166"/>
        <v>492911</v>
      </c>
      <c r="L2024" s="52" t="s">
        <v>159</v>
      </c>
      <c r="M2024" s="52" t="s">
        <v>157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94"/>
      <c r="AB2024" s="831"/>
      <c r="AC2024" s="831"/>
      <c r="AD2024" s="831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712">
        <f t="shared" si="164"/>
        <v>11</v>
      </c>
      <c r="C2025" s="860">
        <f t="shared" si="165"/>
        <v>40855</v>
      </c>
      <c r="D2025" s="48" t="s">
        <v>1123</v>
      </c>
      <c r="E2025" s="895">
        <v>40855</v>
      </c>
      <c r="F2025" s="49" t="s">
        <v>1261</v>
      </c>
      <c r="G2025" s="49"/>
      <c r="H2025" s="868" t="s">
        <v>1092</v>
      </c>
      <c r="I2025" s="254">
        <v>1</v>
      </c>
      <c r="J2025" s="254">
        <v>18665.508185845447</v>
      </c>
      <c r="K2025" s="716">
        <f t="shared" si="166"/>
        <v>18666</v>
      </c>
      <c r="L2025" s="52" t="s">
        <v>159</v>
      </c>
      <c r="M2025" s="52" t="s">
        <v>157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94"/>
      <c r="AB2025" s="831"/>
      <c r="AC2025" s="831"/>
      <c r="AD2025" s="831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712">
        <f t="shared" si="164"/>
        <v>11</v>
      </c>
      <c r="C2026" s="860">
        <f t="shared" si="165"/>
        <v>40855</v>
      </c>
      <c r="D2026" s="48" t="s">
        <v>1123</v>
      </c>
      <c r="E2026" s="895">
        <v>40855</v>
      </c>
      <c r="F2026" s="49" t="s">
        <v>1267</v>
      </c>
      <c r="G2026" s="49"/>
      <c r="H2026" s="868" t="s">
        <v>1092</v>
      </c>
      <c r="I2026" s="254">
        <v>27</v>
      </c>
      <c r="J2026" s="254">
        <v>14925.137815475071</v>
      </c>
      <c r="K2026" s="716">
        <f t="shared" si="166"/>
        <v>402979</v>
      </c>
      <c r="L2026" s="52" t="s">
        <v>159</v>
      </c>
      <c r="M2026" s="52" t="s">
        <v>157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94"/>
      <c r="AB2026" s="831"/>
      <c r="AC2026" s="831"/>
      <c r="AD2026" s="831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712">
        <f t="shared" si="164"/>
        <v>11</v>
      </c>
      <c r="C2027" s="860">
        <f t="shared" si="165"/>
        <v>40855</v>
      </c>
      <c r="D2027" s="48" t="s">
        <v>1123</v>
      </c>
      <c r="E2027" s="895">
        <v>40855</v>
      </c>
      <c r="F2027" s="49" t="s">
        <v>748</v>
      </c>
      <c r="G2027" s="49"/>
      <c r="H2027" s="868" t="s">
        <v>1092</v>
      </c>
      <c r="I2027" s="254">
        <v>11</v>
      </c>
      <c r="J2027" s="254">
        <v>8047.4172767545324</v>
      </c>
      <c r="K2027" s="716">
        <f t="shared" si="166"/>
        <v>88522</v>
      </c>
      <c r="L2027" s="52" t="s">
        <v>159</v>
      </c>
      <c r="M2027" s="52" t="s">
        <v>157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94"/>
      <c r="AB2027" s="831"/>
      <c r="AC2027" s="831"/>
      <c r="AD2027" s="831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712">
        <f t="shared" si="164"/>
        <v>11</v>
      </c>
      <c r="C2028" s="860">
        <f t="shared" si="165"/>
        <v>40855</v>
      </c>
      <c r="D2028" s="48" t="s">
        <v>1124</v>
      </c>
      <c r="E2028" s="895">
        <v>40855</v>
      </c>
      <c r="F2028" s="49" t="s">
        <v>746</v>
      </c>
      <c r="G2028" s="49"/>
      <c r="H2028" s="868" t="s">
        <v>1092</v>
      </c>
      <c r="I2028" s="254">
        <v>285</v>
      </c>
      <c r="J2028" s="254">
        <v>9578.4555542664966</v>
      </c>
      <c r="K2028" s="716">
        <f t="shared" si="166"/>
        <v>2729860</v>
      </c>
      <c r="L2028" s="52" t="s">
        <v>159</v>
      </c>
      <c r="M2028" s="52" t="s">
        <v>157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94"/>
      <c r="AB2028" s="831"/>
      <c r="AC2028" s="831"/>
      <c r="AD2028" s="831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712">
        <f t="shared" si="164"/>
        <v>11</v>
      </c>
      <c r="C2029" s="860">
        <f t="shared" si="165"/>
        <v>40855</v>
      </c>
      <c r="D2029" s="48" t="s">
        <v>1124</v>
      </c>
      <c r="E2029" s="895">
        <v>40855</v>
      </c>
      <c r="F2029" s="49" t="s">
        <v>755</v>
      </c>
      <c r="G2029" s="49"/>
      <c r="H2029" s="868" t="s">
        <v>1092</v>
      </c>
      <c r="I2029" s="254">
        <v>3</v>
      </c>
      <c r="J2029" s="254">
        <v>10496.174852512109</v>
      </c>
      <c r="K2029" s="716">
        <f t="shared" si="166"/>
        <v>31489</v>
      </c>
      <c r="L2029" s="52" t="s">
        <v>159</v>
      </c>
      <c r="M2029" s="52" t="s">
        <v>157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94"/>
      <c r="AB2029" s="831"/>
      <c r="AC2029" s="831"/>
      <c r="AD2029" s="831"/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712">
        <f t="shared" si="164"/>
        <v>11</v>
      </c>
      <c r="C2030" s="860">
        <f t="shared" si="165"/>
        <v>40855</v>
      </c>
      <c r="D2030" s="48" t="s">
        <v>1124</v>
      </c>
      <c r="E2030" s="895">
        <v>40855</v>
      </c>
      <c r="F2030" s="49" t="s">
        <v>750</v>
      </c>
      <c r="G2030" s="49"/>
      <c r="H2030" s="868" t="s">
        <v>1092</v>
      </c>
      <c r="I2030" s="254">
        <v>37</v>
      </c>
      <c r="J2030" s="254">
        <v>14460.34602368328</v>
      </c>
      <c r="K2030" s="716">
        <f t="shared" si="166"/>
        <v>535033</v>
      </c>
      <c r="L2030" s="52" t="s">
        <v>159</v>
      </c>
      <c r="M2030" s="52" t="s">
        <v>157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94"/>
      <c r="AB2030" s="831"/>
      <c r="AC2030" s="831"/>
      <c r="AD2030" s="831"/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712">
        <f t="shared" si="164"/>
        <v>11</v>
      </c>
      <c r="C2031" s="860">
        <f t="shared" si="165"/>
        <v>40855</v>
      </c>
      <c r="D2031" s="48" t="s">
        <v>1124</v>
      </c>
      <c r="E2031" s="895">
        <v>40855</v>
      </c>
      <c r="F2031" s="49" t="s">
        <v>1262</v>
      </c>
      <c r="G2031" s="49"/>
      <c r="H2031" s="868" t="s">
        <v>1092</v>
      </c>
      <c r="I2031" s="254">
        <v>35</v>
      </c>
      <c r="J2031" s="254">
        <v>15252.479614416872</v>
      </c>
      <c r="K2031" s="716">
        <f t="shared" si="166"/>
        <v>533837</v>
      </c>
      <c r="L2031" s="52" t="s">
        <v>159</v>
      </c>
      <c r="M2031" s="52" t="s">
        <v>157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94"/>
      <c r="AB2031" s="831"/>
      <c r="AC2031" s="831"/>
      <c r="AD2031" s="831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712">
        <f t="shared" si="164"/>
        <v>11</v>
      </c>
      <c r="C2032" s="860">
        <f t="shared" si="165"/>
        <v>40855</v>
      </c>
      <c r="D2032" s="48" t="s">
        <v>1124</v>
      </c>
      <c r="E2032" s="895">
        <v>40855</v>
      </c>
      <c r="F2032" s="49" t="s">
        <v>1254</v>
      </c>
      <c r="G2032" s="49"/>
      <c r="H2032" s="868" t="s">
        <v>1092</v>
      </c>
      <c r="I2032" s="254">
        <v>44</v>
      </c>
      <c r="J2032" s="254">
        <v>14113.985458572715</v>
      </c>
      <c r="K2032" s="716">
        <f t="shared" si="166"/>
        <v>621015</v>
      </c>
      <c r="L2032" s="52" t="s">
        <v>159</v>
      </c>
      <c r="M2032" s="52" t="s">
        <v>157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94"/>
      <c r="AB2032" s="831"/>
      <c r="AC2032" s="831"/>
      <c r="AD2032" s="831"/>
    </row>
    <row r="2033" spans="1:30" ht="15.75" customHeight="1">
      <c r="A2033" s="204" t="str">
        <f>IF(B2033&lt;&gt;"",IF(AND(B2033&gt;=_TM1,B2033&lt;=_TM2,OR(TH!L2033="1111",TH!M2033="1111")),TH!D2033,""),"")</f>
        <v/>
      </c>
      <c r="B2033" s="712">
        <f t="shared" si="164"/>
        <v>11</v>
      </c>
      <c r="C2033" s="860">
        <f t="shared" si="165"/>
        <v>40855</v>
      </c>
      <c r="D2033" s="48" t="s">
        <v>1124</v>
      </c>
      <c r="E2033" s="895">
        <v>40855</v>
      </c>
      <c r="F2033" s="49" t="s">
        <v>1289</v>
      </c>
      <c r="G2033" s="49"/>
      <c r="H2033" s="868" t="s">
        <v>1092</v>
      </c>
      <c r="I2033" s="254">
        <v>16</v>
      </c>
      <c r="J2033" s="254">
        <v>11901.445685845443</v>
      </c>
      <c r="K2033" s="716">
        <f t="shared" si="166"/>
        <v>190423</v>
      </c>
      <c r="L2033" s="52" t="s">
        <v>159</v>
      </c>
      <c r="M2033" s="52" t="s">
        <v>157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94"/>
      <c r="AB2033" s="831"/>
      <c r="AC2033" s="831"/>
      <c r="AD2033" s="831"/>
    </row>
    <row r="2034" spans="1:30" ht="15.75" customHeight="1">
      <c r="A2034" s="204" t="str">
        <f>IF(B2034&lt;&gt;"",IF(AND(B2034&gt;=_TM1,B2034&lt;=_TM2,OR(TH!L2034="1111",TH!M2034="1111")),TH!D2034,""),"")</f>
        <v/>
      </c>
      <c r="B2034" s="712">
        <f t="shared" si="164"/>
        <v>11</v>
      </c>
      <c r="C2034" s="860">
        <f t="shared" si="165"/>
        <v>40855</v>
      </c>
      <c r="D2034" s="48" t="s">
        <v>1124</v>
      </c>
      <c r="E2034" s="895">
        <v>40855</v>
      </c>
      <c r="F2034" s="49" t="s">
        <v>1263</v>
      </c>
      <c r="G2034" s="49"/>
      <c r="H2034" s="868" t="s">
        <v>1092</v>
      </c>
      <c r="I2034" s="254">
        <v>2</v>
      </c>
      <c r="J2034" s="254">
        <v>13142.008185845443</v>
      </c>
      <c r="K2034" s="716">
        <f t="shared" si="166"/>
        <v>26284</v>
      </c>
      <c r="L2034" s="52" t="s">
        <v>159</v>
      </c>
      <c r="M2034" s="52" t="s">
        <v>157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94"/>
      <c r="AB2034" s="831"/>
      <c r="AC2034" s="831"/>
      <c r="AD2034" s="831"/>
    </row>
    <row r="2035" spans="1:30" ht="15.75" customHeight="1">
      <c r="A2035" s="204" t="str">
        <f>IF(B2035&lt;&gt;"",IF(AND(B2035&gt;=_TM1,B2035&lt;=_TM2,OR(TH!L2035="1111",TH!M2035="1111")),TH!D2035,""),"")</f>
        <v/>
      </c>
      <c r="B2035" s="36">
        <f t="shared" si="164"/>
        <v>11</v>
      </c>
      <c r="C2035" s="191">
        <f t="shared" si="165"/>
        <v>40855</v>
      </c>
      <c r="D2035" s="37" t="s">
        <v>967</v>
      </c>
      <c r="E2035" s="794">
        <v>40855</v>
      </c>
      <c r="F2035" s="192" t="s">
        <v>1265</v>
      </c>
      <c r="G2035" s="498" t="s">
        <v>1288</v>
      </c>
      <c r="H2035" s="193" t="s">
        <v>733</v>
      </c>
      <c r="I2035" s="256">
        <v>150</v>
      </c>
      <c r="J2035" s="256">
        <v>9549.5015191787752</v>
      </c>
      <c r="K2035" s="866">
        <f t="shared" si="166"/>
        <v>1432425</v>
      </c>
      <c r="L2035" s="854" t="s">
        <v>165</v>
      </c>
      <c r="M2035" s="854" t="s">
        <v>159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94"/>
    </row>
    <row r="2036" spans="1:30" ht="15.75" customHeight="1">
      <c r="A2036" s="204" t="str">
        <f>IF(B2036&lt;&gt;"",IF(AND(B2036&gt;=_TM1,B2036&lt;=_TM2,OR(TH!L2036="1111",TH!M2036="1111")),TH!D2036,""),"")</f>
        <v/>
      </c>
      <c r="B2036" s="36">
        <f t="shared" si="164"/>
        <v>11</v>
      </c>
      <c r="C2036" s="191">
        <f t="shared" si="165"/>
        <v>40855</v>
      </c>
      <c r="D2036" s="37" t="s">
        <v>967</v>
      </c>
      <c r="E2036" s="794">
        <v>40855</v>
      </c>
      <c r="F2036" s="192" t="s">
        <v>1266</v>
      </c>
      <c r="G2036" s="498" t="s">
        <v>1288</v>
      </c>
      <c r="H2036" s="193" t="s">
        <v>733</v>
      </c>
      <c r="I2036" s="256">
        <v>33</v>
      </c>
      <c r="J2036" s="256">
        <v>9918.4778828151411</v>
      </c>
      <c r="K2036" s="866">
        <f t="shared" si="166"/>
        <v>327310</v>
      </c>
      <c r="L2036" s="854" t="s">
        <v>165</v>
      </c>
      <c r="M2036" s="854" t="s">
        <v>159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94"/>
    </row>
    <row r="2037" spans="1:30" ht="15.75" customHeight="1">
      <c r="A2037" s="204" t="str">
        <f>IF(B2037&lt;&gt;"",IF(AND(B2037&gt;=_TM1,B2037&lt;=_TM2,OR(TH!L2037="1111",TH!M2037="1111")),TH!D2037,""),"")</f>
        <v/>
      </c>
      <c r="B2037" s="36">
        <f t="shared" si="164"/>
        <v>11</v>
      </c>
      <c r="C2037" s="191">
        <f t="shared" si="165"/>
        <v>40855</v>
      </c>
      <c r="D2037" s="37" t="s">
        <v>967</v>
      </c>
      <c r="E2037" s="794">
        <v>40855</v>
      </c>
      <c r="F2037" s="192" t="s">
        <v>1259</v>
      </c>
      <c r="G2037" s="498" t="s">
        <v>1288</v>
      </c>
      <c r="H2037" s="193" t="s">
        <v>733</v>
      </c>
      <c r="I2037" s="256">
        <v>22</v>
      </c>
      <c r="J2037" s="256">
        <v>11642.462731299987</v>
      </c>
      <c r="K2037" s="866">
        <f t="shared" si="166"/>
        <v>256134</v>
      </c>
      <c r="L2037" s="854" t="s">
        <v>165</v>
      </c>
      <c r="M2037" s="854" t="s">
        <v>159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94"/>
    </row>
    <row r="2038" spans="1:30" ht="15.75" customHeight="1">
      <c r="A2038" s="204" t="str">
        <f>IF(B2038&lt;&gt;"",IF(AND(B2038&gt;=_TM1,B2038&lt;=_TM2,OR(TH!L2038="1111",TH!M2038="1111")),TH!D2038,""),"")</f>
        <v/>
      </c>
      <c r="B2038" s="36">
        <f t="shared" si="164"/>
        <v>11</v>
      </c>
      <c r="C2038" s="191">
        <f t="shared" si="165"/>
        <v>40855</v>
      </c>
      <c r="D2038" s="37" t="s">
        <v>967</v>
      </c>
      <c r="E2038" s="794">
        <v>40855</v>
      </c>
      <c r="F2038" s="192" t="s">
        <v>1258</v>
      </c>
      <c r="G2038" s="498" t="s">
        <v>1288</v>
      </c>
      <c r="H2038" s="193" t="s">
        <v>733</v>
      </c>
      <c r="I2038" s="256">
        <v>44</v>
      </c>
      <c r="J2038" s="256">
        <v>9918.4854585727135</v>
      </c>
      <c r="K2038" s="866">
        <f t="shared" si="166"/>
        <v>436413</v>
      </c>
      <c r="L2038" s="854" t="s">
        <v>165</v>
      </c>
      <c r="M2038" s="854" t="s">
        <v>159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94"/>
    </row>
    <row r="2039" spans="1:30" ht="15.75" customHeight="1">
      <c r="A2039" s="204" t="str">
        <f>IF(B2039&lt;&gt;"",IF(AND(B2039&gt;=_TM1,B2039&lt;=_TM2,OR(TH!L2039="1111",TH!M2039="1111")),TH!D2039,""),"")</f>
        <v/>
      </c>
      <c r="B2039" s="36">
        <f t="shared" si="164"/>
        <v>11</v>
      </c>
      <c r="C2039" s="191">
        <f t="shared" si="165"/>
        <v>40855</v>
      </c>
      <c r="D2039" s="37" t="s">
        <v>967</v>
      </c>
      <c r="E2039" s="794">
        <v>40855</v>
      </c>
      <c r="F2039" s="192" t="s">
        <v>1260</v>
      </c>
      <c r="G2039" s="498" t="s">
        <v>1288</v>
      </c>
      <c r="H2039" s="193" t="s">
        <v>733</v>
      </c>
      <c r="I2039" s="256">
        <v>31</v>
      </c>
      <c r="J2039" s="256">
        <v>11437.475927780924</v>
      </c>
      <c r="K2039" s="866">
        <f t="shared" si="166"/>
        <v>354562</v>
      </c>
      <c r="L2039" s="854" t="s">
        <v>165</v>
      </c>
      <c r="M2039" s="854" t="s">
        <v>159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94"/>
    </row>
    <row r="2040" spans="1:30" ht="15.75" customHeight="1">
      <c r="A2040" s="204" t="str">
        <f>IF(B2040&lt;&gt;"",IF(AND(B2040&gt;=_TM1,B2040&lt;=_TM2,OR(TH!L2040="1111",TH!M2040="1111")),TH!D2040,""),"")</f>
        <v/>
      </c>
      <c r="B2040" s="36">
        <f t="shared" si="164"/>
        <v>11</v>
      </c>
      <c r="C2040" s="191">
        <f t="shared" si="165"/>
        <v>40855</v>
      </c>
      <c r="D2040" s="37" t="s">
        <v>967</v>
      </c>
      <c r="E2040" s="794">
        <v>40855</v>
      </c>
      <c r="F2040" s="192" t="s">
        <v>1264</v>
      </c>
      <c r="G2040" s="498" t="s">
        <v>1288</v>
      </c>
      <c r="H2040" s="193" t="s">
        <v>733</v>
      </c>
      <c r="I2040" s="256">
        <v>32</v>
      </c>
      <c r="J2040" s="256">
        <v>15403.476935845443</v>
      </c>
      <c r="K2040" s="866">
        <f t="shared" si="166"/>
        <v>492911</v>
      </c>
      <c r="L2040" s="854" t="s">
        <v>165</v>
      </c>
      <c r="M2040" s="854" t="s">
        <v>159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94"/>
    </row>
    <row r="2041" spans="1:30" ht="15.75" customHeight="1">
      <c r="A2041" s="204" t="str">
        <f>IF(B2041&lt;&gt;"",IF(AND(B2041&gt;=_TM1,B2041&lt;=_TM2,OR(TH!L2041="1111",TH!M2041="1111")),TH!D2041,""),"")</f>
        <v/>
      </c>
      <c r="B2041" s="36">
        <f t="shared" si="164"/>
        <v>11</v>
      </c>
      <c r="C2041" s="191">
        <f t="shared" si="165"/>
        <v>40855</v>
      </c>
      <c r="D2041" s="37" t="s">
        <v>967</v>
      </c>
      <c r="E2041" s="794">
        <v>40855</v>
      </c>
      <c r="F2041" s="192" t="s">
        <v>1261</v>
      </c>
      <c r="G2041" s="498" t="s">
        <v>1288</v>
      </c>
      <c r="H2041" s="193" t="s">
        <v>733</v>
      </c>
      <c r="I2041" s="256">
        <v>1</v>
      </c>
      <c r="J2041" s="256">
        <v>18665.508185845447</v>
      </c>
      <c r="K2041" s="866">
        <f t="shared" si="166"/>
        <v>18666</v>
      </c>
      <c r="L2041" s="854" t="s">
        <v>165</v>
      </c>
      <c r="M2041" s="854" t="s">
        <v>159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94"/>
    </row>
    <row r="2042" spans="1:30" ht="15.75" customHeight="1">
      <c r="A2042" s="204" t="str">
        <f>IF(B2042&lt;&gt;"",IF(AND(B2042&gt;=_TM1,B2042&lt;=_TM2,OR(TH!L2042="1111",TH!M2042="1111")),TH!D2042,""),"")</f>
        <v/>
      </c>
      <c r="B2042" s="36">
        <f t="shared" si="164"/>
        <v>11</v>
      </c>
      <c r="C2042" s="191">
        <f t="shared" si="165"/>
        <v>40855</v>
      </c>
      <c r="D2042" s="37" t="s">
        <v>967</v>
      </c>
      <c r="E2042" s="794">
        <v>40855</v>
      </c>
      <c r="F2042" s="192" t="s">
        <v>1267</v>
      </c>
      <c r="G2042" s="498" t="s">
        <v>1288</v>
      </c>
      <c r="H2042" s="193" t="s">
        <v>733</v>
      </c>
      <c r="I2042" s="256">
        <v>27</v>
      </c>
      <c r="J2042" s="256">
        <v>14925.137815475071</v>
      </c>
      <c r="K2042" s="866">
        <f t="shared" si="166"/>
        <v>402979</v>
      </c>
      <c r="L2042" s="854" t="s">
        <v>165</v>
      </c>
      <c r="M2042" s="854" t="s">
        <v>159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94"/>
    </row>
    <row r="2043" spans="1:30" ht="15.75" customHeight="1">
      <c r="A2043" s="204" t="str">
        <f>IF(B2043&lt;&gt;"",IF(AND(B2043&gt;=_TM1,B2043&lt;=_TM2,OR(TH!L2043="1111",TH!M2043="1111")),TH!D2043,""),"")</f>
        <v/>
      </c>
      <c r="B2043" s="36">
        <f t="shared" si="164"/>
        <v>11</v>
      </c>
      <c r="C2043" s="191">
        <f t="shared" si="165"/>
        <v>40855</v>
      </c>
      <c r="D2043" s="37" t="s">
        <v>967</v>
      </c>
      <c r="E2043" s="794">
        <v>40855</v>
      </c>
      <c r="F2043" s="192" t="s">
        <v>748</v>
      </c>
      <c r="G2043" s="498" t="s">
        <v>1288</v>
      </c>
      <c r="H2043" s="193" t="s">
        <v>733</v>
      </c>
      <c r="I2043" s="256">
        <v>11</v>
      </c>
      <c r="J2043" s="256">
        <v>8047.4172767545324</v>
      </c>
      <c r="K2043" s="866">
        <f t="shared" si="166"/>
        <v>88522</v>
      </c>
      <c r="L2043" s="854" t="s">
        <v>165</v>
      </c>
      <c r="M2043" s="854" t="s">
        <v>159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94"/>
    </row>
    <row r="2044" spans="1:30" ht="15.75" customHeight="1">
      <c r="A2044" s="204" t="str">
        <f>IF(B2044&lt;&gt;"",IF(AND(B2044&gt;=_TM1,B2044&lt;=_TM2,OR(TH!L2044="1111",TH!M2044="1111")),TH!D2044,""),"")</f>
        <v/>
      </c>
      <c r="B2044" s="36">
        <f t="shared" si="164"/>
        <v>11</v>
      </c>
      <c r="C2044" s="191">
        <f t="shared" si="165"/>
        <v>40855</v>
      </c>
      <c r="D2044" s="37" t="s">
        <v>967</v>
      </c>
      <c r="E2044" s="794">
        <v>40855</v>
      </c>
      <c r="F2044" s="192" t="s">
        <v>746</v>
      </c>
      <c r="G2044" s="498" t="s">
        <v>1288</v>
      </c>
      <c r="H2044" s="193" t="s">
        <v>733</v>
      </c>
      <c r="I2044" s="256">
        <v>285</v>
      </c>
      <c r="J2044" s="256">
        <v>9578.4555542664966</v>
      </c>
      <c r="K2044" s="866">
        <f t="shared" si="166"/>
        <v>2729860</v>
      </c>
      <c r="L2044" s="854" t="s">
        <v>165</v>
      </c>
      <c r="M2044" s="854" t="s">
        <v>159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94"/>
    </row>
    <row r="2045" spans="1:30" ht="15.75" customHeight="1">
      <c r="A2045" s="204" t="str">
        <f>IF(B2045&lt;&gt;"",IF(AND(B2045&gt;=_TM1,B2045&lt;=_TM2,OR(TH!L2045="1111",TH!M2045="1111")),TH!D2045,""),"")</f>
        <v/>
      </c>
      <c r="B2045" s="36">
        <f t="shared" si="164"/>
        <v>11</v>
      </c>
      <c r="C2045" s="191">
        <f t="shared" si="165"/>
        <v>40855</v>
      </c>
      <c r="D2045" s="37" t="s">
        <v>967</v>
      </c>
      <c r="E2045" s="794">
        <v>40855</v>
      </c>
      <c r="F2045" s="192" t="s">
        <v>755</v>
      </c>
      <c r="G2045" s="498" t="s">
        <v>1288</v>
      </c>
      <c r="H2045" s="193" t="s">
        <v>733</v>
      </c>
      <c r="I2045" s="256">
        <v>3</v>
      </c>
      <c r="J2045" s="256">
        <v>10496.174852512109</v>
      </c>
      <c r="K2045" s="866">
        <f t="shared" si="166"/>
        <v>31489</v>
      </c>
      <c r="L2045" s="854" t="s">
        <v>165</v>
      </c>
      <c r="M2045" s="854" t="s">
        <v>159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94"/>
    </row>
    <row r="2046" spans="1:30" ht="15.75" customHeight="1">
      <c r="A2046" s="204" t="str">
        <f>IF(B2046&lt;&gt;"",IF(AND(B2046&gt;=_TM1,B2046&lt;=_TM2,OR(TH!L2046="1111",TH!M2046="1111")),TH!D2046,""),"")</f>
        <v/>
      </c>
      <c r="B2046" s="36">
        <f t="shared" si="164"/>
        <v>11</v>
      </c>
      <c r="C2046" s="191">
        <f t="shared" si="165"/>
        <v>40855</v>
      </c>
      <c r="D2046" s="37" t="s">
        <v>967</v>
      </c>
      <c r="E2046" s="794">
        <v>40855</v>
      </c>
      <c r="F2046" s="192" t="s">
        <v>750</v>
      </c>
      <c r="G2046" s="498" t="s">
        <v>1288</v>
      </c>
      <c r="H2046" s="193" t="s">
        <v>733</v>
      </c>
      <c r="I2046" s="256">
        <v>37</v>
      </c>
      <c r="J2046" s="256">
        <v>14460.34602368328</v>
      </c>
      <c r="K2046" s="866">
        <f t="shared" si="166"/>
        <v>535033</v>
      </c>
      <c r="L2046" s="854" t="s">
        <v>165</v>
      </c>
      <c r="M2046" s="854" t="s">
        <v>159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94"/>
    </row>
    <row r="2047" spans="1:30" ht="15.75" customHeight="1">
      <c r="A2047" s="204" t="str">
        <f>IF(B2047&lt;&gt;"",IF(AND(B2047&gt;=_TM1,B2047&lt;=_TM2,OR(TH!L2047="1111",TH!M2047="1111")),TH!D2047,""),"")</f>
        <v/>
      </c>
      <c r="B2047" s="36">
        <f t="shared" si="164"/>
        <v>11</v>
      </c>
      <c r="C2047" s="191">
        <f t="shared" si="165"/>
        <v>40855</v>
      </c>
      <c r="D2047" s="37" t="s">
        <v>967</v>
      </c>
      <c r="E2047" s="794">
        <v>40855</v>
      </c>
      <c r="F2047" s="192" t="s">
        <v>1262</v>
      </c>
      <c r="G2047" s="498" t="s">
        <v>1288</v>
      </c>
      <c r="H2047" s="193" t="s">
        <v>733</v>
      </c>
      <c r="I2047" s="256">
        <v>35</v>
      </c>
      <c r="J2047" s="256">
        <v>15252.479614416872</v>
      </c>
      <c r="K2047" s="866">
        <f t="shared" si="166"/>
        <v>533837</v>
      </c>
      <c r="L2047" s="854" t="s">
        <v>165</v>
      </c>
      <c r="M2047" s="854" t="s">
        <v>159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94"/>
    </row>
    <row r="2048" spans="1:30" ht="15.75" customHeight="1">
      <c r="A2048" s="204" t="str">
        <f>IF(B2048&lt;&gt;"",IF(AND(B2048&gt;=_TM1,B2048&lt;=_TM2,OR(TH!L2048="1111",TH!M2048="1111")),TH!D2048,""),"")</f>
        <v/>
      </c>
      <c r="B2048" s="36">
        <f t="shared" si="164"/>
        <v>11</v>
      </c>
      <c r="C2048" s="191">
        <f t="shared" si="165"/>
        <v>40855</v>
      </c>
      <c r="D2048" s="37" t="s">
        <v>967</v>
      </c>
      <c r="E2048" s="794">
        <v>40855</v>
      </c>
      <c r="F2048" s="192" t="s">
        <v>1254</v>
      </c>
      <c r="G2048" s="498" t="s">
        <v>1288</v>
      </c>
      <c r="H2048" s="193" t="s">
        <v>733</v>
      </c>
      <c r="I2048" s="256">
        <v>44</v>
      </c>
      <c r="J2048" s="256">
        <v>14113.985458572715</v>
      </c>
      <c r="K2048" s="866">
        <f t="shared" si="166"/>
        <v>621015</v>
      </c>
      <c r="L2048" s="854" t="s">
        <v>165</v>
      </c>
      <c r="M2048" s="854" t="s">
        <v>159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94"/>
    </row>
    <row r="2049" spans="1:27" ht="15.75" customHeight="1">
      <c r="A2049" s="204" t="str">
        <f>IF(B2049&lt;&gt;"",IF(AND(B2049&gt;=_TM1,B2049&lt;=_TM2,OR(TH!L2049="1111",TH!M2049="1111")),TH!D2049,""),"")</f>
        <v/>
      </c>
      <c r="B2049" s="36">
        <f t="shared" si="164"/>
        <v>11</v>
      </c>
      <c r="C2049" s="191">
        <f t="shared" si="165"/>
        <v>40855</v>
      </c>
      <c r="D2049" s="37" t="s">
        <v>967</v>
      </c>
      <c r="E2049" s="794">
        <v>40855</v>
      </c>
      <c r="F2049" s="192" t="s">
        <v>1289</v>
      </c>
      <c r="G2049" s="498" t="s">
        <v>1288</v>
      </c>
      <c r="H2049" s="193" t="s">
        <v>733</v>
      </c>
      <c r="I2049" s="256">
        <v>16</v>
      </c>
      <c r="J2049" s="256">
        <v>11901.445685845443</v>
      </c>
      <c r="K2049" s="866">
        <f t="shared" si="166"/>
        <v>190423</v>
      </c>
      <c r="L2049" s="854" t="s">
        <v>165</v>
      </c>
      <c r="M2049" s="854" t="s">
        <v>159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94"/>
    </row>
    <row r="2050" spans="1:27" ht="15.75" customHeight="1">
      <c r="A2050" s="204" t="str">
        <f>IF(B2050&lt;&gt;"",IF(AND(B2050&gt;=_TM1,B2050&lt;=_TM2,OR(TH!L2050="1111",TH!M2050="1111")),TH!D2050,""),"")</f>
        <v/>
      </c>
      <c r="B2050" s="36">
        <f t="shared" si="164"/>
        <v>11</v>
      </c>
      <c r="C2050" s="191">
        <f t="shared" si="165"/>
        <v>40855</v>
      </c>
      <c r="D2050" s="37" t="s">
        <v>967</v>
      </c>
      <c r="E2050" s="794">
        <v>40855</v>
      </c>
      <c r="F2050" s="192" t="s">
        <v>1263</v>
      </c>
      <c r="G2050" s="498" t="s">
        <v>1288</v>
      </c>
      <c r="H2050" s="193" t="s">
        <v>733</v>
      </c>
      <c r="I2050" s="256">
        <v>2</v>
      </c>
      <c r="J2050" s="256">
        <v>13142.008185845443</v>
      </c>
      <c r="K2050" s="866">
        <f t="shared" si="166"/>
        <v>26284</v>
      </c>
      <c r="L2050" s="854" t="s">
        <v>165</v>
      </c>
      <c r="M2050" s="854" t="s">
        <v>159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94"/>
    </row>
    <row r="2051" spans="1:27" ht="15.75" customHeight="1">
      <c r="A2051" s="204" t="str">
        <f>IF(B2051&lt;&gt;"",IF(AND(B2051&gt;=_TM1,B2051&lt;=_TM2,OR(TH!L2051="1111",TH!M2051="1111")),TH!D2051,""),"")</f>
        <v/>
      </c>
      <c r="B2051" s="36">
        <f t="shared" si="164"/>
        <v>11</v>
      </c>
      <c r="C2051" s="191">
        <f t="shared" si="165"/>
        <v>40856</v>
      </c>
      <c r="D2051" s="860" t="s">
        <v>1102</v>
      </c>
      <c r="E2051" s="794">
        <v>40856</v>
      </c>
      <c r="F2051" s="189" t="s">
        <v>553</v>
      </c>
      <c r="G2051" s="40"/>
      <c r="H2051" s="628" t="s">
        <v>1092</v>
      </c>
      <c r="I2051" s="256">
        <v>4</v>
      </c>
      <c r="J2051" s="256">
        <v>17368</v>
      </c>
      <c r="K2051" s="614">
        <f t="shared" si="166"/>
        <v>69472</v>
      </c>
      <c r="L2051" s="52" t="s">
        <v>157</v>
      </c>
      <c r="M2051" s="52" t="s">
        <v>151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94"/>
    </row>
    <row r="2052" spans="1:27" ht="15.75" customHeight="1">
      <c r="A2052" s="204" t="str">
        <f>IF(B2052&lt;&gt;"",IF(AND(B2052&gt;=_TM1,B2052&lt;=_TM2,OR(TH!L2052="1111",TH!M2052="1111")),TH!D2052,""),"")</f>
        <v/>
      </c>
      <c r="B2052" s="36">
        <f t="shared" si="164"/>
        <v>11</v>
      </c>
      <c r="C2052" s="191">
        <f t="shared" si="165"/>
        <v>40856</v>
      </c>
      <c r="D2052" s="860" t="s">
        <v>1102</v>
      </c>
      <c r="E2052" s="794">
        <v>40856</v>
      </c>
      <c r="F2052" s="40" t="s">
        <v>611</v>
      </c>
      <c r="G2052" s="40"/>
      <c r="H2052" s="628" t="s">
        <v>1092</v>
      </c>
      <c r="I2052" s="256">
        <v>1.5</v>
      </c>
      <c r="J2052" s="256">
        <v>18396</v>
      </c>
      <c r="K2052" s="614">
        <f t="shared" si="166"/>
        <v>27594</v>
      </c>
      <c r="L2052" s="52" t="s">
        <v>157</v>
      </c>
      <c r="M2052" s="52" t="s">
        <v>151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94"/>
    </row>
    <row r="2053" spans="1:27" ht="15.75" customHeight="1">
      <c r="A2053" s="204" t="str">
        <f>IF(B2053&lt;&gt;"",IF(AND(B2053&gt;=_TM1,B2053&lt;=_TM2,OR(TH!L2053="1111",TH!M2053="1111")),TH!D2053,""),"")</f>
        <v/>
      </c>
      <c r="B2053" s="36">
        <f t="shared" si="164"/>
        <v>11</v>
      </c>
      <c r="C2053" s="191">
        <f t="shared" si="165"/>
        <v>40856</v>
      </c>
      <c r="D2053" s="860" t="s">
        <v>1102</v>
      </c>
      <c r="E2053" s="794">
        <v>40856</v>
      </c>
      <c r="F2053" s="40" t="s">
        <v>651</v>
      </c>
      <c r="G2053" s="40"/>
      <c r="H2053" s="628" t="s">
        <v>1092</v>
      </c>
      <c r="I2053" s="256">
        <v>6</v>
      </c>
      <c r="J2053" s="256">
        <v>14105</v>
      </c>
      <c r="K2053" s="614">
        <f t="shared" si="166"/>
        <v>84630</v>
      </c>
      <c r="L2053" s="52" t="s">
        <v>157</v>
      </c>
      <c r="M2053" s="52" t="s">
        <v>151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94"/>
    </row>
    <row r="2054" spans="1:27" ht="15.75" customHeight="1">
      <c r="A2054" s="204" t="str">
        <f>IF(B2054&lt;&gt;"",IF(AND(B2054&gt;=_TM1,B2054&lt;=_TM2,OR(TH!L2054="1111",TH!M2054="1111")),TH!D2054,""),"")</f>
        <v/>
      </c>
      <c r="B2054" s="36">
        <f t="shared" si="164"/>
        <v>11</v>
      </c>
      <c r="C2054" s="191">
        <f t="shared" si="165"/>
        <v>40856</v>
      </c>
      <c r="D2054" s="860" t="s">
        <v>1102</v>
      </c>
      <c r="E2054" s="794">
        <v>40856</v>
      </c>
      <c r="F2054" s="456" t="s">
        <v>643</v>
      </c>
      <c r="G2054" s="40"/>
      <c r="H2054" s="628" t="s">
        <v>1092</v>
      </c>
      <c r="I2054" s="256">
        <v>21</v>
      </c>
      <c r="J2054" s="256">
        <v>25631</v>
      </c>
      <c r="K2054" s="614">
        <f t="shared" si="166"/>
        <v>538251</v>
      </c>
      <c r="L2054" s="52" t="s">
        <v>157</v>
      </c>
      <c r="M2054" s="52" t="s">
        <v>151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94"/>
    </row>
    <row r="2055" spans="1:27" ht="15.75" customHeight="1">
      <c r="A2055" s="204" t="str">
        <f>IF(B2055&lt;&gt;"",IF(AND(B2055&gt;=_TM1,B2055&lt;=_TM2,OR(TH!L2055="1111",TH!M2055="1111")),TH!D2055,""),"")</f>
        <v/>
      </c>
      <c r="B2055" s="36">
        <f t="shared" si="164"/>
        <v>11</v>
      </c>
      <c r="C2055" s="191">
        <f t="shared" si="165"/>
        <v>40856</v>
      </c>
      <c r="D2055" s="860" t="s">
        <v>1102</v>
      </c>
      <c r="E2055" s="794">
        <v>40856</v>
      </c>
      <c r="F2055" s="40" t="s">
        <v>651</v>
      </c>
      <c r="G2055" s="40"/>
      <c r="H2055" s="628" t="s">
        <v>1092</v>
      </c>
      <c r="I2055" s="256">
        <v>44</v>
      </c>
      <c r="J2055" s="256">
        <v>14105</v>
      </c>
      <c r="K2055" s="614">
        <f t="shared" si="166"/>
        <v>620620</v>
      </c>
      <c r="L2055" s="52" t="s">
        <v>157</v>
      </c>
      <c r="M2055" s="52" t="s">
        <v>151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94"/>
    </row>
    <row r="2056" spans="1:27" ht="15.75" customHeight="1">
      <c r="A2056" s="204" t="str">
        <f>IF(B2056&lt;&gt;"",IF(AND(B2056&gt;=_TM1,B2056&lt;=_TM2,OR(TH!L2056="1111",TH!M2056="1111")),TH!D2056,""),"")</f>
        <v/>
      </c>
      <c r="B2056" s="36">
        <f t="shared" si="164"/>
        <v>11</v>
      </c>
      <c r="C2056" s="191">
        <f t="shared" si="165"/>
        <v>40856</v>
      </c>
      <c r="D2056" s="860" t="s">
        <v>1102</v>
      </c>
      <c r="E2056" s="794">
        <v>40856</v>
      </c>
      <c r="F2056" s="40" t="s">
        <v>653</v>
      </c>
      <c r="G2056" s="40"/>
      <c r="H2056" s="628" t="s">
        <v>1092</v>
      </c>
      <c r="I2056" s="256">
        <v>695</v>
      </c>
      <c r="J2056" s="256">
        <v>13350</v>
      </c>
      <c r="K2056" s="614">
        <f t="shared" si="166"/>
        <v>9278250</v>
      </c>
      <c r="L2056" s="52" t="s">
        <v>157</v>
      </c>
      <c r="M2056" s="52" t="s">
        <v>151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94"/>
    </row>
    <row r="2057" spans="1:27" ht="15.75" customHeight="1">
      <c r="A2057" s="204" t="str">
        <f>IF(B2057&lt;&gt;"",IF(AND(B2057&gt;=_TM1,B2057&lt;=_TM2,OR(TH!L2057="1111",TH!M2057="1111")),TH!D2057,""),"")</f>
        <v/>
      </c>
      <c r="B2057" s="36">
        <f t="shared" si="164"/>
        <v>11</v>
      </c>
      <c r="C2057" s="191">
        <f t="shared" si="165"/>
        <v>40856</v>
      </c>
      <c r="D2057" s="860" t="s">
        <v>1102</v>
      </c>
      <c r="E2057" s="794">
        <v>40856</v>
      </c>
      <c r="F2057" s="40" t="s">
        <v>653</v>
      </c>
      <c r="G2057" s="40"/>
      <c r="H2057" s="628" t="s">
        <v>1092</v>
      </c>
      <c r="I2057" s="256">
        <v>625</v>
      </c>
      <c r="J2057" s="256">
        <v>13350</v>
      </c>
      <c r="K2057" s="614">
        <f t="shared" si="166"/>
        <v>8343750</v>
      </c>
      <c r="L2057" s="52" t="s">
        <v>157</v>
      </c>
      <c r="M2057" s="52" t="s">
        <v>151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94"/>
    </row>
    <row r="2058" spans="1:27" ht="15.75" customHeight="1">
      <c r="A2058" s="204" t="str">
        <f>IF(B2058&lt;&gt;"",IF(AND(B2058&gt;=_TM1,B2058&lt;=_TM2,OR(TH!L2058="1111",TH!M2058="1111")),TH!D2058,""),"")</f>
        <v/>
      </c>
      <c r="B2058" s="36">
        <f t="shared" si="164"/>
        <v>11</v>
      </c>
      <c r="C2058" s="191">
        <f t="shared" si="165"/>
        <v>40856</v>
      </c>
      <c r="D2058" s="860" t="s">
        <v>1102</v>
      </c>
      <c r="E2058" s="794">
        <v>40856</v>
      </c>
      <c r="F2058" s="298" t="s">
        <v>382</v>
      </c>
      <c r="G2058" s="40"/>
      <c r="H2058" s="628" t="s">
        <v>1092</v>
      </c>
      <c r="I2058" s="256">
        <v>5</v>
      </c>
      <c r="J2058" s="256">
        <v>27901</v>
      </c>
      <c r="K2058" s="614">
        <f t="shared" si="166"/>
        <v>139505</v>
      </c>
      <c r="L2058" s="52" t="s">
        <v>157</v>
      </c>
      <c r="M2058" s="52" t="s">
        <v>151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94"/>
    </row>
    <row r="2059" spans="1:27" ht="15.75" customHeight="1">
      <c r="A2059" s="204" t="str">
        <f>IF(B2059&lt;&gt;"",IF(AND(B2059&gt;=_TM1,B2059&lt;=_TM2,OR(TH!L2059="1111",TH!M2059="1111")),TH!D2059,""),"")</f>
        <v/>
      </c>
      <c r="B2059" s="36">
        <f t="shared" si="164"/>
        <v>11</v>
      </c>
      <c r="C2059" s="191">
        <f t="shared" si="165"/>
        <v>40856</v>
      </c>
      <c r="D2059" s="860" t="s">
        <v>1102</v>
      </c>
      <c r="E2059" s="794">
        <v>40856</v>
      </c>
      <c r="F2059" s="189" t="s">
        <v>387</v>
      </c>
      <c r="G2059" s="40"/>
      <c r="H2059" s="628" t="s">
        <v>1092</v>
      </c>
      <c r="I2059" s="839">
        <v>1</v>
      </c>
      <c r="J2059" s="256">
        <v>4449</v>
      </c>
      <c r="K2059" s="614">
        <f t="shared" si="166"/>
        <v>4449</v>
      </c>
      <c r="L2059" s="52" t="s">
        <v>157</v>
      </c>
      <c r="M2059" s="52" t="s">
        <v>151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>x</v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94"/>
    </row>
    <row r="2060" spans="1:27" ht="15.75" customHeight="1">
      <c r="A2060" s="204" t="str">
        <f>IF(B2060&lt;&gt;"",IF(AND(B2060&gt;=_TM1,B2060&lt;=_TM2,OR(TH!L2060="1111",TH!M2060="1111")),TH!D2060,""),"")</f>
        <v/>
      </c>
      <c r="B2060" s="36">
        <f t="shared" si="164"/>
        <v>11</v>
      </c>
      <c r="C2060" s="191">
        <v>40857</v>
      </c>
      <c r="D2060" s="191" t="s">
        <v>968</v>
      </c>
      <c r="E2060" s="191">
        <v>40857</v>
      </c>
      <c r="F2060" s="192" t="s">
        <v>1254</v>
      </c>
      <c r="G2060" s="498" t="s">
        <v>1290</v>
      </c>
      <c r="H2060" s="193" t="s">
        <v>733</v>
      </c>
      <c r="I2060" s="256">
        <v>20</v>
      </c>
      <c r="J2060" s="256">
        <v>14880</v>
      </c>
      <c r="K2060" s="614">
        <v>297600</v>
      </c>
      <c r="L2060" s="194" t="s">
        <v>259</v>
      </c>
      <c r="M2060" s="194" t="s">
        <v>167</v>
      </c>
      <c r="N2060" s="52" t="str">
        <f>IF(AND('331-CT'!$E$7=TH!H2060,OR(L2060="331",M2060="331")),"331",IF(AND(OR(L2060="131",M2060="131"),H2060='131-CT'!$E$7),"131",""))</f>
        <v>131</v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94"/>
    </row>
    <row r="2061" spans="1:27" ht="15.75" customHeight="1">
      <c r="A2061" s="204" t="str">
        <f>IF(B2061&lt;&gt;"",IF(AND(B2061&gt;=_TM1,B2061&lt;=_TM2,OR(TH!L2061="1111",TH!M2061="1111")),TH!D2061,""),"")</f>
        <v/>
      </c>
      <c r="B2061" s="36">
        <f t="shared" si="164"/>
        <v>11</v>
      </c>
      <c r="C2061" s="191">
        <v>40857</v>
      </c>
      <c r="D2061" s="191" t="s">
        <v>968</v>
      </c>
      <c r="E2061" s="191">
        <v>40857</v>
      </c>
      <c r="F2061" s="192" t="s">
        <v>1255</v>
      </c>
      <c r="G2061" s="498" t="s">
        <v>1290</v>
      </c>
      <c r="H2061" s="193" t="s">
        <v>733</v>
      </c>
      <c r="I2061" s="256">
        <v>94</v>
      </c>
      <c r="J2061" s="256">
        <v>20820</v>
      </c>
      <c r="K2061" s="614">
        <v>1957080</v>
      </c>
      <c r="L2061" s="194" t="s">
        <v>259</v>
      </c>
      <c r="M2061" s="194" t="s">
        <v>167</v>
      </c>
      <c r="N2061" s="52" t="str">
        <f>IF(AND('331-CT'!$E$7=TH!H2061,OR(L2061="331",M2061="331")),"331",IF(AND(OR(L2061="131",M2061="131"),H2061='131-CT'!$E$7),"131",""))</f>
        <v>131</v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94"/>
    </row>
    <row r="2062" spans="1:27" ht="15.75" customHeight="1">
      <c r="A2062" s="204" t="str">
        <f>IF(B2062&lt;&gt;"",IF(AND(B2062&gt;=_TM1,B2062&lt;=_TM2,OR(TH!L2062="1111",TH!M2062="1111")),TH!D2062,""),"")</f>
        <v/>
      </c>
      <c r="B2062" s="36">
        <f t="shared" si="164"/>
        <v>11</v>
      </c>
      <c r="C2062" s="191">
        <v>40857</v>
      </c>
      <c r="D2062" s="191" t="s">
        <v>968</v>
      </c>
      <c r="E2062" s="191">
        <v>40857</v>
      </c>
      <c r="F2062" s="192" t="s">
        <v>1256</v>
      </c>
      <c r="G2062" s="498" t="s">
        <v>1290</v>
      </c>
      <c r="H2062" s="193" t="s">
        <v>733</v>
      </c>
      <c r="I2062" s="256">
        <v>58</v>
      </c>
      <c r="J2062" s="256">
        <v>26203</v>
      </c>
      <c r="K2062" s="614">
        <v>1519774</v>
      </c>
      <c r="L2062" s="194" t="s">
        <v>259</v>
      </c>
      <c r="M2062" s="194" t="s">
        <v>167</v>
      </c>
      <c r="N2062" s="52" t="str">
        <f>IF(AND('331-CT'!$E$7=TH!H2062,OR(L2062="331",M2062="331")),"331",IF(AND(OR(L2062="131",M2062="131"),H2062='131-CT'!$E$7),"131",""))</f>
        <v>131</v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94"/>
    </row>
    <row r="2063" spans="1:27" ht="15.75" customHeight="1">
      <c r="A2063" s="204" t="str">
        <f>IF(B2063&lt;&gt;"",IF(AND(B2063&gt;=_TM1,B2063&lt;=_TM2,OR(TH!L2063="1111",TH!M2063="1111")),TH!D2063,""),"")</f>
        <v/>
      </c>
      <c r="B2063" s="36">
        <f t="shared" si="164"/>
        <v>11</v>
      </c>
      <c r="C2063" s="191">
        <v>40857</v>
      </c>
      <c r="D2063" s="191" t="s">
        <v>968</v>
      </c>
      <c r="E2063" s="191">
        <v>40857</v>
      </c>
      <c r="F2063" s="192" t="s">
        <v>1257</v>
      </c>
      <c r="G2063" s="498" t="s">
        <v>1290</v>
      </c>
      <c r="H2063" s="193" t="s">
        <v>733</v>
      </c>
      <c r="I2063" s="256">
        <v>4</v>
      </c>
      <c r="J2063" s="256">
        <v>11355</v>
      </c>
      <c r="K2063" s="614">
        <v>45420</v>
      </c>
      <c r="L2063" s="194" t="s">
        <v>259</v>
      </c>
      <c r="M2063" s="194" t="s">
        <v>167</v>
      </c>
      <c r="N2063" s="52" t="str">
        <f>IF(AND('331-CT'!$E$7=TH!H2063,OR(L2063="331",M2063="331")),"331",IF(AND(OR(L2063="131",M2063="131"),H2063='131-CT'!$E$7),"131",""))</f>
        <v>131</v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94"/>
    </row>
    <row r="2064" spans="1:27" ht="15.75" customHeight="1">
      <c r="A2064" s="204" t="str">
        <f>IF(B2064&lt;&gt;"",IF(AND(B2064&gt;=_TM1,B2064&lt;=_TM2,OR(TH!L2064="1111",TH!M2064="1111")),TH!D2064,""),"")</f>
        <v/>
      </c>
      <c r="B2064" s="36">
        <f t="shared" si="164"/>
        <v>11</v>
      </c>
      <c r="C2064" s="191">
        <v>40857</v>
      </c>
      <c r="D2064" s="191" t="s">
        <v>968</v>
      </c>
      <c r="E2064" s="191">
        <v>40857</v>
      </c>
      <c r="F2064" s="192" t="s">
        <v>1258</v>
      </c>
      <c r="G2064" s="498" t="s">
        <v>1290</v>
      </c>
      <c r="H2064" s="193" t="s">
        <v>733</v>
      </c>
      <c r="I2064" s="256">
        <v>1</v>
      </c>
      <c r="J2064" s="256">
        <v>11420</v>
      </c>
      <c r="K2064" s="614">
        <v>11420</v>
      </c>
      <c r="L2064" s="194" t="s">
        <v>259</v>
      </c>
      <c r="M2064" s="194" t="s">
        <v>167</v>
      </c>
      <c r="N2064" s="52" t="str">
        <f>IF(AND('331-CT'!$E$7=TH!H2064,OR(L2064="331",M2064="331")),"331",IF(AND(OR(L2064="131",M2064="131"),H2064='131-CT'!$E$7),"131",""))</f>
        <v>131</v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94"/>
    </row>
    <row r="2065" spans="1:30" ht="15.75" customHeight="1">
      <c r="A2065" s="204" t="str">
        <f>IF(B2065&lt;&gt;"",IF(AND(B2065&gt;=_TM1,B2065&lt;=_TM2,OR(TH!L2065="1111",TH!M2065="1111")),TH!D2065,""),"")</f>
        <v/>
      </c>
      <c r="B2065" s="36">
        <f t="shared" si="164"/>
        <v>11</v>
      </c>
      <c r="C2065" s="191">
        <v>40857</v>
      </c>
      <c r="D2065" s="191" t="s">
        <v>968</v>
      </c>
      <c r="E2065" s="191">
        <v>40857</v>
      </c>
      <c r="F2065" s="192" t="s">
        <v>1259</v>
      </c>
      <c r="G2065" s="498" t="s">
        <v>1290</v>
      </c>
      <c r="H2065" s="193" t="s">
        <v>733</v>
      </c>
      <c r="I2065" s="256">
        <v>5</v>
      </c>
      <c r="J2065" s="256">
        <v>14450</v>
      </c>
      <c r="K2065" s="614">
        <v>72250</v>
      </c>
      <c r="L2065" s="194" t="s">
        <v>259</v>
      </c>
      <c r="M2065" s="194" t="s">
        <v>167</v>
      </c>
      <c r="N2065" s="52" t="str">
        <f>IF(AND('331-CT'!$E$7=TH!H2065,OR(L2065="331",M2065="331")),"331",IF(AND(OR(L2065="131",M2065="131"),H2065='131-CT'!$E$7),"131",""))</f>
        <v>131</v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94"/>
    </row>
    <row r="2066" spans="1:30" ht="15.75" customHeight="1">
      <c r="A2066" s="204" t="str">
        <f>IF(B2066&lt;&gt;"",IF(AND(B2066&gt;=_TM1,B2066&lt;=_TM2,OR(TH!L2066="1111",TH!M2066="1111")),TH!D2066,""),"")</f>
        <v/>
      </c>
      <c r="B2066" s="36">
        <f t="shared" si="164"/>
        <v>11</v>
      </c>
      <c r="C2066" s="191">
        <v>40857</v>
      </c>
      <c r="D2066" s="191" t="s">
        <v>968</v>
      </c>
      <c r="E2066" s="191">
        <v>40857</v>
      </c>
      <c r="F2066" s="192" t="s">
        <v>1260</v>
      </c>
      <c r="G2066" s="498" t="s">
        <v>1290</v>
      </c>
      <c r="H2066" s="193" t="s">
        <v>733</v>
      </c>
      <c r="I2066" s="256">
        <v>80</v>
      </c>
      <c r="J2066" s="256">
        <v>13881</v>
      </c>
      <c r="K2066" s="614">
        <v>1110480</v>
      </c>
      <c r="L2066" s="194" t="s">
        <v>259</v>
      </c>
      <c r="M2066" s="194" t="s">
        <v>167</v>
      </c>
      <c r="N2066" s="52" t="str">
        <f>IF(AND('331-CT'!$E$7=TH!H2066,OR(L2066="331",M2066="331")),"331",IF(AND(OR(L2066="131",M2066="131"),H2066='131-CT'!$E$7),"131",""))</f>
        <v>131</v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94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36">
        <f t="shared" si="164"/>
        <v>11</v>
      </c>
      <c r="C2067" s="191">
        <v>40857</v>
      </c>
      <c r="D2067" s="191" t="s">
        <v>968</v>
      </c>
      <c r="E2067" s="191">
        <v>40857</v>
      </c>
      <c r="F2067" s="192" t="s">
        <v>1261</v>
      </c>
      <c r="G2067" s="498" t="s">
        <v>1290</v>
      </c>
      <c r="H2067" s="193" t="s">
        <v>733</v>
      </c>
      <c r="I2067" s="256">
        <v>4</v>
      </c>
      <c r="J2067" s="256">
        <v>20891</v>
      </c>
      <c r="K2067" s="614">
        <v>83564</v>
      </c>
      <c r="L2067" s="194" t="s">
        <v>259</v>
      </c>
      <c r="M2067" s="194" t="s">
        <v>167</v>
      </c>
      <c r="N2067" s="52" t="str">
        <f>IF(AND('331-CT'!$E$7=TH!H2067,OR(L2067="331",M2067="331")),"331",IF(AND(OR(L2067="131",M2067="131"),H2067='131-CT'!$E$7),"131",""))</f>
        <v>131</v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94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36">
        <f t="shared" si="164"/>
        <v>11</v>
      </c>
      <c r="C2068" s="191">
        <v>40857</v>
      </c>
      <c r="D2068" s="191" t="s">
        <v>968</v>
      </c>
      <c r="E2068" s="191">
        <v>40857</v>
      </c>
      <c r="F2068" s="192" t="s">
        <v>1262</v>
      </c>
      <c r="G2068" s="498" t="s">
        <v>1290</v>
      </c>
      <c r="H2068" s="193" t="s">
        <v>733</v>
      </c>
      <c r="I2068" s="256">
        <v>3</v>
      </c>
      <c r="J2068" s="256">
        <v>16534</v>
      </c>
      <c r="K2068" s="614">
        <v>49602</v>
      </c>
      <c r="L2068" s="194" t="s">
        <v>259</v>
      </c>
      <c r="M2068" s="194" t="s">
        <v>167</v>
      </c>
      <c r="N2068" s="52" t="str">
        <f>IF(AND('331-CT'!$E$7=TH!H2068,OR(L2068="331",M2068="331")),"331",IF(AND(OR(L2068="131",M2068="131"),H2068='131-CT'!$E$7),"131",""))</f>
        <v>131</v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94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36">
        <f t="shared" si="164"/>
        <v>11</v>
      </c>
      <c r="C2069" s="191">
        <v>40857</v>
      </c>
      <c r="D2069" s="191" t="s">
        <v>968</v>
      </c>
      <c r="E2069" s="191">
        <v>40857</v>
      </c>
      <c r="F2069" s="192" t="s">
        <v>1261</v>
      </c>
      <c r="G2069" s="498" t="s">
        <v>1290</v>
      </c>
      <c r="H2069" s="193" t="s">
        <v>733</v>
      </c>
      <c r="I2069" s="256">
        <v>4</v>
      </c>
      <c r="J2069" s="256">
        <v>20981</v>
      </c>
      <c r="K2069" s="614">
        <v>83924</v>
      </c>
      <c r="L2069" s="194" t="s">
        <v>259</v>
      </c>
      <c r="M2069" s="194" t="s">
        <v>167</v>
      </c>
      <c r="N2069" s="52" t="str">
        <f>IF(AND('331-CT'!$E$7=TH!H2069,OR(L2069="331",M2069="331")),"331",IF(AND(OR(L2069="131",M2069="131"),H2069='131-CT'!$E$7),"131",""))</f>
        <v>131</v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94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36">
        <f t="shared" si="164"/>
        <v>11</v>
      </c>
      <c r="C2070" s="191">
        <v>40857</v>
      </c>
      <c r="D2070" s="191" t="s">
        <v>968</v>
      </c>
      <c r="E2070" s="191">
        <v>40857</v>
      </c>
      <c r="F2070" s="192" t="s">
        <v>1289</v>
      </c>
      <c r="G2070" s="498" t="s">
        <v>1290</v>
      </c>
      <c r="H2070" s="193" t="s">
        <v>733</v>
      </c>
      <c r="I2070" s="256">
        <v>3</v>
      </c>
      <c r="J2070" s="256">
        <v>12847</v>
      </c>
      <c r="K2070" s="614">
        <v>38541</v>
      </c>
      <c r="L2070" s="194" t="s">
        <v>259</v>
      </c>
      <c r="M2070" s="194" t="s">
        <v>167</v>
      </c>
      <c r="N2070" s="52" t="str">
        <f>IF(AND('331-CT'!$E$7=TH!H2070,OR(L2070="331",M2070="331")),"331",IF(AND(OR(L2070="131",M2070="131"),H2070='131-CT'!$E$7),"131",""))</f>
        <v>131</v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94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36">
        <f t="shared" si="164"/>
        <v>11</v>
      </c>
      <c r="C2071" s="191">
        <v>40857</v>
      </c>
      <c r="D2071" s="191" t="s">
        <v>968</v>
      </c>
      <c r="E2071" s="191">
        <v>40857</v>
      </c>
      <c r="F2071" s="192" t="s">
        <v>1291</v>
      </c>
      <c r="G2071" s="498" t="s">
        <v>1290</v>
      </c>
      <c r="H2071" s="193" t="s">
        <v>733</v>
      </c>
      <c r="I2071" s="256">
        <v>6</v>
      </c>
      <c r="J2071" s="256">
        <v>17321</v>
      </c>
      <c r="K2071" s="614">
        <v>103926</v>
      </c>
      <c r="L2071" s="194" t="s">
        <v>259</v>
      </c>
      <c r="M2071" s="194" t="s">
        <v>167</v>
      </c>
      <c r="N2071" s="52" t="str">
        <f>IF(AND('331-CT'!$E$7=TH!H2071,OR(L2071="331",M2071="331")),"331",IF(AND(OR(L2071="131",M2071="131"),H2071='131-CT'!$E$7),"131",""))</f>
        <v>131</v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94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36">
        <f t="shared" si="164"/>
        <v>11</v>
      </c>
      <c r="C2072" s="191">
        <v>40857</v>
      </c>
      <c r="D2072" s="191" t="s">
        <v>968</v>
      </c>
      <c r="E2072" s="191">
        <v>40857</v>
      </c>
      <c r="F2072" s="192" t="s">
        <v>1263</v>
      </c>
      <c r="G2072" s="498" t="s">
        <v>1290</v>
      </c>
      <c r="H2072" s="193" t="s">
        <v>733</v>
      </c>
      <c r="I2072" s="256">
        <v>42</v>
      </c>
      <c r="J2072" s="256">
        <v>15669</v>
      </c>
      <c r="K2072" s="614">
        <v>658098</v>
      </c>
      <c r="L2072" s="194" t="s">
        <v>259</v>
      </c>
      <c r="M2072" s="194" t="s">
        <v>167</v>
      </c>
      <c r="N2072" s="52" t="str">
        <f>IF(AND('331-CT'!$E$7=TH!H2072,OR(L2072="331",M2072="331")),"331",IF(AND(OR(L2072="131",M2072="131"),H2072='131-CT'!$E$7),"131",""))</f>
        <v>131</v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94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36">
        <f t="shared" ref="B2073:B2136" si="167">IF(C2073&lt;&gt;"",MONTH(C2073),"")</f>
        <v>11</v>
      </c>
      <c r="C2073" s="191">
        <v>40857</v>
      </c>
      <c r="D2073" s="191" t="s">
        <v>968</v>
      </c>
      <c r="E2073" s="191">
        <v>40857</v>
      </c>
      <c r="F2073" s="192" t="s">
        <v>1264</v>
      </c>
      <c r="G2073" s="498" t="s">
        <v>1290</v>
      </c>
      <c r="H2073" s="193" t="s">
        <v>733</v>
      </c>
      <c r="I2073" s="256">
        <v>43</v>
      </c>
      <c r="J2073" s="256">
        <v>17372</v>
      </c>
      <c r="K2073" s="614">
        <v>746996</v>
      </c>
      <c r="L2073" s="194" t="s">
        <v>259</v>
      </c>
      <c r="M2073" s="194" t="s">
        <v>167</v>
      </c>
      <c r="N2073" s="52" t="str">
        <f>IF(AND('331-CT'!$E$7=TH!H2073,OR(L2073="331",M2073="331")),"331",IF(AND(OR(L2073="131",M2073="131"),H2073='131-CT'!$E$7),"131",""))</f>
        <v>131</v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94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36">
        <f t="shared" si="167"/>
        <v>11</v>
      </c>
      <c r="C2074" s="191">
        <v>40857</v>
      </c>
      <c r="D2074" s="191" t="s">
        <v>968</v>
      </c>
      <c r="E2074" s="191">
        <v>40857</v>
      </c>
      <c r="F2074" s="192" t="s">
        <v>1292</v>
      </c>
      <c r="G2074" s="498" t="s">
        <v>1290</v>
      </c>
      <c r="H2074" s="193" t="s">
        <v>733</v>
      </c>
      <c r="I2074" s="256">
        <v>1112</v>
      </c>
      <c r="J2074" s="256">
        <v>13869</v>
      </c>
      <c r="K2074" s="614">
        <v>15422328</v>
      </c>
      <c r="L2074" s="194" t="s">
        <v>259</v>
      </c>
      <c r="M2074" s="194" t="s">
        <v>167</v>
      </c>
      <c r="N2074" s="52" t="str">
        <f>IF(AND('331-CT'!$E$7=TH!H2074,OR(L2074="331",M2074="331")),"331",IF(AND(OR(L2074="131",M2074="131"),H2074='131-CT'!$E$7),"131",""))</f>
        <v>131</v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94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36">
        <f t="shared" si="167"/>
        <v>11</v>
      </c>
      <c r="C2075" s="191">
        <v>40857</v>
      </c>
      <c r="D2075" s="191" t="s">
        <v>968</v>
      </c>
      <c r="E2075" s="191">
        <v>40857</v>
      </c>
      <c r="F2075" s="192" t="s">
        <v>1293</v>
      </c>
      <c r="G2075" s="498" t="s">
        <v>1290</v>
      </c>
      <c r="H2075" s="193" t="s">
        <v>733</v>
      </c>
      <c r="I2075" s="256">
        <v>1000</v>
      </c>
      <c r="J2075" s="256">
        <v>14230</v>
      </c>
      <c r="K2075" s="614">
        <v>14230000</v>
      </c>
      <c r="L2075" s="194" t="s">
        <v>259</v>
      </c>
      <c r="M2075" s="194" t="s">
        <v>167</v>
      </c>
      <c r="N2075" s="52" t="str">
        <f>IF(AND('331-CT'!$E$7=TH!H2075,OR(L2075="331",M2075="331")),"331",IF(AND(OR(L2075="131",M2075="131"),H2075='131-CT'!$E$7),"131",""))</f>
        <v>131</v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94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36">
        <f t="shared" si="167"/>
        <v>11</v>
      </c>
      <c r="C2076" s="191">
        <v>40857</v>
      </c>
      <c r="D2076" s="191" t="s">
        <v>968</v>
      </c>
      <c r="E2076" s="191">
        <v>40857</v>
      </c>
      <c r="F2076" s="192" t="s">
        <v>1294</v>
      </c>
      <c r="G2076" s="498" t="s">
        <v>1290</v>
      </c>
      <c r="H2076" s="193" t="s">
        <v>733</v>
      </c>
      <c r="I2076" s="256">
        <v>25</v>
      </c>
      <c r="J2076" s="256">
        <v>9024</v>
      </c>
      <c r="K2076" s="614">
        <v>225600</v>
      </c>
      <c r="L2076" s="194" t="s">
        <v>259</v>
      </c>
      <c r="M2076" s="194" t="s">
        <v>167</v>
      </c>
      <c r="N2076" s="52" t="str">
        <f>IF(AND('331-CT'!$E$7=TH!H2076,OR(L2076="331",M2076="331")),"331",IF(AND(OR(L2076="131",M2076="131"),H2076='131-CT'!$E$7),"131",""))</f>
        <v>131</v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94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36">
        <f t="shared" si="167"/>
        <v>11</v>
      </c>
      <c r="C2077" s="191">
        <v>40857</v>
      </c>
      <c r="D2077" s="191" t="s">
        <v>968</v>
      </c>
      <c r="E2077" s="191">
        <v>40857</v>
      </c>
      <c r="F2077" s="192" t="s">
        <v>1295</v>
      </c>
      <c r="G2077" s="498" t="s">
        <v>1290</v>
      </c>
      <c r="H2077" s="193" t="s">
        <v>733</v>
      </c>
      <c r="I2077" s="256">
        <v>2</v>
      </c>
      <c r="J2077" s="256">
        <v>4181</v>
      </c>
      <c r="K2077" s="614">
        <v>8362</v>
      </c>
      <c r="L2077" s="194" t="s">
        <v>259</v>
      </c>
      <c r="M2077" s="194" t="s">
        <v>167</v>
      </c>
      <c r="N2077" s="52" t="str">
        <f>IF(AND('331-CT'!$E$7=TH!H2077,OR(L2077="331",M2077="331")),"331",IF(AND(OR(L2077="131",M2077="131"),H2077='131-CT'!$E$7),"131",""))</f>
        <v>131</v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94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36">
        <f t="shared" si="167"/>
        <v>11</v>
      </c>
      <c r="C2078" s="191">
        <v>40857</v>
      </c>
      <c r="D2078" s="191" t="s">
        <v>968</v>
      </c>
      <c r="E2078" s="191">
        <v>40857</v>
      </c>
      <c r="F2078" s="192" t="s">
        <v>1176</v>
      </c>
      <c r="G2078" s="498" t="s">
        <v>1290</v>
      </c>
      <c r="H2078" s="193" t="s">
        <v>733</v>
      </c>
      <c r="I2078" s="256"/>
      <c r="J2078" s="256"/>
      <c r="K2078" s="614">
        <v>3666497</v>
      </c>
      <c r="L2078" s="194" t="s">
        <v>259</v>
      </c>
      <c r="M2078" s="194" t="s">
        <v>731</v>
      </c>
      <c r="N2078" s="52" t="str">
        <f>IF(AND('331-CT'!$E$7=TH!H2078,OR(L2078="331",M2078="331")),"331",IF(AND(OR(L2078="131",M2078="131"),H2078='131-CT'!$E$7),"131",""))</f>
        <v>131</v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94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712">
        <f t="shared" si="167"/>
        <v>11</v>
      </c>
      <c r="C2079" s="860">
        <f t="shared" ref="C2079:C2114" si="168">E2079</f>
        <v>40857</v>
      </c>
      <c r="D2079" s="48" t="s">
        <v>1125</v>
      </c>
      <c r="E2079" s="895">
        <v>40857</v>
      </c>
      <c r="F2079" s="49" t="s">
        <v>1254</v>
      </c>
      <c r="G2079" s="49"/>
      <c r="H2079" s="868" t="s">
        <v>1092</v>
      </c>
      <c r="I2079" s="254">
        <v>20</v>
      </c>
      <c r="J2079" s="254">
        <v>9649.9581858454421</v>
      </c>
      <c r="K2079" s="716">
        <f t="shared" ref="K2079:K2114" si="169">ROUND(I2079*J2079,0)</f>
        <v>192999</v>
      </c>
      <c r="L2079" s="52" t="s">
        <v>159</v>
      </c>
      <c r="M2079" s="52" t="s">
        <v>157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94"/>
      <c r="AB2079" s="831"/>
      <c r="AC2079" s="831"/>
      <c r="AD2079" s="831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712">
        <f t="shared" si="167"/>
        <v>11</v>
      </c>
      <c r="C2080" s="860">
        <f t="shared" si="168"/>
        <v>40857</v>
      </c>
      <c r="D2080" s="48" t="s">
        <v>1125</v>
      </c>
      <c r="E2080" s="895">
        <v>40857</v>
      </c>
      <c r="F2080" s="49" t="s">
        <v>1255</v>
      </c>
      <c r="G2080" s="49"/>
      <c r="H2080" s="868" t="s">
        <v>1092</v>
      </c>
      <c r="I2080" s="254">
        <v>94</v>
      </c>
      <c r="J2080" s="254">
        <v>18666.497547547569</v>
      </c>
      <c r="K2080" s="716">
        <f t="shared" si="169"/>
        <v>1754651</v>
      </c>
      <c r="L2080" s="52" t="s">
        <v>159</v>
      </c>
      <c r="M2080" s="52" t="s">
        <v>157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94"/>
      <c r="AB2080" s="831"/>
      <c r="AC2080" s="831"/>
      <c r="AD2080" s="831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712">
        <f t="shared" si="167"/>
        <v>11</v>
      </c>
      <c r="C2081" s="860">
        <f t="shared" si="168"/>
        <v>40857</v>
      </c>
      <c r="D2081" s="48" t="s">
        <v>1125</v>
      </c>
      <c r="E2081" s="895">
        <v>40857</v>
      </c>
      <c r="F2081" s="49" t="s">
        <v>1256</v>
      </c>
      <c r="G2081" s="49"/>
      <c r="H2081" s="868" t="s">
        <v>1092</v>
      </c>
      <c r="I2081" s="254">
        <v>58</v>
      </c>
      <c r="J2081" s="254">
        <v>21576.490944466135</v>
      </c>
      <c r="K2081" s="716">
        <f t="shared" si="169"/>
        <v>1251436</v>
      </c>
      <c r="L2081" s="52" t="s">
        <v>159</v>
      </c>
      <c r="M2081" s="52" t="s">
        <v>157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94"/>
      <c r="AB2081" s="831"/>
      <c r="AC2081" s="831"/>
      <c r="AD2081" s="831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712">
        <f t="shared" si="167"/>
        <v>11</v>
      </c>
      <c r="C2082" s="860">
        <f t="shared" si="168"/>
        <v>40857</v>
      </c>
      <c r="D2082" s="48" t="s">
        <v>1125</v>
      </c>
      <c r="E2082" s="895">
        <v>40857</v>
      </c>
      <c r="F2082" s="49" t="s">
        <v>1257</v>
      </c>
      <c r="G2082" s="49"/>
      <c r="H2082" s="868" t="s">
        <v>1092</v>
      </c>
      <c r="I2082" s="254">
        <v>4</v>
      </c>
      <c r="J2082" s="254">
        <v>9918.2581858454432</v>
      </c>
      <c r="K2082" s="716">
        <f t="shared" si="169"/>
        <v>39673</v>
      </c>
      <c r="L2082" s="52" t="s">
        <v>159</v>
      </c>
      <c r="M2082" s="52" t="s">
        <v>157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94"/>
      <c r="AB2082" s="831"/>
      <c r="AC2082" s="831"/>
      <c r="AD2082" s="831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712">
        <f t="shared" si="167"/>
        <v>11</v>
      </c>
      <c r="C2083" s="860">
        <f t="shared" si="168"/>
        <v>40857</v>
      </c>
      <c r="D2083" s="48" t="s">
        <v>1125</v>
      </c>
      <c r="E2083" s="895">
        <v>40857</v>
      </c>
      <c r="F2083" s="49" t="s">
        <v>1258</v>
      </c>
      <c r="G2083" s="49"/>
      <c r="H2083" s="868" t="s">
        <v>1092</v>
      </c>
      <c r="I2083" s="254">
        <v>1</v>
      </c>
      <c r="J2083" s="254">
        <v>9917.5081858454432</v>
      </c>
      <c r="K2083" s="716">
        <f t="shared" si="169"/>
        <v>9918</v>
      </c>
      <c r="L2083" s="52" t="s">
        <v>159</v>
      </c>
      <c r="M2083" s="52" t="s">
        <v>157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94"/>
      <c r="AB2083" s="831"/>
      <c r="AC2083" s="831"/>
      <c r="AD2083" s="831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712">
        <f t="shared" si="167"/>
        <v>11</v>
      </c>
      <c r="C2084" s="860">
        <f t="shared" si="168"/>
        <v>40857</v>
      </c>
      <c r="D2084" s="48" t="s">
        <v>1125</v>
      </c>
      <c r="E2084" s="895">
        <v>40857</v>
      </c>
      <c r="F2084" s="49" t="s">
        <v>1259</v>
      </c>
      <c r="G2084" s="49"/>
      <c r="H2084" s="868" t="s">
        <v>1092</v>
      </c>
      <c r="I2084" s="254">
        <v>5</v>
      </c>
      <c r="J2084" s="254">
        <v>13595.908185845441</v>
      </c>
      <c r="K2084" s="716">
        <f t="shared" si="169"/>
        <v>67980</v>
      </c>
      <c r="L2084" s="52" t="s">
        <v>159</v>
      </c>
      <c r="M2084" s="52" t="s">
        <v>157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94"/>
      <c r="AB2084" s="831"/>
      <c r="AC2084" s="831"/>
      <c r="AD2084" s="831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712">
        <f t="shared" si="167"/>
        <v>11</v>
      </c>
      <c r="C2085" s="860">
        <f t="shared" si="168"/>
        <v>40857</v>
      </c>
      <c r="D2085" s="48" t="s">
        <v>1125</v>
      </c>
      <c r="E2085" s="895">
        <v>40857</v>
      </c>
      <c r="F2085" s="49" t="s">
        <v>1260</v>
      </c>
      <c r="G2085" s="49"/>
      <c r="H2085" s="868" t="s">
        <v>1092</v>
      </c>
      <c r="I2085" s="254">
        <v>80</v>
      </c>
      <c r="J2085" s="254">
        <v>11437.495685845442</v>
      </c>
      <c r="K2085" s="716">
        <f t="shared" si="169"/>
        <v>915000</v>
      </c>
      <c r="L2085" s="52" t="s">
        <v>159</v>
      </c>
      <c r="M2085" s="52" t="s">
        <v>157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94"/>
      <c r="AB2085" s="831"/>
      <c r="AC2085" s="831"/>
      <c r="AD2085" s="831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712">
        <f t="shared" si="167"/>
        <v>11</v>
      </c>
      <c r="C2086" s="860">
        <f t="shared" si="168"/>
        <v>40857</v>
      </c>
      <c r="D2086" s="48" t="s">
        <v>1125</v>
      </c>
      <c r="E2086" s="895">
        <v>40857</v>
      </c>
      <c r="F2086" s="49" t="s">
        <v>1261</v>
      </c>
      <c r="G2086" s="49"/>
      <c r="H2086" s="868" t="s">
        <v>1092</v>
      </c>
      <c r="I2086" s="254">
        <v>4</v>
      </c>
      <c r="J2086" s="254">
        <v>18666.258185845447</v>
      </c>
      <c r="K2086" s="716">
        <f t="shared" si="169"/>
        <v>74665</v>
      </c>
      <c r="L2086" s="52" t="s">
        <v>159</v>
      </c>
      <c r="M2086" s="52" t="s">
        <v>157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94"/>
      <c r="AB2086" s="831"/>
      <c r="AC2086" s="831"/>
      <c r="AD2086" s="831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712">
        <f t="shared" si="167"/>
        <v>11</v>
      </c>
      <c r="C2087" s="860">
        <f t="shared" si="168"/>
        <v>40857</v>
      </c>
      <c r="D2087" s="48" t="s">
        <v>1125</v>
      </c>
      <c r="E2087" s="895">
        <v>40857</v>
      </c>
      <c r="F2087" s="49" t="s">
        <v>1262</v>
      </c>
      <c r="G2087" s="49"/>
      <c r="H2087" s="868" t="s">
        <v>1092</v>
      </c>
      <c r="I2087" s="254">
        <v>3</v>
      </c>
      <c r="J2087" s="254">
        <v>11117.174852512109</v>
      </c>
      <c r="K2087" s="716">
        <f t="shared" si="169"/>
        <v>33352</v>
      </c>
      <c r="L2087" s="52" t="s">
        <v>159</v>
      </c>
      <c r="M2087" s="52" t="s">
        <v>157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94"/>
      <c r="AB2087" s="831"/>
      <c r="AC2087" s="831"/>
      <c r="AD2087" s="831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712">
        <f t="shared" si="167"/>
        <v>11</v>
      </c>
      <c r="C2088" s="860">
        <f t="shared" si="168"/>
        <v>40857</v>
      </c>
      <c r="D2088" s="48" t="s">
        <v>1126</v>
      </c>
      <c r="E2088" s="895">
        <v>40857</v>
      </c>
      <c r="F2088" s="49" t="s">
        <v>1261</v>
      </c>
      <c r="G2088" s="49"/>
      <c r="H2088" s="868" t="s">
        <v>1092</v>
      </c>
      <c r="I2088" s="254">
        <v>4</v>
      </c>
      <c r="J2088" s="254">
        <v>18666.258185845447</v>
      </c>
      <c r="K2088" s="716">
        <f t="shared" si="169"/>
        <v>74665</v>
      </c>
      <c r="L2088" s="52" t="s">
        <v>159</v>
      </c>
      <c r="M2088" s="52" t="s">
        <v>157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94"/>
      <c r="AB2088" s="831"/>
      <c r="AC2088" s="831"/>
      <c r="AD2088" s="831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712">
        <f t="shared" si="167"/>
        <v>11</v>
      </c>
      <c r="C2089" s="860">
        <f t="shared" si="168"/>
        <v>40857</v>
      </c>
      <c r="D2089" s="48" t="s">
        <v>1126</v>
      </c>
      <c r="E2089" s="895">
        <v>40857</v>
      </c>
      <c r="F2089" s="49" t="s">
        <v>1289</v>
      </c>
      <c r="G2089" s="49"/>
      <c r="H2089" s="868" t="s">
        <v>1092</v>
      </c>
      <c r="I2089" s="254">
        <v>3</v>
      </c>
      <c r="J2089" s="254">
        <v>10496.174852512109</v>
      </c>
      <c r="K2089" s="716">
        <f t="shared" si="169"/>
        <v>31489</v>
      </c>
      <c r="L2089" s="52" t="s">
        <v>159</v>
      </c>
      <c r="M2089" s="52" t="s">
        <v>157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94"/>
      <c r="AB2089" s="831"/>
      <c r="AC2089" s="831"/>
      <c r="AD2089" s="831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712">
        <f t="shared" si="167"/>
        <v>11</v>
      </c>
      <c r="C2090" s="860">
        <f t="shared" si="168"/>
        <v>40857</v>
      </c>
      <c r="D2090" s="48" t="s">
        <v>1126</v>
      </c>
      <c r="E2090" s="895">
        <v>40857</v>
      </c>
      <c r="F2090" s="49" t="s">
        <v>1291</v>
      </c>
      <c r="G2090" s="49"/>
      <c r="H2090" s="868" t="s">
        <v>1092</v>
      </c>
      <c r="I2090" s="254">
        <v>6</v>
      </c>
      <c r="J2090" s="254">
        <v>15403.341519178777</v>
      </c>
      <c r="K2090" s="716">
        <f t="shared" si="169"/>
        <v>92420</v>
      </c>
      <c r="L2090" s="52" t="s">
        <v>159</v>
      </c>
      <c r="M2090" s="52" t="s">
        <v>157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94"/>
      <c r="AB2090" s="831"/>
      <c r="AC2090" s="831"/>
      <c r="AD2090" s="831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712">
        <f t="shared" si="167"/>
        <v>11</v>
      </c>
      <c r="C2091" s="860">
        <f t="shared" si="168"/>
        <v>40857</v>
      </c>
      <c r="D2091" s="48" t="s">
        <v>1126</v>
      </c>
      <c r="E2091" s="895">
        <v>40857</v>
      </c>
      <c r="F2091" s="49" t="s">
        <v>1263</v>
      </c>
      <c r="G2091" s="49"/>
      <c r="H2091" s="868" t="s">
        <v>1092</v>
      </c>
      <c r="I2091" s="254">
        <v>42</v>
      </c>
      <c r="J2091" s="254">
        <v>14113.984376321636</v>
      </c>
      <c r="K2091" s="716">
        <f t="shared" si="169"/>
        <v>592787</v>
      </c>
      <c r="L2091" s="52" t="s">
        <v>159</v>
      </c>
      <c r="M2091" s="52" t="s">
        <v>157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94"/>
      <c r="AB2091" s="831"/>
      <c r="AC2091" s="831"/>
      <c r="AD2091" s="831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712">
        <f t="shared" si="167"/>
        <v>11</v>
      </c>
      <c r="C2092" s="860">
        <f t="shared" si="168"/>
        <v>40857</v>
      </c>
      <c r="D2092" s="48" t="s">
        <v>1126</v>
      </c>
      <c r="E2092" s="895">
        <v>40857</v>
      </c>
      <c r="F2092" s="49" t="s">
        <v>1264</v>
      </c>
      <c r="G2092" s="49"/>
      <c r="H2092" s="868" t="s">
        <v>1092</v>
      </c>
      <c r="I2092" s="254">
        <v>43</v>
      </c>
      <c r="J2092" s="254">
        <v>15731.508185845443</v>
      </c>
      <c r="K2092" s="716">
        <f t="shared" si="169"/>
        <v>676455</v>
      </c>
      <c r="L2092" s="52" t="s">
        <v>159</v>
      </c>
      <c r="M2092" s="52" t="s">
        <v>157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94"/>
      <c r="AB2092" s="831"/>
      <c r="AC2092" s="831"/>
      <c r="AD2092" s="831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712">
        <f t="shared" si="167"/>
        <v>11</v>
      </c>
      <c r="C2093" s="860">
        <f t="shared" si="168"/>
        <v>40857</v>
      </c>
      <c r="D2093" s="48" t="s">
        <v>1126</v>
      </c>
      <c r="E2093" s="895">
        <v>40857</v>
      </c>
      <c r="F2093" s="49" t="s">
        <v>1292</v>
      </c>
      <c r="G2093" s="49"/>
      <c r="H2093" s="868" t="s">
        <v>1092</v>
      </c>
      <c r="I2093" s="254">
        <v>1112</v>
      </c>
      <c r="J2093" s="254">
        <v>9642.2572865648672</v>
      </c>
      <c r="K2093" s="716">
        <f t="shared" si="169"/>
        <v>10722190</v>
      </c>
      <c r="L2093" s="52" t="s">
        <v>159</v>
      </c>
      <c r="M2093" s="52" t="s">
        <v>157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94"/>
      <c r="AB2093" s="831"/>
      <c r="AC2093" s="831"/>
      <c r="AD2093" s="831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712">
        <f t="shared" si="167"/>
        <v>11</v>
      </c>
      <c r="C2094" s="860">
        <f t="shared" si="168"/>
        <v>40857</v>
      </c>
      <c r="D2094" s="48" t="s">
        <v>1126</v>
      </c>
      <c r="E2094" s="895">
        <v>40857</v>
      </c>
      <c r="F2094" s="49" t="s">
        <v>1293</v>
      </c>
      <c r="G2094" s="49"/>
      <c r="H2094" s="868" t="s">
        <v>1092</v>
      </c>
      <c r="I2094" s="254">
        <v>1000</v>
      </c>
      <c r="J2094" s="254">
        <v>9642.257185845443</v>
      </c>
      <c r="K2094" s="716">
        <f t="shared" si="169"/>
        <v>9642257</v>
      </c>
      <c r="L2094" s="52" t="s">
        <v>159</v>
      </c>
      <c r="M2094" s="52" t="s">
        <v>157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94"/>
      <c r="AB2094" s="831"/>
      <c r="AC2094" s="831"/>
      <c r="AD2094" s="831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712">
        <f t="shared" si="167"/>
        <v>11</v>
      </c>
      <c r="C2095" s="860">
        <f t="shared" si="168"/>
        <v>40857</v>
      </c>
      <c r="D2095" s="48" t="s">
        <v>1126</v>
      </c>
      <c r="E2095" s="895">
        <v>40857</v>
      </c>
      <c r="F2095" s="49" t="s">
        <v>1294</v>
      </c>
      <c r="G2095" s="49"/>
      <c r="H2095" s="868" t="s">
        <v>1092</v>
      </c>
      <c r="I2095" s="254">
        <v>25</v>
      </c>
      <c r="J2095" s="254">
        <v>6878.6681858454422</v>
      </c>
      <c r="K2095" s="716">
        <f t="shared" si="169"/>
        <v>171967</v>
      </c>
      <c r="L2095" s="52" t="s">
        <v>159</v>
      </c>
      <c r="M2095" s="52" t="s">
        <v>157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94"/>
      <c r="AB2095" s="831"/>
      <c r="AC2095" s="831"/>
      <c r="AD2095" s="831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712">
        <f t="shared" si="167"/>
        <v>11</v>
      </c>
      <c r="C2096" s="860">
        <f t="shared" si="168"/>
        <v>40857</v>
      </c>
      <c r="D2096" s="48" t="s">
        <v>1126</v>
      </c>
      <c r="E2096" s="895">
        <v>40857</v>
      </c>
      <c r="F2096" s="49" t="s">
        <v>1295</v>
      </c>
      <c r="G2096" s="49"/>
      <c r="H2096" s="868" t="s">
        <v>1092</v>
      </c>
      <c r="I2096" s="254">
        <v>2</v>
      </c>
      <c r="J2096" s="254">
        <v>3522.5081858454428</v>
      </c>
      <c r="K2096" s="716">
        <f t="shared" si="169"/>
        <v>7045</v>
      </c>
      <c r="L2096" s="52" t="s">
        <v>159</v>
      </c>
      <c r="M2096" s="52" t="s">
        <v>157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94"/>
      <c r="AB2096" s="831"/>
      <c r="AC2096" s="831"/>
      <c r="AD2096" s="831"/>
    </row>
    <row r="2097" spans="1:30" ht="15.75" customHeight="1">
      <c r="A2097" s="204" t="str">
        <f>IF(B2097&lt;&gt;"",IF(AND(B2097&gt;=_TM1,B2097&lt;=_TM2,OR(TH!L2097="1111",TH!M2097="1111")),TH!D2097,""),"")</f>
        <v/>
      </c>
      <c r="B2097" s="36">
        <f t="shared" si="167"/>
        <v>11</v>
      </c>
      <c r="C2097" s="191">
        <f t="shared" si="168"/>
        <v>40857</v>
      </c>
      <c r="D2097" s="37" t="s">
        <v>968</v>
      </c>
      <c r="E2097" s="794">
        <v>40857</v>
      </c>
      <c r="F2097" s="192" t="s">
        <v>1254</v>
      </c>
      <c r="G2097" s="498" t="s">
        <v>1290</v>
      </c>
      <c r="H2097" s="193" t="s">
        <v>733</v>
      </c>
      <c r="I2097" s="256">
        <v>20</v>
      </c>
      <c r="J2097" s="256">
        <v>9649.9581858454421</v>
      </c>
      <c r="K2097" s="866">
        <f t="shared" si="169"/>
        <v>192999</v>
      </c>
      <c r="L2097" s="854" t="s">
        <v>165</v>
      </c>
      <c r="M2097" s="854" t="s">
        <v>159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94"/>
    </row>
    <row r="2098" spans="1:30" ht="15.75" customHeight="1">
      <c r="A2098" s="204" t="str">
        <f>IF(B2098&lt;&gt;"",IF(AND(B2098&gt;=_TM1,B2098&lt;=_TM2,OR(TH!L2098="1111",TH!M2098="1111")),TH!D2098,""),"")</f>
        <v/>
      </c>
      <c r="B2098" s="36">
        <f t="shared" si="167"/>
        <v>11</v>
      </c>
      <c r="C2098" s="191">
        <f t="shared" si="168"/>
        <v>40857</v>
      </c>
      <c r="D2098" s="37" t="s">
        <v>968</v>
      </c>
      <c r="E2098" s="792">
        <v>40857</v>
      </c>
      <c r="F2098" s="858" t="s">
        <v>1255</v>
      </c>
      <c r="G2098" s="498" t="s">
        <v>1290</v>
      </c>
      <c r="H2098" s="193" t="s">
        <v>733</v>
      </c>
      <c r="I2098" s="256">
        <v>94</v>
      </c>
      <c r="J2098" s="256">
        <v>18666.497547547569</v>
      </c>
      <c r="K2098" s="866">
        <f t="shared" si="169"/>
        <v>1754651</v>
      </c>
      <c r="L2098" s="854" t="s">
        <v>165</v>
      </c>
      <c r="M2098" s="854" t="s">
        <v>159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94"/>
    </row>
    <row r="2099" spans="1:30" ht="15.75" customHeight="1">
      <c r="A2099" s="204" t="str">
        <f>IF(B2099&lt;&gt;"",IF(AND(B2099&gt;=_TM1,B2099&lt;=_TM2,OR(TH!L2099="1111",TH!M2099="1111")),TH!D2099,""),"")</f>
        <v/>
      </c>
      <c r="B2099" s="36">
        <f t="shared" si="167"/>
        <v>11</v>
      </c>
      <c r="C2099" s="191">
        <f t="shared" si="168"/>
        <v>40857</v>
      </c>
      <c r="D2099" s="37" t="s">
        <v>968</v>
      </c>
      <c r="E2099" s="792">
        <v>40857</v>
      </c>
      <c r="F2099" s="858" t="s">
        <v>1256</v>
      </c>
      <c r="G2099" s="498" t="s">
        <v>1290</v>
      </c>
      <c r="H2099" s="193" t="s">
        <v>733</v>
      </c>
      <c r="I2099" s="256">
        <v>58</v>
      </c>
      <c r="J2099" s="256">
        <v>21576.490944466135</v>
      </c>
      <c r="K2099" s="866">
        <f t="shared" si="169"/>
        <v>1251436</v>
      </c>
      <c r="L2099" s="854" t="s">
        <v>165</v>
      </c>
      <c r="M2099" s="854" t="s">
        <v>159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94"/>
    </row>
    <row r="2100" spans="1:30" ht="15.75" customHeight="1">
      <c r="A2100" s="204" t="str">
        <f>IF(B2100&lt;&gt;"",IF(AND(B2100&gt;=_TM1,B2100&lt;=_TM2,OR(TH!L2100="1111",TH!M2100="1111")),TH!D2100,""),"")</f>
        <v/>
      </c>
      <c r="B2100" s="36">
        <f t="shared" si="167"/>
        <v>11</v>
      </c>
      <c r="C2100" s="191">
        <f t="shared" si="168"/>
        <v>40857</v>
      </c>
      <c r="D2100" s="37" t="s">
        <v>968</v>
      </c>
      <c r="E2100" s="792">
        <v>40857</v>
      </c>
      <c r="F2100" s="192" t="s">
        <v>1257</v>
      </c>
      <c r="G2100" s="498" t="s">
        <v>1290</v>
      </c>
      <c r="H2100" s="193" t="s">
        <v>733</v>
      </c>
      <c r="I2100" s="256">
        <v>4</v>
      </c>
      <c r="J2100" s="256">
        <v>9918.2581858454432</v>
      </c>
      <c r="K2100" s="866">
        <f t="shared" si="169"/>
        <v>39673</v>
      </c>
      <c r="L2100" s="854" t="s">
        <v>165</v>
      </c>
      <c r="M2100" s="854" t="s">
        <v>159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94"/>
    </row>
    <row r="2101" spans="1:30" ht="15.75" customHeight="1">
      <c r="A2101" s="204" t="str">
        <f>IF(B2101&lt;&gt;"",IF(AND(B2101&gt;=_TM1,B2101&lt;=_TM2,OR(TH!L2101="1111",TH!M2101="1111")),TH!D2101,""),"")</f>
        <v/>
      </c>
      <c r="B2101" s="36">
        <f t="shared" si="167"/>
        <v>11</v>
      </c>
      <c r="C2101" s="191">
        <f t="shared" si="168"/>
        <v>40857</v>
      </c>
      <c r="D2101" s="37" t="s">
        <v>968</v>
      </c>
      <c r="E2101" s="792">
        <v>40857</v>
      </c>
      <c r="F2101" s="192" t="s">
        <v>1258</v>
      </c>
      <c r="G2101" s="498" t="s">
        <v>1290</v>
      </c>
      <c r="H2101" s="193" t="s">
        <v>733</v>
      </c>
      <c r="I2101" s="256">
        <v>1</v>
      </c>
      <c r="J2101" s="256">
        <v>9917.5081858454432</v>
      </c>
      <c r="K2101" s="866">
        <f t="shared" si="169"/>
        <v>9918</v>
      </c>
      <c r="L2101" s="854" t="s">
        <v>165</v>
      </c>
      <c r="M2101" s="854" t="s">
        <v>159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94"/>
    </row>
    <row r="2102" spans="1:30" s="83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167"/>
        <v>11</v>
      </c>
      <c r="C2102" s="191">
        <f t="shared" si="168"/>
        <v>40857</v>
      </c>
      <c r="D2102" s="37" t="s">
        <v>968</v>
      </c>
      <c r="E2102" s="794">
        <v>40857</v>
      </c>
      <c r="F2102" s="192" t="s">
        <v>1259</v>
      </c>
      <c r="G2102" s="498" t="s">
        <v>1290</v>
      </c>
      <c r="H2102" s="193" t="s">
        <v>733</v>
      </c>
      <c r="I2102" s="256">
        <v>5</v>
      </c>
      <c r="J2102" s="256">
        <v>13595.908185845441</v>
      </c>
      <c r="K2102" s="866">
        <f t="shared" si="169"/>
        <v>67980</v>
      </c>
      <c r="L2102" s="854" t="s">
        <v>165</v>
      </c>
      <c r="M2102" s="854" t="s">
        <v>159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94"/>
      <c r="AB2102" s="198"/>
      <c r="AC2102" s="198"/>
      <c r="AD2102" s="198"/>
    </row>
    <row r="2103" spans="1:30" s="83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167"/>
        <v>11</v>
      </c>
      <c r="C2103" s="191">
        <f t="shared" si="168"/>
        <v>40857</v>
      </c>
      <c r="D2103" s="37" t="s">
        <v>968</v>
      </c>
      <c r="E2103" s="794">
        <v>40857</v>
      </c>
      <c r="F2103" s="192" t="s">
        <v>1260</v>
      </c>
      <c r="G2103" s="498" t="s">
        <v>1290</v>
      </c>
      <c r="H2103" s="193" t="s">
        <v>733</v>
      </c>
      <c r="I2103" s="256">
        <v>80</v>
      </c>
      <c r="J2103" s="256">
        <v>11437.495685845442</v>
      </c>
      <c r="K2103" s="866">
        <f t="shared" si="169"/>
        <v>915000</v>
      </c>
      <c r="L2103" s="854" t="s">
        <v>165</v>
      </c>
      <c r="M2103" s="854" t="s">
        <v>159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94"/>
      <c r="AB2103" s="198"/>
      <c r="AC2103" s="198"/>
      <c r="AD2103" s="198"/>
    </row>
    <row r="2104" spans="1:30" s="83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167"/>
        <v>11</v>
      </c>
      <c r="C2104" s="191">
        <f t="shared" si="168"/>
        <v>40857</v>
      </c>
      <c r="D2104" s="37" t="s">
        <v>968</v>
      </c>
      <c r="E2104" s="794">
        <v>40857</v>
      </c>
      <c r="F2104" s="192" t="s">
        <v>1261</v>
      </c>
      <c r="G2104" s="498" t="s">
        <v>1290</v>
      </c>
      <c r="H2104" s="193" t="s">
        <v>733</v>
      </c>
      <c r="I2104" s="256">
        <v>4</v>
      </c>
      <c r="J2104" s="256">
        <v>18666.258185845447</v>
      </c>
      <c r="K2104" s="866">
        <f t="shared" si="169"/>
        <v>74665</v>
      </c>
      <c r="L2104" s="854" t="s">
        <v>165</v>
      </c>
      <c r="M2104" s="854" t="s">
        <v>159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94"/>
      <c r="AB2104" s="198"/>
      <c r="AC2104" s="198"/>
      <c r="AD2104" s="198"/>
    </row>
    <row r="2105" spans="1:30" s="83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167"/>
        <v>11</v>
      </c>
      <c r="C2105" s="191">
        <f t="shared" si="168"/>
        <v>40857</v>
      </c>
      <c r="D2105" s="37" t="s">
        <v>968</v>
      </c>
      <c r="E2105" s="794">
        <v>40857</v>
      </c>
      <c r="F2105" s="192" t="s">
        <v>1262</v>
      </c>
      <c r="G2105" s="498" t="s">
        <v>1290</v>
      </c>
      <c r="H2105" s="193" t="s">
        <v>733</v>
      </c>
      <c r="I2105" s="256">
        <v>3</v>
      </c>
      <c r="J2105" s="256">
        <v>11117.174852512109</v>
      </c>
      <c r="K2105" s="866">
        <f t="shared" si="169"/>
        <v>33352</v>
      </c>
      <c r="L2105" s="854" t="s">
        <v>165</v>
      </c>
      <c r="M2105" s="854" t="s">
        <v>159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94"/>
      <c r="AB2105" s="198"/>
      <c r="AC2105" s="198"/>
      <c r="AD2105" s="198"/>
    </row>
    <row r="2106" spans="1:30" s="831" customFormat="1" ht="15.75" customHeight="1">
      <c r="A2106" s="204" t="str">
        <f>IF(B2106&lt;&gt;"",IF(AND(B2106&gt;=_TM1,B2106&lt;=_TM2,OR(TH!L2106="1111",TH!M2106="1111")),TH!D2106,""),"")</f>
        <v/>
      </c>
      <c r="B2106" s="36">
        <f t="shared" si="167"/>
        <v>11</v>
      </c>
      <c r="C2106" s="191">
        <f t="shared" si="168"/>
        <v>40857</v>
      </c>
      <c r="D2106" s="37" t="s">
        <v>968</v>
      </c>
      <c r="E2106" s="794">
        <v>40857</v>
      </c>
      <c r="F2106" s="858" t="s">
        <v>1261</v>
      </c>
      <c r="G2106" s="498" t="s">
        <v>1290</v>
      </c>
      <c r="H2106" s="193" t="s">
        <v>733</v>
      </c>
      <c r="I2106" s="256">
        <v>4</v>
      </c>
      <c r="J2106" s="256">
        <v>18666.258185845447</v>
      </c>
      <c r="K2106" s="866">
        <f t="shared" si="169"/>
        <v>74665</v>
      </c>
      <c r="L2106" s="854" t="s">
        <v>165</v>
      </c>
      <c r="M2106" s="854" t="s">
        <v>159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94"/>
      <c r="AB2106" s="198"/>
      <c r="AC2106" s="198"/>
      <c r="AD2106" s="198"/>
    </row>
    <row r="2107" spans="1:30" ht="15.75" customHeight="1">
      <c r="A2107" s="204" t="str">
        <f>IF(B2107&lt;&gt;"",IF(AND(B2107&gt;=_TM1,B2107&lt;=_TM2,OR(TH!L2107="1111",TH!M2107="1111")),TH!D2107,""),"")</f>
        <v/>
      </c>
      <c r="B2107" s="36">
        <f t="shared" si="167"/>
        <v>11</v>
      </c>
      <c r="C2107" s="191">
        <f t="shared" si="168"/>
        <v>40857</v>
      </c>
      <c r="D2107" s="37" t="s">
        <v>968</v>
      </c>
      <c r="E2107" s="794">
        <v>40857</v>
      </c>
      <c r="F2107" s="192" t="s">
        <v>1289</v>
      </c>
      <c r="G2107" s="498" t="s">
        <v>1290</v>
      </c>
      <c r="H2107" s="193" t="s">
        <v>733</v>
      </c>
      <c r="I2107" s="256">
        <v>3</v>
      </c>
      <c r="J2107" s="256">
        <v>10496.174852512109</v>
      </c>
      <c r="K2107" s="866">
        <f t="shared" si="169"/>
        <v>31489</v>
      </c>
      <c r="L2107" s="854" t="s">
        <v>165</v>
      </c>
      <c r="M2107" s="854" t="s">
        <v>159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94"/>
    </row>
    <row r="2108" spans="1:30" ht="15.75" customHeight="1">
      <c r="A2108" s="204" t="str">
        <f>IF(B2108&lt;&gt;"",IF(AND(B2108&gt;=_TM1,B2108&lt;=_TM2,OR(TH!L2108="1111",TH!M2108="1111")),TH!D2108,""),"")</f>
        <v/>
      </c>
      <c r="B2108" s="36">
        <f t="shared" si="167"/>
        <v>11</v>
      </c>
      <c r="C2108" s="191">
        <f t="shared" si="168"/>
        <v>40857</v>
      </c>
      <c r="D2108" s="37" t="s">
        <v>968</v>
      </c>
      <c r="E2108" s="794">
        <v>40857</v>
      </c>
      <c r="F2108" s="192" t="s">
        <v>1291</v>
      </c>
      <c r="G2108" s="498" t="s">
        <v>1290</v>
      </c>
      <c r="H2108" s="193" t="s">
        <v>733</v>
      </c>
      <c r="I2108" s="256">
        <v>6</v>
      </c>
      <c r="J2108" s="256">
        <v>15403.341519178777</v>
      </c>
      <c r="K2108" s="866">
        <f t="shared" si="169"/>
        <v>92420</v>
      </c>
      <c r="L2108" s="854" t="s">
        <v>165</v>
      </c>
      <c r="M2108" s="854" t="s">
        <v>159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94"/>
    </row>
    <row r="2109" spans="1:30" ht="15.75" customHeight="1">
      <c r="A2109" s="204" t="str">
        <f>IF(B2109&lt;&gt;"",IF(AND(B2109&gt;=_TM1,B2109&lt;=_TM2,OR(TH!L2109="1111",TH!M2109="1111")),TH!D2109,""),"")</f>
        <v/>
      </c>
      <c r="B2109" s="36">
        <f t="shared" si="167"/>
        <v>11</v>
      </c>
      <c r="C2109" s="191">
        <f t="shared" si="168"/>
        <v>40857</v>
      </c>
      <c r="D2109" s="37" t="s">
        <v>968</v>
      </c>
      <c r="E2109" s="794">
        <v>40857</v>
      </c>
      <c r="F2109" s="192" t="s">
        <v>1263</v>
      </c>
      <c r="G2109" s="498" t="s">
        <v>1290</v>
      </c>
      <c r="H2109" s="193" t="s">
        <v>733</v>
      </c>
      <c r="I2109" s="256">
        <v>42</v>
      </c>
      <c r="J2109" s="256">
        <v>14113.984376321636</v>
      </c>
      <c r="K2109" s="866">
        <f t="shared" si="169"/>
        <v>592787</v>
      </c>
      <c r="L2109" s="854" t="s">
        <v>165</v>
      </c>
      <c r="M2109" s="854" t="s">
        <v>159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94"/>
    </row>
    <row r="2110" spans="1:30" ht="15.75" customHeight="1">
      <c r="A2110" s="204" t="str">
        <f>IF(B2110&lt;&gt;"",IF(AND(B2110&gt;=_TM1,B2110&lt;=_TM2,OR(TH!L2110="1111",TH!M2110="1111")),TH!D2110,""),"")</f>
        <v/>
      </c>
      <c r="B2110" s="36">
        <f t="shared" si="167"/>
        <v>11</v>
      </c>
      <c r="C2110" s="191">
        <f t="shared" si="168"/>
        <v>40857</v>
      </c>
      <c r="D2110" s="37" t="s">
        <v>968</v>
      </c>
      <c r="E2110" s="794">
        <v>40857</v>
      </c>
      <c r="F2110" s="192" t="s">
        <v>1264</v>
      </c>
      <c r="G2110" s="498" t="s">
        <v>1290</v>
      </c>
      <c r="H2110" s="193" t="s">
        <v>733</v>
      </c>
      <c r="I2110" s="256">
        <v>43</v>
      </c>
      <c r="J2110" s="256">
        <v>15731.508185845443</v>
      </c>
      <c r="K2110" s="866">
        <f t="shared" si="169"/>
        <v>676455</v>
      </c>
      <c r="L2110" s="854" t="s">
        <v>165</v>
      </c>
      <c r="M2110" s="854" t="s">
        <v>159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94"/>
    </row>
    <row r="2111" spans="1:30" ht="15.75" customHeight="1">
      <c r="A2111" s="204" t="str">
        <f>IF(B2111&lt;&gt;"",IF(AND(B2111&gt;=_TM1,B2111&lt;=_TM2,OR(TH!L2111="1111",TH!M2111="1111")),TH!D2111,""),"")</f>
        <v/>
      </c>
      <c r="B2111" s="36">
        <f t="shared" si="167"/>
        <v>11</v>
      </c>
      <c r="C2111" s="191">
        <f t="shared" si="168"/>
        <v>40857</v>
      </c>
      <c r="D2111" s="37" t="s">
        <v>968</v>
      </c>
      <c r="E2111" s="794">
        <v>40857</v>
      </c>
      <c r="F2111" s="192" t="s">
        <v>1292</v>
      </c>
      <c r="G2111" s="498" t="s">
        <v>1290</v>
      </c>
      <c r="H2111" s="193" t="s">
        <v>733</v>
      </c>
      <c r="I2111" s="256">
        <v>1112</v>
      </c>
      <c r="J2111" s="256">
        <v>9642.2572865648672</v>
      </c>
      <c r="K2111" s="866">
        <f t="shared" si="169"/>
        <v>10722190</v>
      </c>
      <c r="L2111" s="854" t="s">
        <v>165</v>
      </c>
      <c r="M2111" s="854" t="s">
        <v>159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94"/>
    </row>
    <row r="2112" spans="1:30" ht="15.75" customHeight="1">
      <c r="A2112" s="204" t="str">
        <f>IF(B2112&lt;&gt;"",IF(AND(B2112&gt;=_TM1,B2112&lt;=_TM2,OR(TH!L2112="1111",TH!M2112="1111")),TH!D2112,""),"")</f>
        <v/>
      </c>
      <c r="B2112" s="36">
        <f t="shared" si="167"/>
        <v>11</v>
      </c>
      <c r="C2112" s="191">
        <f t="shared" si="168"/>
        <v>40857</v>
      </c>
      <c r="D2112" s="37" t="s">
        <v>968</v>
      </c>
      <c r="E2112" s="794">
        <v>40857</v>
      </c>
      <c r="F2112" s="192" t="s">
        <v>1293</v>
      </c>
      <c r="G2112" s="498" t="s">
        <v>1290</v>
      </c>
      <c r="H2112" s="193" t="s">
        <v>733</v>
      </c>
      <c r="I2112" s="256">
        <v>1000</v>
      </c>
      <c r="J2112" s="256">
        <v>9642.257185845443</v>
      </c>
      <c r="K2112" s="866">
        <f t="shared" si="169"/>
        <v>9642257</v>
      </c>
      <c r="L2112" s="854" t="s">
        <v>165</v>
      </c>
      <c r="M2112" s="854" t="s">
        <v>159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94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>
        <f t="shared" si="167"/>
        <v>11</v>
      </c>
      <c r="C2113" s="191">
        <f t="shared" si="168"/>
        <v>40857</v>
      </c>
      <c r="D2113" s="37" t="s">
        <v>968</v>
      </c>
      <c r="E2113" s="794">
        <v>40857</v>
      </c>
      <c r="F2113" s="192" t="s">
        <v>1294</v>
      </c>
      <c r="G2113" s="498" t="s">
        <v>1290</v>
      </c>
      <c r="H2113" s="193" t="s">
        <v>733</v>
      </c>
      <c r="I2113" s="256">
        <v>25</v>
      </c>
      <c r="J2113" s="256">
        <v>6878.6681858454422</v>
      </c>
      <c r="K2113" s="866">
        <f t="shared" si="169"/>
        <v>171967</v>
      </c>
      <c r="L2113" s="854" t="s">
        <v>165</v>
      </c>
      <c r="M2113" s="854" t="s">
        <v>159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94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>
        <f t="shared" si="167"/>
        <v>11</v>
      </c>
      <c r="C2114" s="191">
        <f t="shared" si="168"/>
        <v>40857</v>
      </c>
      <c r="D2114" s="37" t="s">
        <v>968</v>
      </c>
      <c r="E2114" s="794">
        <v>40857</v>
      </c>
      <c r="F2114" s="192" t="s">
        <v>1295</v>
      </c>
      <c r="G2114" s="498" t="s">
        <v>1290</v>
      </c>
      <c r="H2114" s="193" t="s">
        <v>733</v>
      </c>
      <c r="I2114" s="256">
        <v>2</v>
      </c>
      <c r="J2114" s="256">
        <v>3522.5081858454428</v>
      </c>
      <c r="K2114" s="866">
        <f t="shared" si="169"/>
        <v>7045</v>
      </c>
      <c r="L2114" s="854" t="s">
        <v>165</v>
      </c>
      <c r="M2114" s="854" t="s">
        <v>159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94"/>
    </row>
    <row r="2115" spans="1:28" ht="15.75" customHeight="1">
      <c r="A2115" s="204" t="str">
        <f>IF(B2115&lt;&gt;"",IF(AND(B2115&gt;=_TM1,B2115&lt;=_TM2,OR(TH!L2115="1111",TH!M2115="1111")),TH!D2115,""),"")</f>
        <v>T03</v>
      </c>
      <c r="B2115" s="36">
        <f t="shared" si="167"/>
        <v>11</v>
      </c>
      <c r="C2115" s="184">
        <v>40858</v>
      </c>
      <c r="D2115" s="184" t="s">
        <v>660</v>
      </c>
      <c r="E2115" s="184">
        <v>40858</v>
      </c>
      <c r="F2115" s="189" t="s">
        <v>1156</v>
      </c>
      <c r="G2115" s="616" t="s">
        <v>330</v>
      </c>
      <c r="H2115" s="193" t="s">
        <v>363</v>
      </c>
      <c r="I2115" s="256"/>
      <c r="J2115" s="256"/>
      <c r="K2115" s="614">
        <v>243000000</v>
      </c>
      <c r="L2115" s="615" t="s">
        <v>46</v>
      </c>
      <c r="M2115" s="615" t="s">
        <v>23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94"/>
    </row>
    <row r="2116" spans="1:28" ht="15.75" customHeight="1">
      <c r="A2116" s="204" t="str">
        <f>IF(B2116&lt;&gt;"",IF(AND(B2116&gt;=_TM1,B2116&lt;=_TM2,OR(TH!L2116="1111",TH!M2116="1111")),TH!D2116,""),"")</f>
        <v>C13</v>
      </c>
      <c r="B2116" s="36">
        <f t="shared" si="167"/>
        <v>11</v>
      </c>
      <c r="C2116" s="191">
        <v>40858</v>
      </c>
      <c r="D2116" s="191" t="s">
        <v>661</v>
      </c>
      <c r="E2116" s="191">
        <v>40858</v>
      </c>
      <c r="F2116" s="192" t="s">
        <v>448</v>
      </c>
      <c r="G2116" s="498" t="s">
        <v>1275</v>
      </c>
      <c r="H2116" s="45" t="s">
        <v>451</v>
      </c>
      <c r="I2116" s="256"/>
      <c r="J2116" s="256"/>
      <c r="K2116" s="38">
        <v>683400</v>
      </c>
      <c r="L2116" s="194" t="s">
        <v>157</v>
      </c>
      <c r="M2116" s="194" t="s">
        <v>46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94"/>
    </row>
    <row r="2117" spans="1:28" ht="15.75" customHeight="1">
      <c r="A2117" s="204" t="str">
        <f>IF(B2117&lt;&gt;"",IF(AND(B2117&gt;=_TM1,B2117&lt;=_TM2,OR(TH!L2117="1111",TH!M2117="1111")),TH!D2117,""),"")</f>
        <v>C13</v>
      </c>
      <c r="B2117" s="36">
        <f t="shared" si="167"/>
        <v>11</v>
      </c>
      <c r="C2117" s="191">
        <v>40858</v>
      </c>
      <c r="D2117" s="191" t="s">
        <v>661</v>
      </c>
      <c r="E2117" s="191">
        <v>40858</v>
      </c>
      <c r="F2117" s="192" t="s">
        <v>449</v>
      </c>
      <c r="G2117" s="498" t="s">
        <v>1275</v>
      </c>
      <c r="H2117" s="45" t="s">
        <v>451</v>
      </c>
      <c r="I2117" s="256"/>
      <c r="J2117" s="256"/>
      <c r="K2117" s="38">
        <v>68340</v>
      </c>
      <c r="L2117" s="194" t="s">
        <v>9</v>
      </c>
      <c r="M2117" s="194" t="s">
        <v>46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94"/>
      <c r="AB2117" s="198">
        <v>11</v>
      </c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>
        <f t="shared" si="167"/>
        <v>11</v>
      </c>
      <c r="C2118" s="191">
        <f t="shared" ref="C2118:C2144" si="170">E2118</f>
        <v>40858</v>
      </c>
      <c r="D2118" s="860" t="s">
        <v>1103</v>
      </c>
      <c r="E2118" s="794">
        <v>40858</v>
      </c>
      <c r="F2118" s="40" t="s">
        <v>649</v>
      </c>
      <c r="G2118" s="40"/>
      <c r="H2118" s="628" t="s">
        <v>1092</v>
      </c>
      <c r="I2118" s="256">
        <v>104.5</v>
      </c>
      <c r="J2118" s="256">
        <v>16502</v>
      </c>
      <c r="K2118" s="614">
        <f t="shared" ref="K2118:K2144" si="171">ROUND(I2118*J2118,0)</f>
        <v>1724459</v>
      </c>
      <c r="L2118" s="52" t="s">
        <v>157</v>
      </c>
      <c r="M2118" s="52" t="s">
        <v>151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94"/>
    </row>
    <row r="2119" spans="1:28" ht="15.75" customHeight="1">
      <c r="A2119" s="204" t="str">
        <f>IF(B2119&lt;&gt;"",IF(AND(B2119&gt;=_TM1,B2119&lt;=_TM2,OR(TH!L2119="1111",TH!M2119="1111")),TH!D2119,""),"")</f>
        <v/>
      </c>
      <c r="B2119" s="36">
        <f t="shared" si="167"/>
        <v>11</v>
      </c>
      <c r="C2119" s="191">
        <f t="shared" si="170"/>
        <v>40858</v>
      </c>
      <c r="D2119" s="860" t="s">
        <v>1103</v>
      </c>
      <c r="E2119" s="794">
        <v>40858</v>
      </c>
      <c r="F2119" s="40" t="s">
        <v>651</v>
      </c>
      <c r="G2119" s="40"/>
      <c r="H2119" s="628" t="s">
        <v>1092</v>
      </c>
      <c r="I2119" s="256">
        <v>141</v>
      </c>
      <c r="J2119" s="256">
        <v>14105</v>
      </c>
      <c r="K2119" s="614">
        <f t="shared" si="171"/>
        <v>1988805</v>
      </c>
      <c r="L2119" s="52" t="s">
        <v>157</v>
      </c>
      <c r="M2119" s="52" t="s">
        <v>151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94"/>
    </row>
    <row r="2120" spans="1:28" ht="15.75" customHeight="1">
      <c r="A2120" s="204" t="str">
        <f>IF(B2120&lt;&gt;"",IF(AND(B2120&gt;=_TM1,B2120&lt;=_TM2,OR(TH!L2120="1111",TH!M2120="1111")),TH!D2120,""),"")</f>
        <v/>
      </c>
      <c r="B2120" s="36">
        <f t="shared" si="167"/>
        <v>11</v>
      </c>
      <c r="C2120" s="191">
        <f t="shared" si="170"/>
        <v>40858</v>
      </c>
      <c r="D2120" s="860" t="s">
        <v>1103</v>
      </c>
      <c r="E2120" s="794">
        <v>40858</v>
      </c>
      <c r="F2120" s="40" t="s">
        <v>642</v>
      </c>
      <c r="G2120" s="40"/>
      <c r="H2120" s="628" t="s">
        <v>1092</v>
      </c>
      <c r="I2120" s="256">
        <v>174</v>
      </c>
      <c r="J2120" s="256">
        <v>20278</v>
      </c>
      <c r="K2120" s="614">
        <f t="shared" si="171"/>
        <v>3528372</v>
      </c>
      <c r="L2120" s="52" t="s">
        <v>157</v>
      </c>
      <c r="M2120" s="52" t="s">
        <v>151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94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>
        <f t="shared" si="167"/>
        <v>11</v>
      </c>
      <c r="C2121" s="191">
        <f t="shared" si="170"/>
        <v>40858</v>
      </c>
      <c r="D2121" s="860" t="s">
        <v>1103</v>
      </c>
      <c r="E2121" s="794">
        <v>40858</v>
      </c>
      <c r="F2121" s="189" t="s">
        <v>507</v>
      </c>
      <c r="G2121" s="40"/>
      <c r="H2121" s="628" t="s">
        <v>1092</v>
      </c>
      <c r="I2121" s="256">
        <v>38</v>
      </c>
      <c r="J2121" s="256">
        <v>8620</v>
      </c>
      <c r="K2121" s="614">
        <f t="shared" si="171"/>
        <v>327560</v>
      </c>
      <c r="L2121" s="52" t="s">
        <v>157</v>
      </c>
      <c r="M2121" s="52" t="s">
        <v>151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94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>
        <f t="shared" si="167"/>
        <v>11</v>
      </c>
      <c r="C2122" s="191">
        <f t="shared" si="170"/>
        <v>40858</v>
      </c>
      <c r="D2122" s="860" t="s">
        <v>1103</v>
      </c>
      <c r="E2122" s="794">
        <v>40858</v>
      </c>
      <c r="F2122" s="40" t="s">
        <v>651</v>
      </c>
      <c r="G2122" s="40"/>
      <c r="H2122" s="628" t="s">
        <v>1092</v>
      </c>
      <c r="I2122" s="256">
        <v>12</v>
      </c>
      <c r="J2122" s="256">
        <v>14105</v>
      </c>
      <c r="K2122" s="614">
        <f t="shared" si="171"/>
        <v>169260</v>
      </c>
      <c r="L2122" s="52" t="s">
        <v>157</v>
      </c>
      <c r="M2122" s="52" t="s">
        <v>151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94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>
        <f t="shared" si="167"/>
        <v>11</v>
      </c>
      <c r="C2123" s="191">
        <f t="shared" si="170"/>
        <v>40858</v>
      </c>
      <c r="D2123" s="860" t="s">
        <v>1103</v>
      </c>
      <c r="E2123" s="794">
        <v>40858</v>
      </c>
      <c r="F2123" s="40" t="s">
        <v>642</v>
      </c>
      <c r="G2123" s="40"/>
      <c r="H2123" s="628" t="s">
        <v>1092</v>
      </c>
      <c r="I2123" s="256">
        <v>0.5</v>
      </c>
      <c r="J2123" s="256">
        <v>20278</v>
      </c>
      <c r="K2123" s="614">
        <f t="shared" si="171"/>
        <v>10139</v>
      </c>
      <c r="L2123" s="52" t="s">
        <v>157</v>
      </c>
      <c r="M2123" s="52" t="s">
        <v>151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94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>
        <f t="shared" si="167"/>
        <v>11</v>
      </c>
      <c r="C2124" s="191">
        <f t="shared" si="170"/>
        <v>40858</v>
      </c>
      <c r="D2124" s="860" t="s">
        <v>1103</v>
      </c>
      <c r="E2124" s="794">
        <v>40858</v>
      </c>
      <c r="F2124" s="40" t="s">
        <v>611</v>
      </c>
      <c r="G2124" s="40"/>
      <c r="H2124" s="628" t="s">
        <v>1092</v>
      </c>
      <c r="I2124" s="256">
        <v>1.5</v>
      </c>
      <c r="J2124" s="256">
        <v>18396</v>
      </c>
      <c r="K2124" s="614">
        <f t="shared" si="171"/>
        <v>27594</v>
      </c>
      <c r="L2124" s="52" t="s">
        <v>157</v>
      </c>
      <c r="M2124" s="52" t="s">
        <v>151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94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>
        <f t="shared" si="167"/>
        <v>11</v>
      </c>
      <c r="C2125" s="191">
        <f t="shared" si="170"/>
        <v>40858</v>
      </c>
      <c r="D2125" s="860" t="s">
        <v>1103</v>
      </c>
      <c r="E2125" s="794">
        <v>40858</v>
      </c>
      <c r="F2125" s="189" t="s">
        <v>542</v>
      </c>
      <c r="G2125" s="40"/>
      <c r="H2125" s="628" t="s">
        <v>1092</v>
      </c>
      <c r="I2125" s="256">
        <v>1.5</v>
      </c>
      <c r="J2125" s="256">
        <v>19638</v>
      </c>
      <c r="K2125" s="614">
        <f t="shared" si="171"/>
        <v>29457</v>
      </c>
      <c r="L2125" s="52" t="s">
        <v>157</v>
      </c>
      <c r="M2125" s="52" t="s">
        <v>151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94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>
        <f t="shared" si="167"/>
        <v>11</v>
      </c>
      <c r="C2126" s="191">
        <f t="shared" si="170"/>
        <v>40858</v>
      </c>
      <c r="D2126" s="860" t="s">
        <v>1103</v>
      </c>
      <c r="E2126" s="794">
        <v>40858</v>
      </c>
      <c r="F2126" s="189" t="s">
        <v>501</v>
      </c>
      <c r="G2126" s="40"/>
      <c r="H2126" s="628" t="s">
        <v>1092</v>
      </c>
      <c r="I2126" s="256">
        <v>2.5</v>
      </c>
      <c r="J2126" s="256">
        <v>13498</v>
      </c>
      <c r="K2126" s="614">
        <f t="shared" si="171"/>
        <v>33745</v>
      </c>
      <c r="L2126" s="52" t="s">
        <v>157</v>
      </c>
      <c r="M2126" s="52" t="s">
        <v>151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94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>
        <f t="shared" si="167"/>
        <v>11</v>
      </c>
      <c r="C2127" s="191">
        <f t="shared" si="170"/>
        <v>40860</v>
      </c>
      <c r="D2127" s="860" t="s">
        <v>1104</v>
      </c>
      <c r="E2127" s="794">
        <v>40860</v>
      </c>
      <c r="F2127" s="189" t="s">
        <v>501</v>
      </c>
      <c r="G2127" s="40"/>
      <c r="H2127" s="628" t="s">
        <v>1092</v>
      </c>
      <c r="I2127" s="256">
        <v>2</v>
      </c>
      <c r="J2127" s="256">
        <v>13498</v>
      </c>
      <c r="K2127" s="614">
        <f t="shared" si="171"/>
        <v>26996</v>
      </c>
      <c r="L2127" s="52" t="s">
        <v>157</v>
      </c>
      <c r="M2127" s="52" t="s">
        <v>151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94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>
        <f t="shared" si="167"/>
        <v>11</v>
      </c>
      <c r="C2128" s="191">
        <f t="shared" si="170"/>
        <v>40860</v>
      </c>
      <c r="D2128" s="860" t="s">
        <v>1104</v>
      </c>
      <c r="E2128" s="794">
        <v>40860</v>
      </c>
      <c r="F2128" s="189" t="s">
        <v>387</v>
      </c>
      <c r="G2128" s="40"/>
      <c r="H2128" s="628" t="s">
        <v>1092</v>
      </c>
      <c r="I2128" s="839">
        <v>1</v>
      </c>
      <c r="J2128" s="256">
        <v>4449</v>
      </c>
      <c r="K2128" s="614">
        <f t="shared" si="171"/>
        <v>4449</v>
      </c>
      <c r="L2128" s="52" t="s">
        <v>157</v>
      </c>
      <c r="M2128" s="52" t="s">
        <v>151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>x</v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94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>
        <f t="shared" si="167"/>
        <v>11</v>
      </c>
      <c r="C2129" s="191">
        <f t="shared" si="170"/>
        <v>40860</v>
      </c>
      <c r="D2129" s="860" t="s">
        <v>1104</v>
      </c>
      <c r="E2129" s="794">
        <v>40860</v>
      </c>
      <c r="F2129" s="189" t="s">
        <v>579</v>
      </c>
      <c r="G2129" s="40"/>
      <c r="H2129" s="628" t="s">
        <v>1092</v>
      </c>
      <c r="I2129" s="256">
        <v>2</v>
      </c>
      <c r="J2129" s="256">
        <v>7543</v>
      </c>
      <c r="K2129" s="614">
        <f t="shared" si="171"/>
        <v>15086</v>
      </c>
      <c r="L2129" s="52" t="s">
        <v>157</v>
      </c>
      <c r="M2129" s="52" t="s">
        <v>151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94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>
        <f t="shared" si="167"/>
        <v>11</v>
      </c>
      <c r="C2130" s="191">
        <f t="shared" si="170"/>
        <v>40860</v>
      </c>
      <c r="D2130" s="860" t="s">
        <v>1104</v>
      </c>
      <c r="E2130" s="794">
        <v>40860</v>
      </c>
      <c r="F2130" s="189" t="s">
        <v>387</v>
      </c>
      <c r="G2130" s="40"/>
      <c r="H2130" s="628" t="s">
        <v>1092</v>
      </c>
      <c r="I2130" s="839">
        <v>4</v>
      </c>
      <c r="J2130" s="256">
        <v>4449</v>
      </c>
      <c r="K2130" s="614">
        <f t="shared" si="171"/>
        <v>17796</v>
      </c>
      <c r="L2130" s="52" t="s">
        <v>157</v>
      </c>
      <c r="M2130" s="52" t="s">
        <v>151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>x</v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94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>
        <f t="shared" si="167"/>
        <v>11</v>
      </c>
      <c r="C2131" s="191">
        <f t="shared" si="170"/>
        <v>40860</v>
      </c>
      <c r="D2131" s="860" t="s">
        <v>1104</v>
      </c>
      <c r="E2131" s="794">
        <v>40860</v>
      </c>
      <c r="F2131" s="189" t="s">
        <v>387</v>
      </c>
      <c r="G2131" s="40"/>
      <c r="H2131" s="628" t="s">
        <v>1092</v>
      </c>
      <c r="I2131" s="839">
        <v>2</v>
      </c>
      <c r="J2131" s="256">
        <v>4449</v>
      </c>
      <c r="K2131" s="614">
        <f t="shared" si="171"/>
        <v>8898</v>
      </c>
      <c r="L2131" s="52" t="s">
        <v>157</v>
      </c>
      <c r="M2131" s="52" t="s">
        <v>151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>x</v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94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>
        <f t="shared" si="167"/>
        <v>11</v>
      </c>
      <c r="C2132" s="191">
        <f t="shared" si="170"/>
        <v>40860</v>
      </c>
      <c r="D2132" s="860" t="s">
        <v>1104</v>
      </c>
      <c r="E2132" s="794">
        <v>40860</v>
      </c>
      <c r="F2132" s="40" t="s">
        <v>639</v>
      </c>
      <c r="G2132" s="40"/>
      <c r="H2132" s="628" t="s">
        <v>1092</v>
      </c>
      <c r="I2132" s="256">
        <v>56</v>
      </c>
      <c r="J2132" s="256">
        <v>27283</v>
      </c>
      <c r="K2132" s="614">
        <f t="shared" si="171"/>
        <v>1527848</v>
      </c>
      <c r="L2132" s="52" t="s">
        <v>157</v>
      </c>
      <c r="M2132" s="52" t="s">
        <v>151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94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>
        <f t="shared" si="167"/>
        <v>11</v>
      </c>
      <c r="C2133" s="191">
        <f t="shared" si="170"/>
        <v>40860</v>
      </c>
      <c r="D2133" s="860" t="s">
        <v>1104</v>
      </c>
      <c r="E2133" s="794">
        <v>40860</v>
      </c>
      <c r="F2133" s="456" t="s">
        <v>643</v>
      </c>
      <c r="G2133" s="40"/>
      <c r="H2133" s="628" t="s">
        <v>1092</v>
      </c>
      <c r="I2133" s="256">
        <v>31</v>
      </c>
      <c r="J2133" s="256">
        <v>25631</v>
      </c>
      <c r="K2133" s="614">
        <f t="shared" si="171"/>
        <v>794561</v>
      </c>
      <c r="L2133" s="52" t="s">
        <v>157</v>
      </c>
      <c r="M2133" s="52" t="s">
        <v>151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94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>
        <f t="shared" si="167"/>
        <v>11</v>
      </c>
      <c r="C2134" s="191">
        <f t="shared" si="170"/>
        <v>40860</v>
      </c>
      <c r="D2134" s="860" t="s">
        <v>1104</v>
      </c>
      <c r="E2134" s="794">
        <v>40860</v>
      </c>
      <c r="F2134" s="189" t="s">
        <v>385</v>
      </c>
      <c r="G2134" s="40"/>
      <c r="H2134" s="628" t="s">
        <v>1092</v>
      </c>
      <c r="I2134" s="256">
        <v>139</v>
      </c>
      <c r="J2134" s="256">
        <v>6124</v>
      </c>
      <c r="K2134" s="614">
        <f t="shared" si="171"/>
        <v>851236</v>
      </c>
      <c r="L2134" s="52" t="s">
        <v>157</v>
      </c>
      <c r="M2134" s="52" t="s">
        <v>151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94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>
        <f t="shared" si="167"/>
        <v>11</v>
      </c>
      <c r="C2135" s="191">
        <f t="shared" si="170"/>
        <v>40860</v>
      </c>
      <c r="D2135" s="860" t="s">
        <v>1104</v>
      </c>
      <c r="E2135" s="794">
        <v>40860</v>
      </c>
      <c r="F2135" s="40" t="s">
        <v>649</v>
      </c>
      <c r="G2135" s="40"/>
      <c r="H2135" s="628" t="s">
        <v>1092</v>
      </c>
      <c r="I2135" s="256">
        <v>156</v>
      </c>
      <c r="J2135" s="256">
        <v>16502</v>
      </c>
      <c r="K2135" s="614">
        <f t="shared" si="171"/>
        <v>2574312</v>
      </c>
      <c r="L2135" s="52" t="s">
        <v>157</v>
      </c>
      <c r="M2135" s="52" t="s">
        <v>151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94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>
        <f t="shared" si="167"/>
        <v>11</v>
      </c>
      <c r="C2136" s="191">
        <f t="shared" si="170"/>
        <v>40861</v>
      </c>
      <c r="D2136" s="860" t="s">
        <v>1105</v>
      </c>
      <c r="E2136" s="794">
        <v>40861</v>
      </c>
      <c r="F2136" s="189" t="s">
        <v>578</v>
      </c>
      <c r="G2136" s="40"/>
      <c r="H2136" s="628" t="s">
        <v>1092</v>
      </c>
      <c r="I2136" s="256">
        <v>12</v>
      </c>
      <c r="J2136" s="256">
        <v>10344</v>
      </c>
      <c r="K2136" s="614">
        <f t="shared" si="171"/>
        <v>124128</v>
      </c>
      <c r="L2136" s="52" t="s">
        <v>157</v>
      </c>
      <c r="M2136" s="52" t="s">
        <v>151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94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>
        <f t="shared" ref="B2137:B2200" si="172">IF(C2137&lt;&gt;"",MONTH(C2137),"")</f>
        <v>11</v>
      </c>
      <c r="C2137" s="191">
        <f t="shared" si="170"/>
        <v>40861</v>
      </c>
      <c r="D2137" s="860" t="s">
        <v>1105</v>
      </c>
      <c r="E2137" s="794">
        <v>40861</v>
      </c>
      <c r="F2137" s="189" t="s">
        <v>638</v>
      </c>
      <c r="G2137" s="40"/>
      <c r="H2137" s="628" t="s">
        <v>1092</v>
      </c>
      <c r="I2137" s="256">
        <v>103</v>
      </c>
      <c r="J2137" s="256">
        <v>24595</v>
      </c>
      <c r="K2137" s="614">
        <f t="shared" si="171"/>
        <v>2533285</v>
      </c>
      <c r="L2137" s="52" t="s">
        <v>157</v>
      </c>
      <c r="M2137" s="52" t="s">
        <v>151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94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>
        <f t="shared" si="172"/>
        <v>11</v>
      </c>
      <c r="C2138" s="191">
        <f t="shared" si="170"/>
        <v>40861</v>
      </c>
      <c r="D2138" s="860" t="s">
        <v>1105</v>
      </c>
      <c r="E2138" s="794">
        <v>40861</v>
      </c>
      <c r="F2138" s="189" t="s">
        <v>549</v>
      </c>
      <c r="G2138" s="40"/>
      <c r="H2138" s="628" t="s">
        <v>1092</v>
      </c>
      <c r="I2138" s="256">
        <v>45</v>
      </c>
      <c r="J2138" s="256">
        <v>13954</v>
      </c>
      <c r="K2138" s="614">
        <f t="shared" si="171"/>
        <v>627930</v>
      </c>
      <c r="L2138" s="52" t="s">
        <v>157</v>
      </c>
      <c r="M2138" s="52" t="s">
        <v>151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94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>
        <f t="shared" si="172"/>
        <v>11</v>
      </c>
      <c r="C2139" s="191">
        <f t="shared" si="170"/>
        <v>40861</v>
      </c>
      <c r="D2139" s="860" t="s">
        <v>1105</v>
      </c>
      <c r="E2139" s="794">
        <v>40861</v>
      </c>
      <c r="F2139" s="40" t="s">
        <v>611</v>
      </c>
      <c r="G2139" s="40"/>
      <c r="H2139" s="628" t="s">
        <v>1092</v>
      </c>
      <c r="I2139" s="256">
        <v>32.5</v>
      </c>
      <c r="J2139" s="256">
        <v>18396</v>
      </c>
      <c r="K2139" s="614">
        <f t="shared" si="171"/>
        <v>597870</v>
      </c>
      <c r="L2139" s="52" t="s">
        <v>157</v>
      </c>
      <c r="M2139" s="52" t="s">
        <v>151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94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>
        <f t="shared" si="172"/>
        <v>11</v>
      </c>
      <c r="C2140" s="191">
        <f t="shared" si="170"/>
        <v>40861</v>
      </c>
      <c r="D2140" s="860" t="s">
        <v>1105</v>
      </c>
      <c r="E2140" s="794">
        <v>40861</v>
      </c>
      <c r="F2140" s="40" t="s">
        <v>642</v>
      </c>
      <c r="G2140" s="40"/>
      <c r="H2140" s="628" t="s">
        <v>1092</v>
      </c>
      <c r="I2140" s="256">
        <v>30</v>
      </c>
      <c r="J2140" s="256">
        <v>20278</v>
      </c>
      <c r="K2140" s="614">
        <f t="shared" si="171"/>
        <v>608340</v>
      </c>
      <c r="L2140" s="52" t="s">
        <v>157</v>
      </c>
      <c r="M2140" s="52" t="s">
        <v>151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94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>
        <f t="shared" si="172"/>
        <v>11</v>
      </c>
      <c r="C2141" s="191">
        <f t="shared" si="170"/>
        <v>40861</v>
      </c>
      <c r="D2141" s="860" t="s">
        <v>1105</v>
      </c>
      <c r="E2141" s="794">
        <v>40861</v>
      </c>
      <c r="F2141" s="40" t="s">
        <v>649</v>
      </c>
      <c r="G2141" s="40"/>
      <c r="H2141" s="628" t="s">
        <v>1092</v>
      </c>
      <c r="I2141" s="256">
        <v>30.5</v>
      </c>
      <c r="J2141" s="256">
        <v>16502</v>
      </c>
      <c r="K2141" s="614">
        <f t="shared" si="171"/>
        <v>503311</v>
      </c>
      <c r="L2141" s="52" t="s">
        <v>157</v>
      </c>
      <c r="M2141" s="52" t="s">
        <v>151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94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>
        <f t="shared" si="172"/>
        <v>11</v>
      </c>
      <c r="C2142" s="191">
        <f t="shared" si="170"/>
        <v>40861</v>
      </c>
      <c r="D2142" s="860" t="s">
        <v>1105</v>
      </c>
      <c r="E2142" s="794">
        <v>40861</v>
      </c>
      <c r="F2142" s="40" t="s">
        <v>641</v>
      </c>
      <c r="G2142" s="40"/>
      <c r="H2142" s="628" t="s">
        <v>1092</v>
      </c>
      <c r="I2142" s="256">
        <v>51</v>
      </c>
      <c r="J2142" s="256">
        <v>34653</v>
      </c>
      <c r="K2142" s="614">
        <f t="shared" si="171"/>
        <v>1767303</v>
      </c>
      <c r="L2142" s="52" t="s">
        <v>157</v>
      </c>
      <c r="M2142" s="52" t="s">
        <v>151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94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>
        <f t="shared" si="172"/>
        <v>11</v>
      </c>
      <c r="C2143" s="191">
        <f t="shared" si="170"/>
        <v>40861</v>
      </c>
      <c r="D2143" s="860" t="s">
        <v>1105</v>
      </c>
      <c r="E2143" s="794">
        <v>40861</v>
      </c>
      <c r="F2143" s="40" t="s">
        <v>639</v>
      </c>
      <c r="G2143" s="40"/>
      <c r="H2143" s="628" t="s">
        <v>1092</v>
      </c>
      <c r="I2143" s="256">
        <v>38</v>
      </c>
      <c r="J2143" s="256">
        <v>27283</v>
      </c>
      <c r="K2143" s="614">
        <f t="shared" si="171"/>
        <v>1036754</v>
      </c>
      <c r="L2143" s="52" t="s">
        <v>157</v>
      </c>
      <c r="M2143" s="52" t="s">
        <v>151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94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>
        <f t="shared" si="172"/>
        <v>11</v>
      </c>
      <c r="C2144" s="191">
        <f t="shared" si="170"/>
        <v>40861</v>
      </c>
      <c r="D2144" s="860" t="s">
        <v>1105</v>
      </c>
      <c r="E2144" s="794">
        <v>40861</v>
      </c>
      <c r="F2144" s="40" t="s">
        <v>649</v>
      </c>
      <c r="G2144" s="40"/>
      <c r="H2144" s="628" t="s">
        <v>1092</v>
      </c>
      <c r="I2144" s="256">
        <v>118</v>
      </c>
      <c r="J2144" s="256">
        <v>16502</v>
      </c>
      <c r="K2144" s="614">
        <f t="shared" si="171"/>
        <v>1947236</v>
      </c>
      <c r="L2144" s="52" t="s">
        <v>157</v>
      </c>
      <c r="M2144" s="52" t="s">
        <v>151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94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>
        <f t="shared" si="172"/>
        <v>11</v>
      </c>
      <c r="C2145" s="184">
        <v>40862</v>
      </c>
      <c r="D2145" s="184" t="s">
        <v>333</v>
      </c>
      <c r="E2145" s="184">
        <v>40862</v>
      </c>
      <c r="F2145" s="189" t="s">
        <v>335</v>
      </c>
      <c r="G2145" s="616" t="s">
        <v>330</v>
      </c>
      <c r="H2145" s="7" t="s">
        <v>735</v>
      </c>
      <c r="I2145" s="256"/>
      <c r="J2145" s="256"/>
      <c r="K2145" s="614">
        <v>13199000</v>
      </c>
      <c r="L2145" s="615" t="s">
        <v>23</v>
      </c>
      <c r="M2145" s="615" t="s">
        <v>259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94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>
        <f t="shared" si="172"/>
        <v>11</v>
      </c>
      <c r="C2146" s="191">
        <v>40862</v>
      </c>
      <c r="D2146" s="191" t="s">
        <v>969</v>
      </c>
      <c r="E2146" s="191">
        <v>40862</v>
      </c>
      <c r="F2146" s="192" t="s">
        <v>746</v>
      </c>
      <c r="G2146" s="498" t="s">
        <v>1296</v>
      </c>
      <c r="H2146" s="193" t="s">
        <v>733</v>
      </c>
      <c r="I2146" s="256">
        <v>209</v>
      </c>
      <c r="J2146" s="256">
        <v>10595</v>
      </c>
      <c r="K2146" s="614">
        <v>2214355</v>
      </c>
      <c r="L2146" s="194" t="s">
        <v>259</v>
      </c>
      <c r="M2146" s="194" t="s">
        <v>167</v>
      </c>
      <c r="N2146" s="52" t="str">
        <f>IF(AND('331-CT'!$E$7=TH!H2146,OR(L2146="331",M2146="331")),"331",IF(AND(OR(L2146="131",M2146="131"),H2146='131-CT'!$E$7),"131",""))</f>
        <v>131</v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94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>
        <f t="shared" si="172"/>
        <v>11</v>
      </c>
      <c r="C2147" s="191">
        <v>40862</v>
      </c>
      <c r="D2147" s="191" t="s">
        <v>969</v>
      </c>
      <c r="E2147" s="191">
        <v>40862</v>
      </c>
      <c r="F2147" s="192" t="s">
        <v>1269</v>
      </c>
      <c r="G2147" s="498" t="s">
        <v>1296</v>
      </c>
      <c r="H2147" s="193" t="s">
        <v>733</v>
      </c>
      <c r="I2147" s="256">
        <v>141</v>
      </c>
      <c r="J2147" s="256">
        <v>17966</v>
      </c>
      <c r="K2147" s="614">
        <v>2533206</v>
      </c>
      <c r="L2147" s="194" t="s">
        <v>259</v>
      </c>
      <c r="M2147" s="194" t="s">
        <v>167</v>
      </c>
      <c r="N2147" s="52" t="str">
        <f>IF(AND('331-CT'!$E$7=TH!H2147,OR(L2147="331",M2147="331")),"331",IF(AND(OR(L2147="131",M2147="131"),H2147='131-CT'!$E$7),"131",""))</f>
        <v>131</v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94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>
        <f t="shared" si="172"/>
        <v>11</v>
      </c>
      <c r="C2148" s="191">
        <v>40862</v>
      </c>
      <c r="D2148" s="191" t="s">
        <v>969</v>
      </c>
      <c r="E2148" s="191">
        <v>40862</v>
      </c>
      <c r="F2148" s="192" t="s">
        <v>1270</v>
      </c>
      <c r="G2148" s="498" t="s">
        <v>1296</v>
      </c>
      <c r="H2148" s="193" t="s">
        <v>733</v>
      </c>
      <c r="I2148" s="256">
        <v>348</v>
      </c>
      <c r="J2148" s="256">
        <v>14535</v>
      </c>
      <c r="K2148" s="614">
        <v>5058180</v>
      </c>
      <c r="L2148" s="194" t="s">
        <v>259</v>
      </c>
      <c r="M2148" s="194" t="s">
        <v>167</v>
      </c>
      <c r="N2148" s="52" t="str">
        <f>IF(AND('331-CT'!$E$7=TH!H2148,OR(L2148="331",M2148="331")),"331",IF(AND(OR(L2148="131",M2148="131"),H2148='131-CT'!$E$7),"131",""))</f>
        <v>131</v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94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>
        <f t="shared" si="172"/>
        <v>11</v>
      </c>
      <c r="C2149" s="191">
        <v>40862</v>
      </c>
      <c r="D2149" s="191" t="s">
        <v>969</v>
      </c>
      <c r="E2149" s="191">
        <v>40862</v>
      </c>
      <c r="F2149" s="192" t="s">
        <v>747</v>
      </c>
      <c r="G2149" s="498" t="s">
        <v>1296</v>
      </c>
      <c r="H2149" s="193" t="s">
        <v>733</v>
      </c>
      <c r="I2149" s="256">
        <v>38</v>
      </c>
      <c r="J2149" s="256">
        <v>11321</v>
      </c>
      <c r="K2149" s="614">
        <v>430198</v>
      </c>
      <c r="L2149" s="194" t="s">
        <v>259</v>
      </c>
      <c r="M2149" s="194" t="s">
        <v>167</v>
      </c>
      <c r="N2149" s="52" t="str">
        <f>IF(AND('331-CT'!$E$7=TH!H2149,OR(L2149="331",M2149="331")),"331",IF(AND(OR(L2149="131",M2149="131"),H2149='131-CT'!$E$7),"131",""))</f>
        <v>131</v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94"/>
    </row>
    <row r="2150" spans="1:30" s="831" customFormat="1" ht="15.75" customHeight="1">
      <c r="A2150" s="204" t="str">
        <f>IF(B2150&lt;&gt;"",IF(AND(B2150&gt;=_TM1,B2150&lt;=_TM2,OR(TH!L2150="1111",TH!M2150="1111")),TH!D2150,""),"")</f>
        <v/>
      </c>
      <c r="B2150" s="36">
        <f t="shared" si="172"/>
        <v>11</v>
      </c>
      <c r="C2150" s="191">
        <v>40862</v>
      </c>
      <c r="D2150" s="191" t="s">
        <v>969</v>
      </c>
      <c r="E2150" s="191">
        <v>40862</v>
      </c>
      <c r="F2150" s="192" t="s">
        <v>1271</v>
      </c>
      <c r="G2150" s="498" t="s">
        <v>1296</v>
      </c>
      <c r="H2150" s="193" t="s">
        <v>733</v>
      </c>
      <c r="I2150" s="256">
        <v>24</v>
      </c>
      <c r="J2150" s="256">
        <v>10267</v>
      </c>
      <c r="K2150" s="614">
        <v>246408</v>
      </c>
      <c r="L2150" s="194" t="s">
        <v>259</v>
      </c>
      <c r="M2150" s="194" t="s">
        <v>167</v>
      </c>
      <c r="N2150" s="52" t="str">
        <f>IF(AND('331-CT'!$E$7=TH!H2150,OR(L2150="331",M2150="331")),"331",IF(AND(OR(L2150="131",M2150="131"),H2150='131-CT'!$E$7),"131",""))</f>
        <v>131</v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94"/>
      <c r="AB2150" s="198"/>
      <c r="AC2150" s="198"/>
      <c r="AD2150" s="198"/>
    </row>
    <row r="2151" spans="1:30" s="831" customFormat="1" ht="15.75" customHeight="1">
      <c r="A2151" s="204" t="str">
        <f>IF(B2151&lt;&gt;"",IF(AND(B2151&gt;=_TM1,B2151&lt;=_TM2,OR(TH!L2151="1111",TH!M2151="1111")),TH!D2151,""),"")</f>
        <v/>
      </c>
      <c r="B2151" s="36">
        <f t="shared" si="172"/>
        <v>11</v>
      </c>
      <c r="C2151" s="191">
        <v>40862</v>
      </c>
      <c r="D2151" s="191" t="s">
        <v>969</v>
      </c>
      <c r="E2151" s="191">
        <v>40862</v>
      </c>
      <c r="F2151" s="192" t="s">
        <v>1010</v>
      </c>
      <c r="G2151" s="498" t="s">
        <v>1296</v>
      </c>
      <c r="H2151" s="193" t="s">
        <v>733</v>
      </c>
      <c r="I2151" s="256">
        <v>1</v>
      </c>
      <c r="J2151" s="256">
        <v>13099</v>
      </c>
      <c r="K2151" s="614">
        <v>13099</v>
      </c>
      <c r="L2151" s="194" t="s">
        <v>259</v>
      </c>
      <c r="M2151" s="194" t="s">
        <v>167</v>
      </c>
      <c r="N2151" s="52" t="str">
        <f>IF(AND('331-CT'!$E$7=TH!H2151,OR(L2151="331",M2151="331")),"331",IF(AND(OR(L2151="131",M2151="131"),H2151='131-CT'!$E$7),"131",""))</f>
        <v>131</v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94"/>
      <c r="AB2151" s="198"/>
      <c r="AC2151" s="198"/>
      <c r="AD2151" s="198"/>
    </row>
    <row r="2152" spans="1:30" s="831" customFormat="1" ht="15.75" customHeight="1">
      <c r="A2152" s="204" t="str">
        <f>IF(B2152&lt;&gt;"",IF(AND(B2152&gt;=_TM1,B2152&lt;=_TM2,OR(TH!L2152="1111",TH!M2152="1111")),TH!D2152,""),"")</f>
        <v/>
      </c>
      <c r="B2152" s="36">
        <f t="shared" si="172"/>
        <v>11</v>
      </c>
      <c r="C2152" s="191">
        <v>40862</v>
      </c>
      <c r="D2152" s="191" t="s">
        <v>969</v>
      </c>
      <c r="E2152" s="191">
        <v>40862</v>
      </c>
      <c r="F2152" s="192" t="s">
        <v>749</v>
      </c>
      <c r="G2152" s="498" t="s">
        <v>1296</v>
      </c>
      <c r="H2152" s="193" t="s">
        <v>733</v>
      </c>
      <c r="I2152" s="256">
        <v>3</v>
      </c>
      <c r="J2152" s="256">
        <v>12564</v>
      </c>
      <c r="K2152" s="614">
        <v>37692</v>
      </c>
      <c r="L2152" s="194" t="s">
        <v>259</v>
      </c>
      <c r="M2152" s="194" t="s">
        <v>167</v>
      </c>
      <c r="N2152" s="52" t="str">
        <f>IF(AND('331-CT'!$E$7=TH!H2152,OR(L2152="331",M2152="331")),"331",IF(AND(OR(L2152="131",M2152="131"),H2152='131-CT'!$E$7),"131",""))</f>
        <v>131</v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94"/>
      <c r="AB2152" s="198"/>
      <c r="AC2152" s="198"/>
      <c r="AD2152" s="198"/>
    </row>
    <row r="2153" spans="1:30" s="831" customFormat="1" ht="15.75" customHeight="1">
      <c r="A2153" s="204" t="str">
        <f>IF(B2153&lt;&gt;"",IF(AND(B2153&gt;=_TM1,B2153&lt;=_TM2,OR(TH!L2153="1111",TH!M2153="1111")),TH!D2153,""),"")</f>
        <v/>
      </c>
      <c r="B2153" s="36">
        <f t="shared" si="172"/>
        <v>11</v>
      </c>
      <c r="C2153" s="191">
        <v>40862</v>
      </c>
      <c r="D2153" s="191" t="s">
        <v>969</v>
      </c>
      <c r="E2153" s="191">
        <v>40862</v>
      </c>
      <c r="F2153" s="192" t="s">
        <v>752</v>
      </c>
      <c r="G2153" s="498" t="s">
        <v>1296</v>
      </c>
      <c r="H2153" s="193" t="s">
        <v>733</v>
      </c>
      <c r="I2153" s="256">
        <v>3</v>
      </c>
      <c r="J2153" s="256">
        <v>16284</v>
      </c>
      <c r="K2153" s="614">
        <v>48852</v>
      </c>
      <c r="L2153" s="194" t="s">
        <v>259</v>
      </c>
      <c r="M2153" s="194" t="s">
        <v>167</v>
      </c>
      <c r="N2153" s="52" t="str">
        <f>IF(AND('331-CT'!$E$7=TH!H2153,OR(L2153="331",M2153="331")),"331",IF(AND(OR(L2153="131",M2153="131"),H2153='131-CT'!$E$7),"131",""))</f>
        <v>131</v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94"/>
      <c r="AB2153" s="198"/>
      <c r="AC2153" s="198"/>
      <c r="AD2153" s="198"/>
    </row>
    <row r="2154" spans="1:30" s="831" customFormat="1" ht="15.75" customHeight="1">
      <c r="A2154" s="204" t="str">
        <f>IF(B2154&lt;&gt;"",IF(AND(B2154&gt;=_TM1,B2154&lt;=_TM2,OR(TH!L2154="1111",TH!M2154="1111")),TH!D2154,""),"")</f>
        <v/>
      </c>
      <c r="B2154" s="36">
        <f t="shared" si="172"/>
        <v>11</v>
      </c>
      <c r="C2154" s="191">
        <v>40862</v>
      </c>
      <c r="D2154" s="191" t="s">
        <v>969</v>
      </c>
      <c r="E2154" s="191">
        <v>40862</v>
      </c>
      <c r="F2154" s="192" t="s">
        <v>748</v>
      </c>
      <c r="G2154" s="498" t="s">
        <v>1296</v>
      </c>
      <c r="H2154" s="193" t="s">
        <v>733</v>
      </c>
      <c r="I2154" s="256">
        <v>5</v>
      </c>
      <c r="J2154" s="256">
        <v>10253</v>
      </c>
      <c r="K2154" s="614">
        <v>51265</v>
      </c>
      <c r="L2154" s="194" t="s">
        <v>259</v>
      </c>
      <c r="M2154" s="194" t="s">
        <v>167</v>
      </c>
      <c r="N2154" s="52" t="str">
        <f>IF(AND('331-CT'!$E$7=TH!H2154,OR(L2154="331",M2154="331")),"331",IF(AND(OR(L2154="131",M2154="131"),H2154='131-CT'!$E$7),"131",""))</f>
        <v>131</v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94"/>
      <c r="AB2154" s="198"/>
      <c r="AC2154" s="198"/>
      <c r="AD2154" s="198"/>
    </row>
    <row r="2155" spans="1:30" s="831" customFormat="1" ht="15.75" customHeight="1">
      <c r="A2155" s="204" t="str">
        <f>IF(B2155&lt;&gt;"",IF(AND(B2155&gt;=_TM1,B2155&lt;=_TM2,OR(TH!L2155="1111",TH!M2155="1111")),TH!D2155,""),"")</f>
        <v/>
      </c>
      <c r="B2155" s="36">
        <f t="shared" si="172"/>
        <v>11</v>
      </c>
      <c r="C2155" s="191">
        <v>40862</v>
      </c>
      <c r="D2155" s="191" t="s">
        <v>969</v>
      </c>
      <c r="E2155" s="191">
        <v>40862</v>
      </c>
      <c r="F2155" s="192" t="s">
        <v>1297</v>
      </c>
      <c r="G2155" s="498" t="s">
        <v>1296</v>
      </c>
      <c r="H2155" s="193" t="s">
        <v>733</v>
      </c>
      <c r="I2155" s="256">
        <v>4</v>
      </c>
      <c r="J2155" s="256">
        <v>10026</v>
      </c>
      <c r="K2155" s="614">
        <v>40104</v>
      </c>
      <c r="L2155" s="194" t="s">
        <v>259</v>
      </c>
      <c r="M2155" s="194" t="s">
        <v>167</v>
      </c>
      <c r="N2155" s="52" t="str">
        <f>IF(AND('331-CT'!$E$7=TH!H2155,OR(L2155="331",M2155="331")),"331",IF(AND(OR(L2155="131",M2155="131"),H2155='131-CT'!$E$7),"131",""))</f>
        <v>131</v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94"/>
      <c r="AB2155" s="198"/>
      <c r="AC2155" s="198"/>
      <c r="AD2155" s="198"/>
    </row>
    <row r="2156" spans="1:30" s="831" customFormat="1" ht="15.75" customHeight="1">
      <c r="A2156" s="204" t="str">
        <f>IF(B2156&lt;&gt;"",IF(AND(B2156&gt;=_TM1,B2156&lt;=_TM2,OR(TH!L2156="1111",TH!M2156="1111")),TH!D2156,""),"")</f>
        <v/>
      </c>
      <c r="B2156" s="36">
        <f t="shared" si="172"/>
        <v>11</v>
      </c>
      <c r="C2156" s="191">
        <v>40862</v>
      </c>
      <c r="D2156" s="191" t="s">
        <v>969</v>
      </c>
      <c r="E2156" s="191">
        <v>40862</v>
      </c>
      <c r="F2156" s="192" t="s">
        <v>1031</v>
      </c>
      <c r="G2156" s="498" t="s">
        <v>1296</v>
      </c>
      <c r="H2156" s="193" t="s">
        <v>733</v>
      </c>
      <c r="I2156" s="256">
        <v>1</v>
      </c>
      <c r="J2156" s="256">
        <v>7285</v>
      </c>
      <c r="K2156" s="614">
        <v>7285</v>
      </c>
      <c r="L2156" s="194" t="s">
        <v>259</v>
      </c>
      <c r="M2156" s="194" t="s">
        <v>167</v>
      </c>
      <c r="N2156" s="52" t="str">
        <f>IF(AND('331-CT'!$E$7=TH!H2156,OR(L2156="331",M2156="331")),"331",IF(AND(OR(L2156="131",M2156="131"),H2156='131-CT'!$E$7),"131",""))</f>
        <v>131</v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94"/>
      <c r="AB2156" s="198"/>
      <c r="AC2156" s="198"/>
      <c r="AD2156" s="198"/>
    </row>
    <row r="2157" spans="1:30" s="831" customFormat="1" ht="15.75" customHeight="1">
      <c r="A2157" s="204" t="str">
        <f>IF(B2157&lt;&gt;"",IF(AND(B2157&gt;=_TM1,B2157&lt;=_TM2,OR(TH!L2157="1111",TH!M2157="1111")),TH!D2157,""),"")</f>
        <v/>
      </c>
      <c r="B2157" s="36">
        <f t="shared" si="172"/>
        <v>11</v>
      </c>
      <c r="C2157" s="191">
        <v>40862</v>
      </c>
      <c r="D2157" s="191" t="s">
        <v>969</v>
      </c>
      <c r="E2157" s="191">
        <v>40862</v>
      </c>
      <c r="F2157" s="192" t="s">
        <v>757</v>
      </c>
      <c r="G2157" s="498" t="s">
        <v>1296</v>
      </c>
      <c r="H2157" s="193" t="s">
        <v>733</v>
      </c>
      <c r="I2157" s="256">
        <v>4</v>
      </c>
      <c r="J2157" s="256">
        <v>5210</v>
      </c>
      <c r="K2157" s="614">
        <v>20840</v>
      </c>
      <c r="L2157" s="194" t="s">
        <v>259</v>
      </c>
      <c r="M2157" s="194" t="s">
        <v>167</v>
      </c>
      <c r="N2157" s="52" t="str">
        <f>IF(AND('331-CT'!$E$7=TH!H2157,OR(L2157="331",M2157="331")),"331",IF(AND(OR(L2157="131",M2157="131"),H2157='131-CT'!$E$7),"131",""))</f>
        <v>131</v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94"/>
      <c r="AB2157" s="198"/>
      <c r="AC2157" s="198"/>
      <c r="AD2157" s="198"/>
    </row>
    <row r="2158" spans="1:30" s="831" customFormat="1" ht="15.75" customHeight="1">
      <c r="A2158" s="204" t="str">
        <f>IF(B2158&lt;&gt;"",IF(AND(B2158&gt;=_TM1,B2158&lt;=_TM2,OR(TH!L2158="1111",TH!M2158="1111")),TH!D2158,""),"")</f>
        <v/>
      </c>
      <c r="B2158" s="36">
        <f t="shared" si="172"/>
        <v>11</v>
      </c>
      <c r="C2158" s="191">
        <v>40862</v>
      </c>
      <c r="D2158" s="191" t="s">
        <v>969</v>
      </c>
      <c r="E2158" s="191">
        <v>40862</v>
      </c>
      <c r="F2158" s="189" t="s">
        <v>924</v>
      </c>
      <c r="G2158" s="498" t="s">
        <v>1296</v>
      </c>
      <c r="H2158" s="193" t="s">
        <v>733</v>
      </c>
      <c r="I2158" s="256">
        <v>4</v>
      </c>
      <c r="J2158" s="256">
        <v>7094</v>
      </c>
      <c r="K2158" s="614">
        <v>28376</v>
      </c>
      <c r="L2158" s="194" t="s">
        <v>259</v>
      </c>
      <c r="M2158" s="194" t="s">
        <v>167</v>
      </c>
      <c r="N2158" s="52" t="str">
        <f>IF(AND('331-CT'!$E$7=TH!H2158,OR(L2158="331",M2158="331")),"331",IF(AND(OR(L2158="131",M2158="131"),H2158='131-CT'!$E$7),"131",""))</f>
        <v>131</v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94"/>
      <c r="AB2158" s="198"/>
      <c r="AC2158" s="198"/>
      <c r="AD2158" s="198"/>
    </row>
    <row r="2159" spans="1:30" s="831" customFormat="1" ht="15.75" customHeight="1">
      <c r="A2159" s="204" t="str">
        <f>IF(B2159&lt;&gt;"",IF(AND(B2159&gt;=_TM1,B2159&lt;=_TM2,OR(TH!L2159="1111",TH!M2159="1111")),TH!D2159,""),"")</f>
        <v/>
      </c>
      <c r="B2159" s="36">
        <f t="shared" si="172"/>
        <v>11</v>
      </c>
      <c r="C2159" s="191">
        <v>40862</v>
      </c>
      <c r="D2159" s="191" t="s">
        <v>969</v>
      </c>
      <c r="E2159" s="191">
        <v>40862</v>
      </c>
      <c r="F2159" s="192" t="s">
        <v>758</v>
      </c>
      <c r="G2159" s="498" t="s">
        <v>1296</v>
      </c>
      <c r="H2159" s="193" t="s">
        <v>733</v>
      </c>
      <c r="I2159" s="256">
        <v>2</v>
      </c>
      <c r="J2159" s="256">
        <v>7348</v>
      </c>
      <c r="K2159" s="614">
        <v>14696</v>
      </c>
      <c r="L2159" s="194" t="s">
        <v>259</v>
      </c>
      <c r="M2159" s="194" t="s">
        <v>167</v>
      </c>
      <c r="N2159" s="52" t="str">
        <f>IF(AND('331-CT'!$E$7=TH!H2159,OR(L2159="331",M2159="331")),"331",IF(AND(OR(L2159="131",M2159="131"),H2159='131-CT'!$E$7),"131",""))</f>
        <v>131</v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94"/>
      <c r="AB2159" s="198"/>
      <c r="AC2159" s="198"/>
      <c r="AD2159" s="198"/>
    </row>
    <row r="2160" spans="1:30" s="831" customFormat="1" ht="15.75" customHeight="1">
      <c r="A2160" s="204" t="str">
        <f>IF(B2160&lt;&gt;"",IF(AND(B2160&gt;=_TM1,B2160&lt;=_TM2,OR(TH!L2160="1111",TH!M2160="1111")),TH!D2160,""),"")</f>
        <v/>
      </c>
      <c r="B2160" s="36">
        <f t="shared" si="172"/>
        <v>11</v>
      </c>
      <c r="C2160" s="191">
        <v>40862</v>
      </c>
      <c r="D2160" s="191" t="s">
        <v>969</v>
      </c>
      <c r="E2160" s="191">
        <v>40862</v>
      </c>
      <c r="F2160" s="192" t="s">
        <v>926</v>
      </c>
      <c r="G2160" s="498" t="s">
        <v>1296</v>
      </c>
      <c r="H2160" s="193" t="s">
        <v>733</v>
      </c>
      <c r="I2160" s="256">
        <v>221</v>
      </c>
      <c r="J2160" s="256">
        <v>9594</v>
      </c>
      <c r="K2160" s="614">
        <v>2120274</v>
      </c>
      <c r="L2160" s="194" t="s">
        <v>259</v>
      </c>
      <c r="M2160" s="194" t="s">
        <v>167</v>
      </c>
      <c r="N2160" s="52" t="str">
        <f>IF(AND('331-CT'!$E$7=TH!H2160,OR(L2160="331",M2160="331")),"331",IF(AND(OR(L2160="131",M2160="131"),H2160='131-CT'!$E$7),"131",""))</f>
        <v>131</v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94"/>
      <c r="AB2160" s="198"/>
      <c r="AC2160" s="198"/>
      <c r="AD2160" s="198"/>
    </row>
    <row r="2161" spans="1:30" s="831" customFormat="1" ht="15.75" customHeight="1">
      <c r="A2161" s="204" t="str">
        <f>IF(B2161&lt;&gt;"",IF(AND(B2161&gt;=_TM1,B2161&lt;=_TM2,OR(TH!L2161="1111",TH!M2161="1111")),TH!D2161,""),"")</f>
        <v/>
      </c>
      <c r="B2161" s="36">
        <f t="shared" si="172"/>
        <v>11</v>
      </c>
      <c r="C2161" s="191">
        <v>40862</v>
      </c>
      <c r="D2161" s="191" t="s">
        <v>969</v>
      </c>
      <c r="E2161" s="191">
        <v>40862</v>
      </c>
      <c r="F2161" s="192" t="s">
        <v>759</v>
      </c>
      <c r="G2161" s="498" t="s">
        <v>1296</v>
      </c>
      <c r="H2161" s="193" t="s">
        <v>733</v>
      </c>
      <c r="I2161" s="256">
        <v>62</v>
      </c>
      <c r="J2161" s="256">
        <v>15136</v>
      </c>
      <c r="K2161" s="614">
        <v>938432</v>
      </c>
      <c r="L2161" s="194" t="s">
        <v>259</v>
      </c>
      <c r="M2161" s="194" t="s">
        <v>167</v>
      </c>
      <c r="N2161" s="52" t="str">
        <f>IF(AND('331-CT'!$E$7=TH!H2161,OR(L2161="331",M2161="331")),"331",IF(AND(OR(L2161="131",M2161="131"),H2161='131-CT'!$E$7),"131",""))</f>
        <v>131</v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94"/>
      <c r="AB2161" s="198"/>
      <c r="AC2161" s="198"/>
      <c r="AD2161" s="198"/>
    </row>
    <row r="2162" spans="1:30" s="831" customFormat="1" ht="15.75" customHeight="1">
      <c r="A2162" s="204" t="str">
        <f>IF(B2162&lt;&gt;"",IF(AND(B2162&gt;=_TM1,B2162&lt;=_TM2,OR(TH!L2162="1111",TH!M2162="1111")),TH!D2162,""),"")</f>
        <v/>
      </c>
      <c r="B2162" s="36">
        <f t="shared" si="172"/>
        <v>11</v>
      </c>
      <c r="C2162" s="191">
        <v>40862</v>
      </c>
      <c r="D2162" s="191" t="s">
        <v>969</v>
      </c>
      <c r="E2162" s="191">
        <v>40862</v>
      </c>
      <c r="F2162" s="192" t="s">
        <v>922</v>
      </c>
      <c r="G2162" s="498" t="s">
        <v>1296</v>
      </c>
      <c r="H2162" s="193" t="s">
        <v>733</v>
      </c>
      <c r="I2162" s="256">
        <v>139</v>
      </c>
      <c r="J2162" s="256">
        <v>8450</v>
      </c>
      <c r="K2162" s="614">
        <v>1174550</v>
      </c>
      <c r="L2162" s="194" t="s">
        <v>259</v>
      </c>
      <c r="M2162" s="194" t="s">
        <v>167</v>
      </c>
      <c r="N2162" s="52" t="str">
        <f>IF(AND('331-CT'!$E$7=TH!H2162,OR(L2162="331",M2162="331")),"331",IF(AND(OR(L2162="131",M2162="131"),H2162='131-CT'!$E$7),"131",""))</f>
        <v>131</v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94"/>
      <c r="AB2162" s="198"/>
      <c r="AC2162" s="198"/>
      <c r="AD2162" s="198"/>
    </row>
    <row r="2163" spans="1:30" s="831" customFormat="1" ht="15.75" customHeight="1">
      <c r="A2163" s="204" t="str">
        <f>IF(B2163&lt;&gt;"",IF(AND(B2163&gt;=_TM1,B2163&lt;=_TM2,OR(TH!L2163="1111",TH!M2163="1111")),TH!D2163,""),"")</f>
        <v/>
      </c>
      <c r="B2163" s="36">
        <f t="shared" si="172"/>
        <v>11</v>
      </c>
      <c r="C2163" s="191">
        <v>40862</v>
      </c>
      <c r="D2163" s="191" t="s">
        <v>969</v>
      </c>
      <c r="E2163" s="191">
        <v>40862</v>
      </c>
      <c r="F2163" s="192" t="s">
        <v>746</v>
      </c>
      <c r="G2163" s="498" t="s">
        <v>1296</v>
      </c>
      <c r="H2163" s="193" t="s">
        <v>733</v>
      </c>
      <c r="I2163" s="256">
        <v>312</v>
      </c>
      <c r="J2163" s="256">
        <v>10595</v>
      </c>
      <c r="K2163" s="614">
        <v>3305640</v>
      </c>
      <c r="L2163" s="194" t="s">
        <v>259</v>
      </c>
      <c r="M2163" s="194" t="s">
        <v>167</v>
      </c>
      <c r="N2163" s="52" t="str">
        <f>IF(AND('331-CT'!$E$7=TH!H2163,OR(L2163="331",M2163="331")),"331",IF(AND(OR(L2163="131",M2163="131"),H2163='131-CT'!$E$7),"131",""))</f>
        <v>131</v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94"/>
      <c r="AB2163" s="198"/>
      <c r="AC2163" s="198"/>
      <c r="AD2163" s="198"/>
    </row>
    <row r="2164" spans="1:30" s="831" customFormat="1" ht="15.75" customHeight="1">
      <c r="A2164" s="204" t="str">
        <f>IF(B2164&lt;&gt;"",IF(AND(B2164&gt;=_TM1,B2164&lt;=_TM2,OR(TH!L2164="1111",TH!M2164="1111")),TH!D2164,""),"")</f>
        <v/>
      </c>
      <c r="B2164" s="36">
        <f t="shared" si="172"/>
        <v>11</v>
      </c>
      <c r="C2164" s="191">
        <v>40862</v>
      </c>
      <c r="D2164" s="191" t="s">
        <v>969</v>
      </c>
      <c r="E2164" s="191">
        <v>40862</v>
      </c>
      <c r="F2164" s="192" t="s">
        <v>1298</v>
      </c>
      <c r="G2164" s="498" t="s">
        <v>1296</v>
      </c>
      <c r="H2164" s="193" t="s">
        <v>733</v>
      </c>
      <c r="I2164" s="256">
        <v>12</v>
      </c>
      <c r="J2164" s="256">
        <v>14836</v>
      </c>
      <c r="K2164" s="614">
        <v>178032</v>
      </c>
      <c r="L2164" s="194" t="s">
        <v>259</v>
      </c>
      <c r="M2164" s="194" t="s">
        <v>167</v>
      </c>
      <c r="N2164" s="52" t="str">
        <f>IF(AND('331-CT'!$E$7=TH!H2164,OR(L2164="331",M2164="331")),"331",IF(AND(OR(L2164="131",M2164="131"),H2164='131-CT'!$E$7),"131",""))</f>
        <v>131</v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94"/>
      <c r="AB2164" s="198"/>
      <c r="AC2164" s="198"/>
      <c r="AD2164" s="198"/>
    </row>
    <row r="2165" spans="1:30" s="831" customFormat="1" ht="15.75" customHeight="1">
      <c r="A2165" s="204" t="str">
        <f>IF(B2165&lt;&gt;"",IF(AND(B2165&gt;=_TM1,B2165&lt;=_TM2,OR(TH!L2165="1111",TH!M2165="1111")),TH!D2165,""),"")</f>
        <v/>
      </c>
      <c r="B2165" s="36">
        <f t="shared" si="172"/>
        <v>11</v>
      </c>
      <c r="C2165" s="191">
        <v>40862</v>
      </c>
      <c r="D2165" s="191" t="s">
        <v>969</v>
      </c>
      <c r="E2165" s="191">
        <v>40862</v>
      </c>
      <c r="F2165" s="192" t="s">
        <v>750</v>
      </c>
      <c r="G2165" s="498" t="s">
        <v>1296</v>
      </c>
      <c r="H2165" s="193" t="s">
        <v>733</v>
      </c>
      <c r="I2165" s="256">
        <v>206</v>
      </c>
      <c r="J2165" s="256">
        <v>15618</v>
      </c>
      <c r="K2165" s="614">
        <v>3217308</v>
      </c>
      <c r="L2165" s="194" t="s">
        <v>259</v>
      </c>
      <c r="M2165" s="194" t="s">
        <v>167</v>
      </c>
      <c r="N2165" s="52" t="str">
        <f>IF(AND('331-CT'!$E$7=TH!H2165,OR(L2165="331",M2165="331")),"331",IF(AND(OR(L2165="131",M2165="131"),H2165='131-CT'!$E$7),"131",""))</f>
        <v>131</v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94"/>
      <c r="AB2165" s="198"/>
      <c r="AC2165" s="198"/>
      <c r="AD2165" s="198"/>
    </row>
    <row r="2166" spans="1:30" s="831" customFormat="1" ht="15.75" customHeight="1">
      <c r="A2166" s="204" t="str">
        <f>IF(B2166&lt;&gt;"",IF(AND(B2166&gt;=_TM1,B2166&lt;=_TM2,OR(TH!L2166="1111",TH!M2166="1111")),TH!D2166,""),"")</f>
        <v/>
      </c>
      <c r="B2166" s="36">
        <f t="shared" si="172"/>
        <v>11</v>
      </c>
      <c r="C2166" s="191">
        <v>40862</v>
      </c>
      <c r="D2166" s="191" t="s">
        <v>969</v>
      </c>
      <c r="E2166" s="191">
        <v>40862</v>
      </c>
      <c r="F2166" s="192" t="s">
        <v>1299</v>
      </c>
      <c r="G2166" s="498" t="s">
        <v>1296</v>
      </c>
      <c r="H2166" s="193" t="s">
        <v>733</v>
      </c>
      <c r="I2166" s="256">
        <v>45</v>
      </c>
      <c r="J2166" s="256">
        <v>16215</v>
      </c>
      <c r="K2166" s="614">
        <v>729675</v>
      </c>
      <c r="L2166" s="194" t="s">
        <v>259</v>
      </c>
      <c r="M2166" s="194" t="s">
        <v>167</v>
      </c>
      <c r="N2166" s="52" t="str">
        <f>IF(AND('331-CT'!$E$7=TH!H2166,OR(L2166="331",M2166="331")),"331",IF(AND(OR(L2166="131",M2166="131"),H2166='131-CT'!$E$7),"131",""))</f>
        <v>131</v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94"/>
      <c r="AB2166" s="198"/>
      <c r="AC2166" s="198"/>
      <c r="AD2166" s="198"/>
    </row>
    <row r="2167" spans="1:30" s="831" customFormat="1" ht="15.75" customHeight="1">
      <c r="A2167" s="204" t="str">
        <f>IF(B2167&lt;&gt;"",IF(AND(B2167&gt;=_TM1,B2167&lt;=_TM2,OR(TH!L2167="1111",TH!M2167="1111")),TH!D2167,""),"")</f>
        <v/>
      </c>
      <c r="B2167" s="36">
        <f t="shared" si="172"/>
        <v>11</v>
      </c>
      <c r="C2167" s="191">
        <v>40862</v>
      </c>
      <c r="D2167" s="191" t="s">
        <v>969</v>
      </c>
      <c r="E2167" s="191">
        <v>40862</v>
      </c>
      <c r="F2167" s="192" t="s">
        <v>1300</v>
      </c>
      <c r="G2167" s="498" t="s">
        <v>1296</v>
      </c>
      <c r="H2167" s="193" t="s">
        <v>733</v>
      </c>
      <c r="I2167" s="256">
        <v>63</v>
      </c>
      <c r="J2167" s="256">
        <v>12346</v>
      </c>
      <c r="K2167" s="614">
        <v>777798</v>
      </c>
      <c r="L2167" s="194" t="s">
        <v>259</v>
      </c>
      <c r="M2167" s="194" t="s">
        <v>167</v>
      </c>
      <c r="N2167" s="52" t="str">
        <f>IF(AND('331-CT'!$E$7=TH!H2167,OR(L2167="331",M2167="331")),"331",IF(AND(OR(L2167="131",M2167="131"),H2167='131-CT'!$E$7),"131",""))</f>
        <v>131</v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94"/>
      <c r="AB2167" s="198"/>
      <c r="AC2167" s="198"/>
      <c r="AD2167" s="198"/>
    </row>
    <row r="2168" spans="1:30" s="831" customFormat="1" ht="15.75" customHeight="1">
      <c r="A2168" s="204" t="str">
        <f>IF(B2168&lt;&gt;"",IF(AND(B2168&gt;=_TM1,B2168&lt;=_TM2,OR(TH!L2168="1111",TH!M2168="1111")),TH!D2168,""),"")</f>
        <v/>
      </c>
      <c r="B2168" s="36">
        <f t="shared" si="172"/>
        <v>11</v>
      </c>
      <c r="C2168" s="191">
        <v>40862</v>
      </c>
      <c r="D2168" s="191" t="s">
        <v>969</v>
      </c>
      <c r="E2168" s="191">
        <v>40862</v>
      </c>
      <c r="F2168" s="192" t="s">
        <v>1301</v>
      </c>
      <c r="G2168" s="498" t="s">
        <v>1296</v>
      </c>
      <c r="H2168" s="193" t="s">
        <v>733</v>
      </c>
      <c r="I2168" s="256">
        <v>60</v>
      </c>
      <c r="J2168" s="256">
        <v>13110</v>
      </c>
      <c r="K2168" s="614">
        <v>786600</v>
      </c>
      <c r="L2168" s="194" t="s">
        <v>259</v>
      </c>
      <c r="M2168" s="194" t="s">
        <v>167</v>
      </c>
      <c r="N2168" s="52" t="str">
        <f>IF(AND('331-CT'!$E$7=TH!H2168,OR(L2168="331",M2168="331")),"331",IF(AND(OR(L2168="131",M2168="131"),H2168='131-CT'!$E$7),"131",""))</f>
        <v>131</v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94"/>
      <c r="AB2168" s="198"/>
      <c r="AC2168" s="198"/>
      <c r="AD2168" s="198"/>
    </row>
    <row r="2169" spans="1:30" s="831" customFormat="1" ht="15.75" customHeight="1">
      <c r="A2169" s="204" t="str">
        <f>IF(B2169&lt;&gt;"",IF(AND(B2169&gt;=_TM1,B2169&lt;=_TM2,OR(TH!L2169="1111",TH!M2169="1111")),TH!D2169,""),"")</f>
        <v/>
      </c>
      <c r="B2169" s="36">
        <f t="shared" si="172"/>
        <v>11</v>
      </c>
      <c r="C2169" s="191">
        <v>40862</v>
      </c>
      <c r="D2169" s="191" t="s">
        <v>969</v>
      </c>
      <c r="E2169" s="191">
        <v>40862</v>
      </c>
      <c r="F2169" s="192" t="s">
        <v>1302</v>
      </c>
      <c r="G2169" s="498" t="s">
        <v>1296</v>
      </c>
      <c r="H2169" s="193" t="s">
        <v>733</v>
      </c>
      <c r="I2169" s="256">
        <v>61</v>
      </c>
      <c r="J2169" s="256">
        <v>10884</v>
      </c>
      <c r="K2169" s="614">
        <v>663924</v>
      </c>
      <c r="L2169" s="194" t="s">
        <v>259</v>
      </c>
      <c r="M2169" s="194" t="s">
        <v>167</v>
      </c>
      <c r="N2169" s="52" t="str">
        <f>IF(AND('331-CT'!$E$7=TH!H2169,OR(L2169="331",M2169="331")),"331",IF(AND(OR(L2169="131",M2169="131"),H2169='131-CT'!$E$7),"131",""))</f>
        <v>131</v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94"/>
      <c r="AB2169" s="198"/>
      <c r="AC2169" s="198"/>
      <c r="AD2169" s="198"/>
    </row>
    <row r="2170" spans="1:30" s="831" customFormat="1" ht="15.75" customHeight="1">
      <c r="A2170" s="204" t="str">
        <f>IF(B2170&lt;&gt;"",IF(AND(B2170&gt;=_TM1,B2170&lt;=_TM2,OR(TH!L2170="1111",TH!M2170="1111")),TH!D2170,""),"")</f>
        <v/>
      </c>
      <c r="B2170" s="36">
        <f t="shared" si="172"/>
        <v>11</v>
      </c>
      <c r="C2170" s="191">
        <v>40862</v>
      </c>
      <c r="D2170" s="191" t="s">
        <v>969</v>
      </c>
      <c r="E2170" s="191">
        <v>40862</v>
      </c>
      <c r="F2170" s="192" t="s">
        <v>1303</v>
      </c>
      <c r="G2170" s="498" t="s">
        <v>1296</v>
      </c>
      <c r="H2170" s="193" t="s">
        <v>733</v>
      </c>
      <c r="I2170" s="256">
        <v>104</v>
      </c>
      <c r="J2170" s="256">
        <v>22061</v>
      </c>
      <c r="K2170" s="614">
        <v>2294344</v>
      </c>
      <c r="L2170" s="194" t="s">
        <v>259</v>
      </c>
      <c r="M2170" s="194" t="s">
        <v>167</v>
      </c>
      <c r="N2170" s="52" t="str">
        <f>IF(AND('331-CT'!$E$7=TH!H2170,OR(L2170="331",M2170="331")),"331",IF(AND(OR(L2170="131",M2170="131"),H2170='131-CT'!$E$7),"131",""))</f>
        <v>131</v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94"/>
      <c r="AB2170" s="198"/>
      <c r="AC2170" s="198"/>
      <c r="AD2170" s="198"/>
    </row>
    <row r="2171" spans="1:30" s="831" customFormat="1" ht="15.75" customHeight="1">
      <c r="A2171" s="204" t="str">
        <f>IF(B2171&lt;&gt;"",IF(AND(B2171&gt;=_TM1,B2171&lt;=_TM2,OR(TH!L2171="1111",TH!M2171="1111")),TH!D2171,""),"")</f>
        <v/>
      </c>
      <c r="B2171" s="36">
        <f t="shared" si="172"/>
        <v>11</v>
      </c>
      <c r="C2171" s="191">
        <v>40862</v>
      </c>
      <c r="D2171" s="191" t="s">
        <v>969</v>
      </c>
      <c r="E2171" s="191">
        <v>40862</v>
      </c>
      <c r="F2171" s="192" t="s">
        <v>1304</v>
      </c>
      <c r="G2171" s="498" t="s">
        <v>1296</v>
      </c>
      <c r="H2171" s="193" t="s">
        <v>733</v>
      </c>
      <c r="I2171" s="256">
        <v>152</v>
      </c>
      <c r="J2171" s="256">
        <v>9449</v>
      </c>
      <c r="K2171" s="614">
        <v>1436248</v>
      </c>
      <c r="L2171" s="194" t="s">
        <v>259</v>
      </c>
      <c r="M2171" s="194" t="s">
        <v>167</v>
      </c>
      <c r="N2171" s="52" t="str">
        <f>IF(AND('331-CT'!$E$7=TH!H2171,OR(L2171="331",M2171="331")),"331",IF(AND(OR(L2171="131",M2171="131"),H2171='131-CT'!$E$7),"131",""))</f>
        <v>131</v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94"/>
      <c r="AB2171" s="198"/>
      <c r="AC2171" s="198"/>
      <c r="AD2171" s="198"/>
    </row>
    <row r="2172" spans="1:30" s="831" customFormat="1" ht="15.75" customHeight="1">
      <c r="A2172" s="204" t="str">
        <f>IF(B2172&lt;&gt;"",IF(AND(B2172&gt;=_TM1,B2172&lt;=_TM2,OR(TH!L2172="1111",TH!M2172="1111")),TH!D2172,""),"")</f>
        <v/>
      </c>
      <c r="B2172" s="36">
        <f t="shared" si="172"/>
        <v>11</v>
      </c>
      <c r="C2172" s="191">
        <v>40862</v>
      </c>
      <c r="D2172" s="191" t="s">
        <v>969</v>
      </c>
      <c r="E2172" s="191">
        <v>40862</v>
      </c>
      <c r="F2172" s="192" t="s">
        <v>1305</v>
      </c>
      <c r="G2172" s="498" t="s">
        <v>1296</v>
      </c>
      <c r="H2172" s="193" t="s">
        <v>733</v>
      </c>
      <c r="I2172" s="256">
        <v>235</v>
      </c>
      <c r="J2172" s="256">
        <v>10362</v>
      </c>
      <c r="K2172" s="614">
        <v>2435070</v>
      </c>
      <c r="L2172" s="194" t="s">
        <v>259</v>
      </c>
      <c r="M2172" s="194" t="s">
        <v>167</v>
      </c>
      <c r="N2172" s="52" t="str">
        <f>IF(AND('331-CT'!$E$7=TH!H2172,OR(L2172="331",M2172="331")),"331",IF(AND(OR(L2172="131",M2172="131"),H2172='131-CT'!$E$7),"131",""))</f>
        <v>131</v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94"/>
      <c r="AB2172" s="198"/>
      <c r="AC2172" s="198"/>
      <c r="AD2172" s="198"/>
    </row>
    <row r="2173" spans="1:30" s="831" customFormat="1" ht="15.75" customHeight="1">
      <c r="A2173" s="204" t="str">
        <f>IF(B2173&lt;&gt;"",IF(AND(B2173&gt;=_TM1,B2173&lt;=_TM2,OR(TH!L2173="1111",TH!M2173="1111")),TH!D2173,""),"")</f>
        <v/>
      </c>
      <c r="B2173" s="36">
        <f t="shared" si="172"/>
        <v>11</v>
      </c>
      <c r="C2173" s="191">
        <v>40862</v>
      </c>
      <c r="D2173" s="191" t="s">
        <v>969</v>
      </c>
      <c r="E2173" s="191">
        <v>40862</v>
      </c>
      <c r="F2173" s="192" t="s">
        <v>1176</v>
      </c>
      <c r="G2173" s="498" t="s">
        <v>1296</v>
      </c>
      <c r="H2173" s="193" t="s">
        <v>733</v>
      </c>
      <c r="I2173" s="256"/>
      <c r="J2173" s="256"/>
      <c r="K2173" s="614">
        <v>3080245</v>
      </c>
      <c r="L2173" s="194" t="s">
        <v>259</v>
      </c>
      <c r="M2173" s="194" t="s">
        <v>731</v>
      </c>
      <c r="N2173" s="52" t="str">
        <f>IF(AND('331-CT'!$E$7=TH!H2173,OR(L2173="331",M2173="331")),"331",IF(AND(OR(L2173="131",M2173="131"),H2173='131-CT'!$E$7),"131",""))</f>
        <v>131</v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94"/>
      <c r="AB2173" s="198"/>
      <c r="AC2173" s="198"/>
      <c r="AD2173" s="198"/>
    </row>
    <row r="2174" spans="1:30" s="831" customFormat="1" ht="15.75" customHeight="1">
      <c r="A2174" s="204" t="str">
        <f>IF(B2174&lt;&gt;"",IF(AND(B2174&gt;=_TM1,B2174&lt;=_TM2,OR(TH!L2174="1111",TH!M2174="1111")),TH!D2174,""),"")</f>
        <v/>
      </c>
      <c r="B2174" s="36">
        <f t="shared" si="172"/>
        <v>11</v>
      </c>
      <c r="C2174" s="191">
        <f t="shared" ref="C2174:C2205" si="173">E2174</f>
        <v>40862</v>
      </c>
      <c r="D2174" s="860" t="s">
        <v>1106</v>
      </c>
      <c r="E2174" s="794">
        <v>40862</v>
      </c>
      <c r="F2174" s="40" t="s">
        <v>641</v>
      </c>
      <c r="G2174" s="40"/>
      <c r="H2174" s="628" t="s">
        <v>1092</v>
      </c>
      <c r="I2174" s="256">
        <v>19</v>
      </c>
      <c r="J2174" s="256">
        <v>34653</v>
      </c>
      <c r="K2174" s="614">
        <f t="shared" ref="K2174:K2205" si="174">ROUND(I2174*J2174,0)</f>
        <v>658407</v>
      </c>
      <c r="L2174" s="52" t="s">
        <v>157</v>
      </c>
      <c r="M2174" s="52" t="s">
        <v>151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94"/>
      <c r="AB2174" s="198"/>
      <c r="AC2174" s="198"/>
      <c r="AD2174" s="198"/>
    </row>
    <row r="2175" spans="1:30" s="831" customFormat="1" ht="15.75" customHeight="1">
      <c r="A2175" s="204" t="str">
        <f>IF(B2175&lt;&gt;"",IF(AND(B2175&gt;=_TM1,B2175&lt;=_TM2,OR(TH!L2175="1111",TH!M2175="1111")),TH!D2175,""),"")</f>
        <v/>
      </c>
      <c r="B2175" s="36">
        <f t="shared" si="172"/>
        <v>11</v>
      </c>
      <c r="C2175" s="191">
        <f t="shared" si="173"/>
        <v>40862</v>
      </c>
      <c r="D2175" s="860" t="s">
        <v>1106</v>
      </c>
      <c r="E2175" s="794">
        <v>40862</v>
      </c>
      <c r="F2175" s="40" t="s">
        <v>651</v>
      </c>
      <c r="G2175" s="40"/>
      <c r="H2175" s="628" t="s">
        <v>1092</v>
      </c>
      <c r="I2175" s="256">
        <v>8</v>
      </c>
      <c r="J2175" s="256">
        <v>14105</v>
      </c>
      <c r="K2175" s="614">
        <f t="shared" si="174"/>
        <v>112840</v>
      </c>
      <c r="L2175" s="52" t="s">
        <v>157</v>
      </c>
      <c r="M2175" s="52" t="s">
        <v>151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94"/>
      <c r="AB2175" s="198"/>
      <c r="AC2175" s="198"/>
      <c r="AD2175" s="198"/>
    </row>
    <row r="2176" spans="1:30" s="831" customFormat="1" ht="15.75" customHeight="1">
      <c r="A2176" s="204" t="str">
        <f>IF(B2176&lt;&gt;"",IF(AND(B2176&gt;=_TM1,B2176&lt;=_TM2,OR(TH!L2176="1111",TH!M2176="1111")),TH!D2176,""),"")</f>
        <v/>
      </c>
      <c r="B2176" s="36">
        <f t="shared" si="172"/>
        <v>11</v>
      </c>
      <c r="C2176" s="191">
        <f t="shared" si="173"/>
        <v>40862</v>
      </c>
      <c r="D2176" s="860" t="s">
        <v>1106</v>
      </c>
      <c r="E2176" s="794">
        <v>40862</v>
      </c>
      <c r="F2176" s="189" t="s">
        <v>507</v>
      </c>
      <c r="G2176" s="40"/>
      <c r="H2176" s="628" t="s">
        <v>1092</v>
      </c>
      <c r="I2176" s="256">
        <v>24</v>
      </c>
      <c r="J2176" s="256">
        <v>8620</v>
      </c>
      <c r="K2176" s="614">
        <f t="shared" si="174"/>
        <v>206880</v>
      </c>
      <c r="L2176" s="52" t="s">
        <v>157</v>
      </c>
      <c r="M2176" s="52" t="s">
        <v>151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94"/>
      <c r="AB2176" s="198"/>
      <c r="AC2176" s="198"/>
      <c r="AD2176" s="198"/>
    </row>
    <row r="2177" spans="1:30" s="831" customFormat="1" ht="15.75" customHeight="1">
      <c r="A2177" s="204" t="str">
        <f>IF(B2177&lt;&gt;"",IF(AND(B2177&gt;=_TM1,B2177&lt;=_TM2,OR(TH!L2177="1111",TH!M2177="1111")),TH!D2177,""),"")</f>
        <v/>
      </c>
      <c r="B2177" s="36">
        <f t="shared" si="172"/>
        <v>11</v>
      </c>
      <c r="C2177" s="191">
        <f t="shared" si="173"/>
        <v>40862</v>
      </c>
      <c r="D2177" s="860" t="s">
        <v>1106</v>
      </c>
      <c r="E2177" s="794">
        <v>40862</v>
      </c>
      <c r="F2177" s="40" t="s">
        <v>651</v>
      </c>
      <c r="G2177" s="40"/>
      <c r="H2177" s="628" t="s">
        <v>1092</v>
      </c>
      <c r="I2177" s="256">
        <v>12</v>
      </c>
      <c r="J2177" s="256">
        <v>14105</v>
      </c>
      <c r="K2177" s="614">
        <f t="shared" si="174"/>
        <v>169260</v>
      </c>
      <c r="L2177" s="52" t="s">
        <v>157</v>
      </c>
      <c r="M2177" s="52" t="s">
        <v>151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94"/>
      <c r="AB2177" s="198"/>
      <c r="AC2177" s="198"/>
      <c r="AD2177" s="198"/>
    </row>
    <row r="2178" spans="1:30" s="831" customFormat="1" ht="15.75" customHeight="1">
      <c r="A2178" s="204" t="str">
        <f>IF(B2178&lt;&gt;"",IF(AND(B2178&gt;=_TM1,B2178&lt;=_TM2,OR(TH!L2178="1111",TH!M2178="1111")),TH!D2178,""),"")</f>
        <v/>
      </c>
      <c r="B2178" s="36">
        <f t="shared" si="172"/>
        <v>11</v>
      </c>
      <c r="C2178" s="191">
        <f t="shared" si="173"/>
        <v>40862</v>
      </c>
      <c r="D2178" s="860" t="s">
        <v>1106</v>
      </c>
      <c r="E2178" s="794">
        <v>40862</v>
      </c>
      <c r="F2178" s="189" t="s">
        <v>549</v>
      </c>
      <c r="G2178" s="40"/>
      <c r="H2178" s="628" t="s">
        <v>1092</v>
      </c>
      <c r="I2178" s="256">
        <v>1</v>
      </c>
      <c r="J2178" s="256">
        <v>13954</v>
      </c>
      <c r="K2178" s="614">
        <f t="shared" si="174"/>
        <v>13954</v>
      </c>
      <c r="L2178" s="52" t="s">
        <v>157</v>
      </c>
      <c r="M2178" s="52" t="s">
        <v>151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94"/>
      <c r="AB2178" s="198"/>
      <c r="AC2178" s="198"/>
      <c r="AD2178" s="198"/>
    </row>
    <row r="2179" spans="1:30" s="831" customFormat="1" ht="15.75" customHeight="1">
      <c r="A2179" s="204" t="str">
        <f>IF(B2179&lt;&gt;"",IF(AND(B2179&gt;=_TM1,B2179&lt;=_TM2,OR(TH!L2179="1111",TH!M2179="1111")),TH!D2179,""),"")</f>
        <v/>
      </c>
      <c r="B2179" s="36">
        <f t="shared" si="172"/>
        <v>11</v>
      </c>
      <c r="C2179" s="191">
        <f t="shared" si="173"/>
        <v>40862</v>
      </c>
      <c r="D2179" s="860" t="s">
        <v>1106</v>
      </c>
      <c r="E2179" s="794">
        <v>40862</v>
      </c>
      <c r="F2179" s="189" t="s">
        <v>638</v>
      </c>
      <c r="G2179" s="40"/>
      <c r="H2179" s="628" t="s">
        <v>1092</v>
      </c>
      <c r="I2179" s="256">
        <v>12.5</v>
      </c>
      <c r="J2179" s="256">
        <v>24595</v>
      </c>
      <c r="K2179" s="614">
        <f t="shared" si="174"/>
        <v>307438</v>
      </c>
      <c r="L2179" s="52" t="s">
        <v>157</v>
      </c>
      <c r="M2179" s="52" t="s">
        <v>151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94"/>
      <c r="AB2179" s="198"/>
      <c r="AC2179" s="198"/>
      <c r="AD2179" s="198"/>
    </row>
    <row r="2180" spans="1:30" s="831" customFormat="1" ht="15.75" customHeight="1">
      <c r="A2180" s="204" t="str">
        <f>IF(B2180&lt;&gt;"",IF(AND(B2180&gt;=_TM1,B2180&lt;=_TM2,OR(TH!L2180="1111",TH!M2180="1111")),TH!D2180,""),"")</f>
        <v/>
      </c>
      <c r="B2180" s="36">
        <f t="shared" si="172"/>
        <v>11</v>
      </c>
      <c r="C2180" s="191">
        <f t="shared" si="173"/>
        <v>40862</v>
      </c>
      <c r="D2180" s="860" t="s">
        <v>1106</v>
      </c>
      <c r="E2180" s="794">
        <v>40862</v>
      </c>
      <c r="F2180" s="189" t="s">
        <v>507</v>
      </c>
      <c r="G2180" s="40"/>
      <c r="H2180" s="628" t="s">
        <v>1092</v>
      </c>
      <c r="I2180" s="256">
        <v>274</v>
      </c>
      <c r="J2180" s="256">
        <v>8620</v>
      </c>
      <c r="K2180" s="614">
        <f t="shared" si="174"/>
        <v>2361880</v>
      </c>
      <c r="L2180" s="52" t="s">
        <v>157</v>
      </c>
      <c r="M2180" s="52" t="s">
        <v>151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94"/>
      <c r="AB2180" s="198"/>
      <c r="AC2180" s="198"/>
      <c r="AD2180" s="198"/>
    </row>
    <row r="2181" spans="1:30" s="831" customFormat="1" ht="15.75" customHeight="1">
      <c r="A2181" s="204" t="str">
        <f>IF(B2181&lt;&gt;"",IF(AND(B2181&gt;=_TM1,B2181&lt;=_TM2,OR(TH!L2181="1111",TH!M2181="1111")),TH!D2181,""),"")</f>
        <v/>
      </c>
      <c r="B2181" s="36">
        <f t="shared" si="172"/>
        <v>11</v>
      </c>
      <c r="C2181" s="191">
        <f t="shared" si="173"/>
        <v>40862</v>
      </c>
      <c r="D2181" s="860" t="s">
        <v>1106</v>
      </c>
      <c r="E2181" s="794">
        <v>40862</v>
      </c>
      <c r="F2181" s="189" t="s">
        <v>507</v>
      </c>
      <c r="G2181" s="40"/>
      <c r="H2181" s="628" t="s">
        <v>1092</v>
      </c>
      <c r="I2181" s="256">
        <v>123</v>
      </c>
      <c r="J2181" s="256">
        <v>8620</v>
      </c>
      <c r="K2181" s="614">
        <f t="shared" si="174"/>
        <v>1060260</v>
      </c>
      <c r="L2181" s="52" t="s">
        <v>157</v>
      </c>
      <c r="M2181" s="52" t="s">
        <v>151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94"/>
      <c r="AB2181" s="198"/>
      <c r="AC2181" s="198"/>
      <c r="AD2181" s="198"/>
    </row>
    <row r="2182" spans="1:30" s="831" customFormat="1" ht="15.75" customHeight="1">
      <c r="A2182" s="204" t="str">
        <f>IF(B2182&lt;&gt;"",IF(AND(B2182&gt;=_TM1,B2182&lt;=_TM2,OR(TH!L2182="1111",TH!M2182="1111")),TH!D2182,""),"")</f>
        <v/>
      </c>
      <c r="B2182" s="36">
        <f t="shared" si="172"/>
        <v>11</v>
      </c>
      <c r="C2182" s="191">
        <f t="shared" si="173"/>
        <v>40862</v>
      </c>
      <c r="D2182" s="860" t="s">
        <v>1106</v>
      </c>
      <c r="E2182" s="794">
        <v>40862</v>
      </c>
      <c r="F2182" s="189" t="s">
        <v>387</v>
      </c>
      <c r="G2182" s="40"/>
      <c r="H2182" s="628" t="s">
        <v>1092</v>
      </c>
      <c r="I2182" s="839">
        <v>4</v>
      </c>
      <c r="J2182" s="256">
        <v>4449</v>
      </c>
      <c r="K2182" s="614">
        <f t="shared" si="174"/>
        <v>17796</v>
      </c>
      <c r="L2182" s="52" t="s">
        <v>157</v>
      </c>
      <c r="M2182" s="52" t="s">
        <v>151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>x</v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94"/>
      <c r="AB2182" s="198"/>
      <c r="AC2182" s="198"/>
      <c r="AD2182" s="198"/>
    </row>
    <row r="2183" spans="1:30" s="831" customFormat="1" ht="15.75" customHeight="1">
      <c r="A2183" s="204" t="str">
        <f>IF(B2183&lt;&gt;"",IF(AND(B2183&gt;=_TM1,B2183&lt;=_TM2,OR(TH!L2183="1111",TH!M2183="1111")),TH!D2183,""),"")</f>
        <v/>
      </c>
      <c r="B2183" s="712">
        <f t="shared" si="172"/>
        <v>11</v>
      </c>
      <c r="C2183" s="860">
        <f t="shared" si="173"/>
        <v>40862</v>
      </c>
      <c r="D2183" s="48" t="s">
        <v>1127</v>
      </c>
      <c r="E2183" s="895">
        <v>40862</v>
      </c>
      <c r="F2183" s="49" t="s">
        <v>746</v>
      </c>
      <c r="G2183" s="49"/>
      <c r="H2183" s="868" t="s">
        <v>1092</v>
      </c>
      <c r="I2183" s="254">
        <v>209</v>
      </c>
      <c r="J2183" s="254">
        <v>9549.5034011564458</v>
      </c>
      <c r="K2183" s="716">
        <f t="shared" si="174"/>
        <v>1995846</v>
      </c>
      <c r="L2183" s="52" t="s">
        <v>159</v>
      </c>
      <c r="M2183" s="52" t="s">
        <v>157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94"/>
    </row>
    <row r="2184" spans="1:30" s="831" customFormat="1" ht="15.75" customHeight="1">
      <c r="A2184" s="204" t="str">
        <f>IF(B2184&lt;&gt;"",IF(AND(B2184&gt;=_TM1,B2184&lt;=_TM2,OR(TH!L2184="1111",TH!M2184="1111")),TH!D2184,""),"")</f>
        <v/>
      </c>
      <c r="B2184" s="712">
        <f t="shared" si="172"/>
        <v>11</v>
      </c>
      <c r="C2184" s="860">
        <f t="shared" si="173"/>
        <v>40862</v>
      </c>
      <c r="D2184" s="48" t="s">
        <v>1127</v>
      </c>
      <c r="E2184" s="895">
        <v>40862</v>
      </c>
      <c r="F2184" s="49" t="s">
        <v>1269</v>
      </c>
      <c r="G2184" s="49"/>
      <c r="H2184" s="868" t="s">
        <v>1092</v>
      </c>
      <c r="I2184" s="254">
        <v>141</v>
      </c>
      <c r="J2184" s="254">
        <v>15403.501093646861</v>
      </c>
      <c r="K2184" s="716">
        <f t="shared" si="174"/>
        <v>2171894</v>
      </c>
      <c r="L2184" s="52" t="s">
        <v>159</v>
      </c>
      <c r="M2184" s="52" t="s">
        <v>157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94"/>
    </row>
    <row r="2185" spans="1:30" s="831" customFormat="1" ht="15.75" customHeight="1">
      <c r="A2185" s="204" t="str">
        <f>IF(B2185&lt;&gt;"",IF(AND(B2185&gt;=_TM1,B2185&lt;=_TM2,OR(TH!L2185="1111",TH!M2185="1111")),TH!D2185,""),"")</f>
        <v/>
      </c>
      <c r="B2185" s="712">
        <f t="shared" si="172"/>
        <v>11</v>
      </c>
      <c r="C2185" s="860">
        <f t="shared" si="173"/>
        <v>40862</v>
      </c>
      <c r="D2185" s="48" t="s">
        <v>1127</v>
      </c>
      <c r="E2185" s="895">
        <v>40862</v>
      </c>
      <c r="F2185" s="49" t="s">
        <v>1270</v>
      </c>
      <c r="G2185" s="49"/>
      <c r="H2185" s="868" t="s">
        <v>1092</v>
      </c>
      <c r="I2185" s="254">
        <v>348</v>
      </c>
      <c r="J2185" s="254">
        <v>11437.505312282225</v>
      </c>
      <c r="K2185" s="716">
        <f t="shared" si="174"/>
        <v>3980252</v>
      </c>
      <c r="L2185" s="52" t="s">
        <v>159</v>
      </c>
      <c r="M2185" s="52" t="s">
        <v>157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94"/>
    </row>
    <row r="2186" spans="1:30" s="831" customFormat="1" ht="15.75" customHeight="1">
      <c r="A2186" s="204" t="str">
        <f>IF(B2186&lt;&gt;"",IF(AND(B2186&gt;=_TM1,B2186&lt;=_TM2,OR(TH!L2186="1111",TH!M2186="1111")),TH!D2186,""),"")</f>
        <v/>
      </c>
      <c r="B2186" s="712">
        <f t="shared" si="172"/>
        <v>11</v>
      </c>
      <c r="C2186" s="860">
        <f t="shared" si="173"/>
        <v>40862</v>
      </c>
      <c r="D2186" s="48" t="s">
        <v>1127</v>
      </c>
      <c r="E2186" s="895">
        <v>40862</v>
      </c>
      <c r="F2186" s="49" t="s">
        <v>747</v>
      </c>
      <c r="G2186" s="49"/>
      <c r="H2186" s="868" t="s">
        <v>1092</v>
      </c>
      <c r="I2186" s="254">
        <v>38</v>
      </c>
      <c r="J2186" s="254">
        <v>9918.4818700559699</v>
      </c>
      <c r="K2186" s="716">
        <f t="shared" si="174"/>
        <v>376902</v>
      </c>
      <c r="L2186" s="52" t="s">
        <v>159</v>
      </c>
      <c r="M2186" s="52" t="s">
        <v>157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94"/>
    </row>
    <row r="2187" spans="1:30" s="831" customFormat="1" ht="15.75" customHeight="1">
      <c r="A2187" s="204" t="str">
        <f>IF(B2187&lt;&gt;"",IF(AND(B2187&gt;=_TM1,B2187&lt;=_TM2,OR(TH!L2187="1111",TH!M2187="1111")),TH!D2187,""),"")</f>
        <v/>
      </c>
      <c r="B2187" s="712">
        <f t="shared" si="172"/>
        <v>11</v>
      </c>
      <c r="C2187" s="860">
        <f t="shared" si="173"/>
        <v>40862</v>
      </c>
      <c r="D2187" s="48" t="s">
        <v>1127</v>
      </c>
      <c r="E2187" s="895">
        <v>40862</v>
      </c>
      <c r="F2187" s="192" t="s">
        <v>1271</v>
      </c>
      <c r="G2187" s="49"/>
      <c r="H2187" s="868" t="s">
        <v>1092</v>
      </c>
      <c r="I2187" s="254">
        <v>24</v>
      </c>
      <c r="J2187" s="254">
        <v>8350.9665191787753</v>
      </c>
      <c r="K2187" s="716">
        <f t="shared" si="174"/>
        <v>200423</v>
      </c>
      <c r="L2187" s="52" t="s">
        <v>159</v>
      </c>
      <c r="M2187" s="52" t="s">
        <v>157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94"/>
    </row>
    <row r="2188" spans="1:30" s="831" customFormat="1" ht="15.75" customHeight="1">
      <c r="A2188" s="204" t="str">
        <f>IF(B2188&lt;&gt;"",IF(AND(B2188&gt;=_TM1,B2188&lt;=_TM2,OR(TH!L2188="1111",TH!M2188="1111")),TH!D2188,""),"")</f>
        <v/>
      </c>
      <c r="B2188" s="712">
        <f t="shared" si="172"/>
        <v>11</v>
      </c>
      <c r="C2188" s="860">
        <f t="shared" si="173"/>
        <v>40862</v>
      </c>
      <c r="D2188" s="48" t="s">
        <v>1127</v>
      </c>
      <c r="E2188" s="895">
        <v>40862</v>
      </c>
      <c r="F2188" s="49" t="s">
        <v>1010</v>
      </c>
      <c r="G2188" s="49"/>
      <c r="H2188" s="868" t="s">
        <v>1092</v>
      </c>
      <c r="I2188" s="254">
        <v>1</v>
      </c>
      <c r="J2188" s="254">
        <v>11436.508185845443</v>
      </c>
      <c r="K2188" s="716">
        <f t="shared" si="174"/>
        <v>11437</v>
      </c>
      <c r="L2188" s="52" t="s">
        <v>159</v>
      </c>
      <c r="M2188" s="52" t="s">
        <v>157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94"/>
    </row>
    <row r="2189" spans="1:30" s="831" customFormat="1" ht="15.75" customHeight="1">
      <c r="A2189" s="204" t="str">
        <f>IF(B2189&lt;&gt;"",IF(AND(B2189&gt;=_TM1,B2189&lt;=_TM2,OR(TH!L2189="1111",TH!M2189="1111")),TH!D2189,""),"")</f>
        <v/>
      </c>
      <c r="B2189" s="712">
        <f t="shared" si="172"/>
        <v>11</v>
      </c>
      <c r="C2189" s="860">
        <f t="shared" si="173"/>
        <v>40862</v>
      </c>
      <c r="D2189" s="48" t="s">
        <v>1127</v>
      </c>
      <c r="E2189" s="895">
        <v>40862</v>
      </c>
      <c r="F2189" s="49" t="s">
        <v>749</v>
      </c>
      <c r="G2189" s="49"/>
      <c r="H2189" s="868" t="s">
        <v>1092</v>
      </c>
      <c r="I2189" s="254">
        <v>3</v>
      </c>
      <c r="J2189" s="254">
        <v>10496.174852512109</v>
      </c>
      <c r="K2189" s="716">
        <f t="shared" si="174"/>
        <v>31489</v>
      </c>
      <c r="L2189" s="52" t="s">
        <v>159</v>
      </c>
      <c r="M2189" s="52" t="s">
        <v>157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94"/>
    </row>
    <row r="2190" spans="1:30" s="831" customFormat="1" ht="15.75" customHeight="1">
      <c r="A2190" s="204" t="str">
        <f>IF(B2190&lt;&gt;"",IF(AND(B2190&gt;=_TM1,B2190&lt;=_TM2,OR(TH!L2190="1111",TH!M2190="1111")),TH!D2190,""),"")</f>
        <v/>
      </c>
      <c r="B2190" s="712">
        <f t="shared" si="172"/>
        <v>11</v>
      </c>
      <c r="C2190" s="860">
        <f t="shared" si="173"/>
        <v>40862</v>
      </c>
      <c r="D2190" s="48" t="s">
        <v>1127</v>
      </c>
      <c r="E2190" s="895">
        <v>40862</v>
      </c>
      <c r="F2190" s="49" t="s">
        <v>752</v>
      </c>
      <c r="G2190" s="49"/>
      <c r="H2190" s="868" t="s">
        <v>1092</v>
      </c>
      <c r="I2190" s="254">
        <v>3</v>
      </c>
      <c r="J2190" s="254">
        <v>11117.174852512109</v>
      </c>
      <c r="K2190" s="716">
        <f t="shared" si="174"/>
        <v>33352</v>
      </c>
      <c r="L2190" s="52" t="s">
        <v>159</v>
      </c>
      <c r="M2190" s="52" t="s">
        <v>157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94"/>
    </row>
    <row r="2191" spans="1:30" s="831" customFormat="1" ht="15.75" customHeight="1">
      <c r="A2191" s="204" t="str">
        <f>IF(B2191&lt;&gt;"",IF(AND(B2191&gt;=_TM1,B2191&lt;=_TM2,OR(TH!L2191="1111",TH!M2191="1111")),TH!D2191,""),"")</f>
        <v/>
      </c>
      <c r="B2191" s="712">
        <f t="shared" si="172"/>
        <v>11</v>
      </c>
      <c r="C2191" s="860">
        <f t="shared" si="173"/>
        <v>40862</v>
      </c>
      <c r="D2191" s="48" t="s">
        <v>1127</v>
      </c>
      <c r="E2191" s="895">
        <v>40862</v>
      </c>
      <c r="F2191" s="49" t="s">
        <v>748</v>
      </c>
      <c r="G2191" s="49"/>
      <c r="H2191" s="868" t="s">
        <v>1092</v>
      </c>
      <c r="I2191" s="254">
        <v>5</v>
      </c>
      <c r="J2191" s="254">
        <v>8047.3081858454416</v>
      </c>
      <c r="K2191" s="716">
        <f t="shared" si="174"/>
        <v>40237</v>
      </c>
      <c r="L2191" s="52" t="s">
        <v>159</v>
      </c>
      <c r="M2191" s="52" t="s">
        <v>157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94"/>
    </row>
    <row r="2192" spans="1:30" s="831" customFormat="1" ht="15.75" customHeight="1">
      <c r="A2192" s="204" t="str">
        <f>IF(B2192&lt;&gt;"",IF(AND(B2192&gt;=_TM1,B2192&lt;=_TM2,OR(TH!L2192="1111",TH!M2192="1111")),TH!D2192,""),"")</f>
        <v/>
      </c>
      <c r="B2192" s="712">
        <f t="shared" si="172"/>
        <v>11</v>
      </c>
      <c r="C2192" s="860">
        <f t="shared" si="173"/>
        <v>40862</v>
      </c>
      <c r="D2192" s="48" t="s">
        <v>1128</v>
      </c>
      <c r="E2192" s="895">
        <v>40862</v>
      </c>
      <c r="F2192" s="192" t="s">
        <v>1297</v>
      </c>
      <c r="G2192" s="49"/>
      <c r="H2192" s="868" t="s">
        <v>1092</v>
      </c>
      <c r="I2192" s="254">
        <v>4</v>
      </c>
      <c r="J2192" s="254">
        <v>8047.2581858454423</v>
      </c>
      <c r="K2192" s="716">
        <f t="shared" si="174"/>
        <v>32189</v>
      </c>
      <c r="L2192" s="52" t="s">
        <v>159</v>
      </c>
      <c r="M2192" s="52" t="s">
        <v>157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94"/>
    </row>
    <row r="2193" spans="1:30" s="831" customFormat="1" ht="15.75" customHeight="1">
      <c r="A2193" s="204" t="str">
        <f>IF(B2193&lt;&gt;"",IF(AND(B2193&gt;=_TM1,B2193&lt;=_TM2,OR(TH!L2193="1111",TH!M2193="1111")),TH!D2193,""),"")</f>
        <v/>
      </c>
      <c r="B2193" s="712">
        <f t="shared" si="172"/>
        <v>11</v>
      </c>
      <c r="C2193" s="860">
        <f t="shared" si="173"/>
        <v>40862</v>
      </c>
      <c r="D2193" s="48" t="s">
        <v>1128</v>
      </c>
      <c r="E2193" s="895">
        <v>40862</v>
      </c>
      <c r="F2193" s="870" t="s">
        <v>1031</v>
      </c>
      <c r="G2193" s="49"/>
      <c r="H2193" s="868" t="s">
        <v>1092</v>
      </c>
      <c r="I2193" s="254">
        <v>1</v>
      </c>
      <c r="J2193" s="254">
        <v>5746.5081858454423</v>
      </c>
      <c r="K2193" s="716">
        <f t="shared" si="174"/>
        <v>5747</v>
      </c>
      <c r="L2193" s="52" t="s">
        <v>159</v>
      </c>
      <c r="M2193" s="52" t="s">
        <v>157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94"/>
    </row>
    <row r="2194" spans="1:30" s="831" customFormat="1" ht="15.75" customHeight="1">
      <c r="A2194" s="204" t="str">
        <f>IF(B2194&lt;&gt;"",IF(AND(B2194&gt;=_TM1,B2194&lt;=_TM2,OR(TH!L2194="1111",TH!M2194="1111")),TH!D2194,""),"")</f>
        <v/>
      </c>
      <c r="B2194" s="712">
        <f t="shared" si="172"/>
        <v>11</v>
      </c>
      <c r="C2194" s="860">
        <f t="shared" si="173"/>
        <v>40862</v>
      </c>
      <c r="D2194" s="48" t="s">
        <v>1128</v>
      </c>
      <c r="E2194" s="895">
        <v>40862</v>
      </c>
      <c r="F2194" s="49" t="s">
        <v>757</v>
      </c>
      <c r="G2194" s="49"/>
      <c r="H2194" s="868" t="s">
        <v>1092</v>
      </c>
      <c r="I2194" s="254">
        <v>4</v>
      </c>
      <c r="J2194" s="254">
        <v>5069.7581858454423</v>
      </c>
      <c r="K2194" s="716">
        <f t="shared" si="174"/>
        <v>20279</v>
      </c>
      <c r="L2194" s="52" t="s">
        <v>159</v>
      </c>
      <c r="M2194" s="52" t="s">
        <v>157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94"/>
    </row>
    <row r="2195" spans="1:30" s="831" customFormat="1" ht="15.75" customHeight="1">
      <c r="A2195" s="204" t="str">
        <f>IF(B2195&lt;&gt;"",IF(AND(B2195&gt;=_TM1,B2195&lt;=_TM2,OR(TH!L2195="1111",TH!M2195="1111")),TH!D2195,""),"")</f>
        <v/>
      </c>
      <c r="B2195" s="712">
        <f t="shared" si="172"/>
        <v>11</v>
      </c>
      <c r="C2195" s="860">
        <f t="shared" si="173"/>
        <v>40862</v>
      </c>
      <c r="D2195" s="48" t="s">
        <v>1128</v>
      </c>
      <c r="E2195" s="895">
        <v>40862</v>
      </c>
      <c r="F2195" s="189" t="s">
        <v>924</v>
      </c>
      <c r="G2195" s="49"/>
      <c r="H2195" s="868" t="s">
        <v>1092</v>
      </c>
      <c r="I2195" s="254">
        <v>4</v>
      </c>
      <c r="J2195" s="254">
        <v>5747.2581858454423</v>
      </c>
      <c r="K2195" s="716">
        <f t="shared" si="174"/>
        <v>22989</v>
      </c>
      <c r="L2195" s="52" t="s">
        <v>159</v>
      </c>
      <c r="M2195" s="52" t="s">
        <v>157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94"/>
    </row>
    <row r="2196" spans="1:30" s="831" customFormat="1" ht="15.75" customHeight="1">
      <c r="A2196" s="204" t="str">
        <f>IF(B2196&lt;&gt;"",IF(AND(B2196&gt;=_TM1,B2196&lt;=_TM2,OR(TH!L2196="1111",TH!M2196="1111")),TH!D2196,""),"")</f>
        <v/>
      </c>
      <c r="B2196" s="712">
        <f t="shared" si="172"/>
        <v>11</v>
      </c>
      <c r="C2196" s="860">
        <f t="shared" si="173"/>
        <v>40862</v>
      </c>
      <c r="D2196" s="48" t="s">
        <v>1128</v>
      </c>
      <c r="E2196" s="895">
        <v>40862</v>
      </c>
      <c r="F2196" s="49" t="s">
        <v>758</v>
      </c>
      <c r="G2196" s="49"/>
      <c r="H2196" s="868" t="s">
        <v>1092</v>
      </c>
      <c r="I2196" s="254">
        <v>2</v>
      </c>
      <c r="J2196" s="254">
        <v>5747.0081858454423</v>
      </c>
      <c r="K2196" s="716">
        <f t="shared" si="174"/>
        <v>11494</v>
      </c>
      <c r="L2196" s="52" t="s">
        <v>159</v>
      </c>
      <c r="M2196" s="52" t="s">
        <v>157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94"/>
    </row>
    <row r="2197" spans="1:30" s="831" customFormat="1" ht="15.75" customHeight="1">
      <c r="A2197" s="204" t="str">
        <f>IF(B2197&lt;&gt;"",IF(AND(B2197&gt;=_TM1,B2197&lt;=_TM2,OR(TH!L2197="1111",TH!M2197="1111")),TH!D2197,""),"")</f>
        <v/>
      </c>
      <c r="B2197" s="712">
        <f t="shared" si="172"/>
        <v>11</v>
      </c>
      <c r="C2197" s="860">
        <f t="shared" si="173"/>
        <v>40862</v>
      </c>
      <c r="D2197" s="48" t="s">
        <v>1128</v>
      </c>
      <c r="E2197" s="895">
        <v>40862</v>
      </c>
      <c r="F2197" s="192" t="s">
        <v>926</v>
      </c>
      <c r="G2197" s="49"/>
      <c r="H2197" s="868" t="s">
        <v>1092</v>
      </c>
      <c r="I2197" s="254">
        <v>221</v>
      </c>
      <c r="J2197" s="254">
        <v>8211.8430274744023</v>
      </c>
      <c r="K2197" s="716">
        <f t="shared" si="174"/>
        <v>1814817</v>
      </c>
      <c r="L2197" s="52" t="s">
        <v>159</v>
      </c>
      <c r="M2197" s="52" t="s">
        <v>157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94"/>
    </row>
    <row r="2198" spans="1:30" ht="15.75" customHeight="1">
      <c r="A2198" s="204" t="str">
        <f>IF(B2198&lt;&gt;"",IF(AND(B2198&gt;=_TM1,B2198&lt;=_TM2,OR(TH!L2198="1111",TH!M2198="1111")),TH!D2198,""),"")</f>
        <v/>
      </c>
      <c r="B2198" s="712">
        <f t="shared" si="172"/>
        <v>11</v>
      </c>
      <c r="C2198" s="860">
        <f t="shared" si="173"/>
        <v>40862</v>
      </c>
      <c r="D2198" s="48" t="s">
        <v>1128</v>
      </c>
      <c r="E2198" s="895">
        <v>40862</v>
      </c>
      <c r="F2198" s="49" t="s">
        <v>759</v>
      </c>
      <c r="G2198" s="49"/>
      <c r="H2198" s="868" t="s">
        <v>1092</v>
      </c>
      <c r="I2198" s="254">
        <v>62</v>
      </c>
      <c r="J2198" s="254">
        <v>14113.992056813184</v>
      </c>
      <c r="K2198" s="716">
        <f t="shared" si="174"/>
        <v>875068</v>
      </c>
      <c r="L2198" s="52" t="s">
        <v>159</v>
      </c>
      <c r="M2198" s="52" t="s">
        <v>157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94"/>
      <c r="AB2198" s="831"/>
      <c r="AC2198" s="831"/>
      <c r="AD2198" s="831"/>
    </row>
    <row r="2199" spans="1:30" ht="15.75" customHeight="1">
      <c r="A2199" s="204" t="str">
        <f>IF(B2199&lt;&gt;"",IF(AND(B2199&gt;=_TM1,B2199&lt;=_TM2,OR(TH!L2199="1111",TH!M2199="1111")),TH!D2199,""),"")</f>
        <v/>
      </c>
      <c r="B2199" s="712">
        <f t="shared" si="172"/>
        <v>11</v>
      </c>
      <c r="C2199" s="860">
        <f t="shared" si="173"/>
        <v>40862</v>
      </c>
      <c r="D2199" s="48" t="s">
        <v>1128</v>
      </c>
      <c r="E2199" s="895">
        <v>40862</v>
      </c>
      <c r="F2199" s="192" t="s">
        <v>922</v>
      </c>
      <c r="G2199" s="49"/>
      <c r="H2199" s="868" t="s">
        <v>1092</v>
      </c>
      <c r="I2199" s="254">
        <v>139</v>
      </c>
      <c r="J2199" s="254">
        <v>7422.5009916008385</v>
      </c>
      <c r="K2199" s="716">
        <f t="shared" si="174"/>
        <v>1031728</v>
      </c>
      <c r="L2199" s="52" t="s">
        <v>159</v>
      </c>
      <c r="M2199" s="52" t="s">
        <v>157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94"/>
      <c r="AB2199" s="831"/>
      <c r="AC2199" s="831"/>
      <c r="AD2199" s="831"/>
    </row>
    <row r="2200" spans="1:30" ht="15.75" customHeight="1">
      <c r="A2200" s="204" t="str">
        <f>IF(B2200&lt;&gt;"",IF(AND(B2200&gt;=_TM1,B2200&lt;=_TM2,OR(TH!L2200="1111",TH!M2200="1111")),TH!D2200,""),"")</f>
        <v/>
      </c>
      <c r="B2200" s="712">
        <f t="shared" si="172"/>
        <v>11</v>
      </c>
      <c r="C2200" s="860">
        <f t="shared" si="173"/>
        <v>40862</v>
      </c>
      <c r="D2200" s="48" t="s">
        <v>1128</v>
      </c>
      <c r="E2200" s="895">
        <v>40862</v>
      </c>
      <c r="F2200" s="49" t="s">
        <v>746</v>
      </c>
      <c r="G2200" s="49"/>
      <c r="H2200" s="868" t="s">
        <v>1092</v>
      </c>
      <c r="I2200" s="254">
        <v>312</v>
      </c>
      <c r="J2200" s="254">
        <v>9549.50498071724</v>
      </c>
      <c r="K2200" s="716">
        <f t="shared" si="174"/>
        <v>2979446</v>
      </c>
      <c r="L2200" s="52" t="s">
        <v>159</v>
      </c>
      <c r="M2200" s="52" t="s">
        <v>157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94"/>
      <c r="AB2200" s="831"/>
      <c r="AC2200" s="831"/>
      <c r="AD2200" s="831"/>
    </row>
    <row r="2201" spans="1:30" ht="15.75" customHeight="1">
      <c r="A2201" s="204" t="str">
        <f>IF(B2201&lt;&gt;"",IF(AND(B2201&gt;=_TM1,B2201&lt;=_TM2,OR(TH!L2201="1111",TH!M2201="1111")),TH!D2201,""),"")</f>
        <v/>
      </c>
      <c r="B2201" s="712">
        <f t="shared" ref="B2201:B2264" si="175">IF(C2201&lt;&gt;"",MONTH(C2201),"")</f>
        <v>11</v>
      </c>
      <c r="C2201" s="860">
        <f t="shared" si="173"/>
        <v>40862</v>
      </c>
      <c r="D2201" s="48" t="s">
        <v>1129</v>
      </c>
      <c r="E2201" s="895">
        <v>40862</v>
      </c>
      <c r="F2201" s="49" t="s">
        <v>1298</v>
      </c>
      <c r="G2201" s="49"/>
      <c r="H2201" s="868" t="s">
        <v>1092</v>
      </c>
      <c r="I2201" s="254">
        <v>12</v>
      </c>
      <c r="J2201" s="254">
        <v>11642.424852512109</v>
      </c>
      <c r="K2201" s="716">
        <f t="shared" si="174"/>
        <v>139709</v>
      </c>
      <c r="L2201" s="52" t="s">
        <v>159</v>
      </c>
      <c r="M2201" s="52" t="s">
        <v>157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94"/>
      <c r="AB2201" s="831"/>
      <c r="AC2201" s="831"/>
      <c r="AD2201" s="831"/>
    </row>
    <row r="2202" spans="1:30" ht="15.75" customHeight="1">
      <c r="A2202" s="204" t="str">
        <f>IF(B2202&lt;&gt;"",IF(AND(B2202&gt;=_TM1,B2202&lt;=_TM2,OR(TH!L2202="1111",TH!M2202="1111")),TH!D2202,""),"")</f>
        <v/>
      </c>
      <c r="B2202" s="712">
        <f t="shared" si="175"/>
        <v>11</v>
      </c>
      <c r="C2202" s="860">
        <f t="shared" si="173"/>
        <v>40862</v>
      </c>
      <c r="D2202" s="48" t="s">
        <v>1129</v>
      </c>
      <c r="E2202" s="895">
        <v>40862</v>
      </c>
      <c r="F2202" s="49" t="s">
        <v>750</v>
      </c>
      <c r="G2202" s="49"/>
      <c r="H2202" s="868" t="s">
        <v>1092</v>
      </c>
      <c r="I2202" s="254">
        <v>206</v>
      </c>
      <c r="J2202" s="254">
        <v>13596.003331476513</v>
      </c>
      <c r="K2202" s="716">
        <f t="shared" si="174"/>
        <v>2800777</v>
      </c>
      <c r="L2202" s="52" t="s">
        <v>159</v>
      </c>
      <c r="M2202" s="52" t="s">
        <v>157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94"/>
      <c r="AB2202" s="831"/>
      <c r="AC2202" s="831"/>
      <c r="AD2202" s="831"/>
    </row>
    <row r="2203" spans="1:30" ht="15.75" customHeight="1">
      <c r="A2203" s="204" t="str">
        <f>IF(B2203&lt;&gt;"",IF(AND(B2203&gt;=_TM1,B2203&lt;=_TM2,OR(TH!L2203="1111",TH!M2203="1111")),TH!D2203,""),"")</f>
        <v/>
      </c>
      <c r="B2203" s="712">
        <f t="shared" si="175"/>
        <v>11</v>
      </c>
      <c r="C2203" s="860">
        <f t="shared" si="173"/>
        <v>40862</v>
      </c>
      <c r="D2203" s="48" t="s">
        <v>1129</v>
      </c>
      <c r="E2203" s="895">
        <v>40862</v>
      </c>
      <c r="F2203" s="49" t="s">
        <v>1299</v>
      </c>
      <c r="G2203" s="49"/>
      <c r="H2203" s="868" t="s">
        <v>1092</v>
      </c>
      <c r="I2203" s="254">
        <v>45</v>
      </c>
      <c r="J2203" s="254">
        <v>15252.485963623221</v>
      </c>
      <c r="K2203" s="716">
        <f t="shared" si="174"/>
        <v>686362</v>
      </c>
      <c r="L2203" s="52" t="s">
        <v>159</v>
      </c>
      <c r="M2203" s="52" t="s">
        <v>157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94"/>
      <c r="AB2203" s="831"/>
      <c r="AC2203" s="831"/>
      <c r="AD2203" s="831"/>
    </row>
    <row r="2204" spans="1:30" ht="15.75" customHeight="1">
      <c r="A2204" s="204" t="str">
        <f>IF(B2204&lt;&gt;"",IF(AND(B2204&gt;=_TM1,B2204&lt;=_TM2,OR(TH!L2204="1111",TH!M2204="1111")),TH!D2204,""),"")</f>
        <v/>
      </c>
      <c r="B2204" s="712">
        <f t="shared" si="175"/>
        <v>11</v>
      </c>
      <c r="C2204" s="860">
        <f t="shared" si="173"/>
        <v>40862</v>
      </c>
      <c r="D2204" s="48" t="s">
        <v>1129</v>
      </c>
      <c r="E2204" s="895">
        <v>40862</v>
      </c>
      <c r="F2204" s="49" t="s">
        <v>1300</v>
      </c>
      <c r="G2204" s="49"/>
      <c r="H2204" s="868" t="s">
        <v>1092</v>
      </c>
      <c r="I2204" s="254">
        <v>63</v>
      </c>
      <c r="J2204" s="254">
        <v>10788.49231282957</v>
      </c>
      <c r="K2204" s="716">
        <f t="shared" si="174"/>
        <v>679675</v>
      </c>
      <c r="L2204" s="52" t="s">
        <v>159</v>
      </c>
      <c r="M2204" s="52" t="s">
        <v>157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94"/>
      <c r="AB2204" s="831"/>
      <c r="AC2204" s="831"/>
      <c r="AD2204" s="831"/>
    </row>
    <row r="2205" spans="1:30" ht="15.75" customHeight="1">
      <c r="A2205" s="204" t="str">
        <f>IF(B2205&lt;&gt;"",IF(AND(B2205&gt;=_TM1,B2205&lt;=_TM2,OR(TH!L2205="1111",TH!M2205="1111")),TH!D2205,""),"")</f>
        <v/>
      </c>
      <c r="B2205" s="712">
        <f t="shared" si="175"/>
        <v>11</v>
      </c>
      <c r="C2205" s="860">
        <f t="shared" si="173"/>
        <v>40862</v>
      </c>
      <c r="D2205" s="48" t="s">
        <v>1129</v>
      </c>
      <c r="E2205" s="895">
        <v>40862</v>
      </c>
      <c r="F2205" s="49" t="s">
        <v>1301</v>
      </c>
      <c r="G2205" s="49"/>
      <c r="H2205" s="868" t="s">
        <v>1092</v>
      </c>
      <c r="I2205" s="254">
        <v>60</v>
      </c>
      <c r="J2205" s="254">
        <v>11437.491519178777</v>
      </c>
      <c r="K2205" s="716">
        <f t="shared" si="174"/>
        <v>686249</v>
      </c>
      <c r="L2205" s="52" t="s">
        <v>159</v>
      </c>
      <c r="M2205" s="52" t="s">
        <v>157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94"/>
      <c r="AB2205" s="831"/>
      <c r="AC2205" s="831"/>
      <c r="AD2205" s="831"/>
    </row>
    <row r="2206" spans="1:30" ht="15.75" customHeight="1">
      <c r="A2206" s="204" t="str">
        <f>IF(B2206&lt;&gt;"",IF(AND(B2206&gt;=_TM1,B2206&lt;=_TM2,OR(TH!L2206="1111",TH!M2206="1111")),TH!D2206,""),"")</f>
        <v/>
      </c>
      <c r="B2206" s="712">
        <f t="shared" si="175"/>
        <v>11</v>
      </c>
      <c r="C2206" s="860">
        <f t="shared" ref="C2206:C2237" si="176">E2206</f>
        <v>40862</v>
      </c>
      <c r="D2206" s="48" t="s">
        <v>1129</v>
      </c>
      <c r="E2206" s="895">
        <v>40862</v>
      </c>
      <c r="F2206" s="49" t="s">
        <v>1302</v>
      </c>
      <c r="G2206" s="49"/>
      <c r="H2206" s="868" t="s">
        <v>1092</v>
      </c>
      <c r="I2206" s="254">
        <v>61</v>
      </c>
      <c r="J2206" s="254">
        <v>9549.4917924028196</v>
      </c>
      <c r="K2206" s="716">
        <f t="shared" ref="K2206:K2237" si="177">ROUND(I2206*J2206,0)</f>
        <v>582519</v>
      </c>
      <c r="L2206" s="52" t="s">
        <v>159</v>
      </c>
      <c r="M2206" s="52" t="s">
        <v>157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94"/>
      <c r="AB2206" s="831"/>
      <c r="AC2206" s="831"/>
      <c r="AD2206" s="831"/>
    </row>
    <row r="2207" spans="1:30" ht="15.75" customHeight="1">
      <c r="A2207" s="204" t="str">
        <f>IF(B2207&lt;&gt;"",IF(AND(B2207&gt;=_TM1,B2207&lt;=_TM2,OR(TH!L2207="1111",TH!M2207="1111")),TH!D2207,""),"")</f>
        <v/>
      </c>
      <c r="B2207" s="712">
        <f t="shared" si="175"/>
        <v>11</v>
      </c>
      <c r="C2207" s="860">
        <f t="shared" si="176"/>
        <v>40862</v>
      </c>
      <c r="D2207" s="48" t="s">
        <v>1129</v>
      </c>
      <c r="E2207" s="895">
        <v>40862</v>
      </c>
      <c r="F2207" s="49" t="s">
        <v>1303</v>
      </c>
      <c r="G2207" s="49"/>
      <c r="H2207" s="868" t="s">
        <v>1092</v>
      </c>
      <c r="I2207" s="254">
        <v>104</v>
      </c>
      <c r="J2207" s="254">
        <v>18291.796647383904</v>
      </c>
      <c r="K2207" s="716">
        <f t="shared" si="177"/>
        <v>1902347</v>
      </c>
      <c r="L2207" s="52" t="s">
        <v>159</v>
      </c>
      <c r="M2207" s="52" t="s">
        <v>157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94"/>
      <c r="AB2207" s="831"/>
      <c r="AC2207" s="831"/>
      <c r="AD2207" s="831"/>
    </row>
    <row r="2208" spans="1:30" ht="15.75" customHeight="1">
      <c r="A2208" s="204" t="str">
        <f>IF(B2208&lt;&gt;"",IF(AND(B2208&gt;=_TM1,B2208&lt;=_TM2,OR(TH!L2208="1111",TH!M2208="1111")),TH!D2208,""),"")</f>
        <v/>
      </c>
      <c r="B2208" s="712">
        <f t="shared" si="175"/>
        <v>11</v>
      </c>
      <c r="C2208" s="860">
        <f t="shared" si="176"/>
        <v>40862</v>
      </c>
      <c r="D2208" s="48" t="s">
        <v>1129</v>
      </c>
      <c r="E2208" s="895">
        <v>40862</v>
      </c>
      <c r="F2208" s="49" t="s">
        <v>1304</v>
      </c>
      <c r="G2208" s="49"/>
      <c r="H2208" s="868" t="s">
        <v>1092</v>
      </c>
      <c r="I2208" s="254">
        <v>152</v>
      </c>
      <c r="J2208" s="254">
        <v>8119.251606898074</v>
      </c>
      <c r="K2208" s="716">
        <f t="shared" si="177"/>
        <v>1234126</v>
      </c>
      <c r="L2208" s="52" t="s">
        <v>159</v>
      </c>
      <c r="M2208" s="52" t="s">
        <v>157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94"/>
      <c r="AB2208" s="831"/>
      <c r="AC2208" s="831"/>
      <c r="AD2208" s="831"/>
    </row>
    <row r="2209" spans="1:30" ht="15.75" customHeight="1">
      <c r="A2209" s="204" t="str">
        <f>IF(B2209&lt;&gt;"",IF(AND(B2209&gt;=_TM1,B2209&lt;=_TM2,OR(TH!L2209="1111",TH!M2209="1111")),TH!D2209,""),"")</f>
        <v/>
      </c>
      <c r="B2209" s="712">
        <f t="shared" si="175"/>
        <v>11</v>
      </c>
      <c r="C2209" s="860">
        <f t="shared" si="176"/>
        <v>40862</v>
      </c>
      <c r="D2209" s="48" t="s">
        <v>1129</v>
      </c>
      <c r="E2209" s="895">
        <v>40862</v>
      </c>
      <c r="F2209" s="49" t="s">
        <v>1305</v>
      </c>
      <c r="G2209" s="49"/>
      <c r="H2209" s="868" t="s">
        <v>1092</v>
      </c>
      <c r="I2209" s="254">
        <v>235</v>
      </c>
      <c r="J2209" s="254">
        <v>9584.6145688241668</v>
      </c>
      <c r="K2209" s="716">
        <f t="shared" si="177"/>
        <v>2252384</v>
      </c>
      <c r="L2209" s="52" t="s">
        <v>159</v>
      </c>
      <c r="M2209" s="52" t="s">
        <v>157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94"/>
      <c r="AB2209" s="831"/>
      <c r="AC2209" s="831"/>
      <c r="AD2209" s="831"/>
    </row>
    <row r="2210" spans="1:30" ht="15.75" customHeight="1">
      <c r="A2210" s="204" t="str">
        <f>IF(B2210&lt;&gt;"",IF(AND(B2210&gt;=_TM1,B2210&lt;=_TM2,OR(TH!L2210="1111",TH!M2210="1111")),TH!D2210,""),"")</f>
        <v/>
      </c>
      <c r="B2210" s="36">
        <f t="shared" si="175"/>
        <v>11</v>
      </c>
      <c r="C2210" s="191">
        <f t="shared" si="176"/>
        <v>40862</v>
      </c>
      <c r="D2210" s="37" t="s">
        <v>969</v>
      </c>
      <c r="E2210" s="794">
        <v>40862</v>
      </c>
      <c r="F2210" s="192" t="s">
        <v>746</v>
      </c>
      <c r="G2210" s="498" t="s">
        <v>1296</v>
      </c>
      <c r="H2210" s="193" t="s">
        <v>733</v>
      </c>
      <c r="I2210" s="256">
        <v>209</v>
      </c>
      <c r="J2210" s="256">
        <v>9549.5034011564458</v>
      </c>
      <c r="K2210" s="866">
        <f t="shared" si="177"/>
        <v>1995846</v>
      </c>
      <c r="L2210" s="854" t="s">
        <v>165</v>
      </c>
      <c r="M2210" s="854" t="s">
        <v>159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94"/>
    </row>
    <row r="2211" spans="1:30" ht="15.75" customHeight="1">
      <c r="A2211" s="204" t="str">
        <f>IF(B2211&lt;&gt;"",IF(AND(B2211&gt;=_TM1,B2211&lt;=_TM2,OR(TH!L2211="1111",TH!M2211="1111")),TH!D2211,""),"")</f>
        <v/>
      </c>
      <c r="B2211" s="36">
        <f t="shared" si="175"/>
        <v>11</v>
      </c>
      <c r="C2211" s="191">
        <f t="shared" si="176"/>
        <v>40862</v>
      </c>
      <c r="D2211" s="37" t="s">
        <v>969</v>
      </c>
      <c r="E2211" s="794">
        <v>40862</v>
      </c>
      <c r="F2211" s="192" t="s">
        <v>1269</v>
      </c>
      <c r="G2211" s="498" t="s">
        <v>1296</v>
      </c>
      <c r="H2211" s="193" t="s">
        <v>733</v>
      </c>
      <c r="I2211" s="256">
        <v>141</v>
      </c>
      <c r="J2211" s="256">
        <v>15403.501093646861</v>
      </c>
      <c r="K2211" s="866">
        <f t="shared" si="177"/>
        <v>2171894</v>
      </c>
      <c r="L2211" s="854" t="s">
        <v>165</v>
      </c>
      <c r="M2211" s="854" t="s">
        <v>159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94"/>
    </row>
    <row r="2212" spans="1:30" ht="15.75" customHeight="1">
      <c r="A2212" s="204" t="str">
        <f>IF(B2212&lt;&gt;"",IF(AND(B2212&gt;=_TM1,B2212&lt;=_TM2,OR(TH!L2212="1111",TH!M2212="1111")),TH!D2212,""),"")</f>
        <v/>
      </c>
      <c r="B2212" s="36">
        <f t="shared" si="175"/>
        <v>11</v>
      </c>
      <c r="C2212" s="191">
        <f t="shared" si="176"/>
        <v>40862</v>
      </c>
      <c r="D2212" s="37" t="s">
        <v>969</v>
      </c>
      <c r="E2212" s="794">
        <v>40862</v>
      </c>
      <c r="F2212" s="192" t="s">
        <v>1270</v>
      </c>
      <c r="G2212" s="498" t="s">
        <v>1296</v>
      </c>
      <c r="H2212" s="193" t="s">
        <v>733</v>
      </c>
      <c r="I2212" s="256">
        <v>348</v>
      </c>
      <c r="J2212" s="256">
        <v>11437.505312282225</v>
      </c>
      <c r="K2212" s="866">
        <f t="shared" si="177"/>
        <v>3980252</v>
      </c>
      <c r="L2212" s="854" t="s">
        <v>165</v>
      </c>
      <c r="M2212" s="854" t="s">
        <v>159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94"/>
    </row>
    <row r="2213" spans="1:30" ht="15.75" customHeight="1">
      <c r="A2213" s="204" t="str">
        <f>IF(B2213&lt;&gt;"",IF(AND(B2213&gt;=_TM1,B2213&lt;=_TM2,OR(TH!L2213="1111",TH!M2213="1111")),TH!D2213,""),"")</f>
        <v/>
      </c>
      <c r="B2213" s="36">
        <f t="shared" si="175"/>
        <v>11</v>
      </c>
      <c r="C2213" s="191">
        <f t="shared" si="176"/>
        <v>40862</v>
      </c>
      <c r="D2213" s="37" t="s">
        <v>969</v>
      </c>
      <c r="E2213" s="794">
        <v>40862</v>
      </c>
      <c r="F2213" s="192" t="s">
        <v>747</v>
      </c>
      <c r="G2213" s="498" t="s">
        <v>1296</v>
      </c>
      <c r="H2213" s="193" t="s">
        <v>733</v>
      </c>
      <c r="I2213" s="256">
        <v>38</v>
      </c>
      <c r="J2213" s="256">
        <v>9918.4818700559699</v>
      </c>
      <c r="K2213" s="866">
        <f t="shared" si="177"/>
        <v>376902</v>
      </c>
      <c r="L2213" s="854" t="s">
        <v>165</v>
      </c>
      <c r="M2213" s="854" t="s">
        <v>159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94"/>
    </row>
    <row r="2214" spans="1:30" ht="15.75" customHeight="1">
      <c r="A2214" s="204" t="str">
        <f>IF(B2214&lt;&gt;"",IF(AND(B2214&gt;=_TM1,B2214&lt;=_TM2,OR(TH!L2214="1111",TH!M2214="1111")),TH!D2214,""),"")</f>
        <v/>
      </c>
      <c r="B2214" s="36">
        <f t="shared" si="175"/>
        <v>11</v>
      </c>
      <c r="C2214" s="191">
        <f t="shared" si="176"/>
        <v>40862</v>
      </c>
      <c r="D2214" s="37" t="s">
        <v>969</v>
      </c>
      <c r="E2214" s="794">
        <v>40862</v>
      </c>
      <c r="F2214" s="192" t="s">
        <v>1271</v>
      </c>
      <c r="G2214" s="498" t="s">
        <v>1296</v>
      </c>
      <c r="H2214" s="193" t="s">
        <v>733</v>
      </c>
      <c r="I2214" s="256">
        <v>24</v>
      </c>
      <c r="J2214" s="256">
        <v>8350.9665191787753</v>
      </c>
      <c r="K2214" s="866">
        <f t="shared" si="177"/>
        <v>200423</v>
      </c>
      <c r="L2214" s="854" t="s">
        <v>165</v>
      </c>
      <c r="M2214" s="854" t="s">
        <v>159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94"/>
    </row>
    <row r="2215" spans="1:30" ht="15.75" customHeight="1">
      <c r="A2215" s="204" t="str">
        <f>IF(B2215&lt;&gt;"",IF(AND(B2215&gt;=_TM1,B2215&lt;=_TM2,OR(TH!L2215="1111",TH!M2215="1111")),TH!D2215,""),"")</f>
        <v/>
      </c>
      <c r="B2215" s="36">
        <f t="shared" si="175"/>
        <v>11</v>
      </c>
      <c r="C2215" s="191">
        <f t="shared" si="176"/>
        <v>40862</v>
      </c>
      <c r="D2215" s="37" t="s">
        <v>969</v>
      </c>
      <c r="E2215" s="794">
        <v>40862</v>
      </c>
      <c r="F2215" s="192" t="s">
        <v>1010</v>
      </c>
      <c r="G2215" s="498" t="s">
        <v>1296</v>
      </c>
      <c r="H2215" s="193" t="s">
        <v>733</v>
      </c>
      <c r="I2215" s="256">
        <v>1</v>
      </c>
      <c r="J2215" s="256">
        <v>11436.508185845443</v>
      </c>
      <c r="K2215" s="866">
        <f t="shared" si="177"/>
        <v>11437</v>
      </c>
      <c r="L2215" s="854" t="s">
        <v>165</v>
      </c>
      <c r="M2215" s="854" t="s">
        <v>159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94"/>
    </row>
    <row r="2216" spans="1:30" ht="15.75" customHeight="1">
      <c r="A2216" s="204" t="str">
        <f>IF(B2216&lt;&gt;"",IF(AND(B2216&gt;=_TM1,B2216&lt;=_TM2,OR(TH!L2216="1111",TH!M2216="1111")),TH!D2216,""),"")</f>
        <v/>
      </c>
      <c r="B2216" s="36">
        <f t="shared" si="175"/>
        <v>11</v>
      </c>
      <c r="C2216" s="191">
        <f t="shared" si="176"/>
        <v>40862</v>
      </c>
      <c r="D2216" s="37" t="s">
        <v>969</v>
      </c>
      <c r="E2216" s="794">
        <v>40862</v>
      </c>
      <c r="F2216" s="192" t="s">
        <v>749</v>
      </c>
      <c r="G2216" s="498" t="s">
        <v>1296</v>
      </c>
      <c r="H2216" s="193" t="s">
        <v>733</v>
      </c>
      <c r="I2216" s="256">
        <v>3</v>
      </c>
      <c r="J2216" s="256">
        <v>10496.174852512109</v>
      </c>
      <c r="K2216" s="866">
        <f t="shared" si="177"/>
        <v>31489</v>
      </c>
      <c r="L2216" s="854" t="s">
        <v>165</v>
      </c>
      <c r="M2216" s="854" t="s">
        <v>159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94"/>
    </row>
    <row r="2217" spans="1:30" ht="15.75" customHeight="1">
      <c r="A2217" s="204" t="str">
        <f>IF(B2217&lt;&gt;"",IF(AND(B2217&gt;=_TM1,B2217&lt;=_TM2,OR(TH!L2217="1111",TH!M2217="1111")),TH!D2217,""),"")</f>
        <v/>
      </c>
      <c r="B2217" s="36">
        <f t="shared" si="175"/>
        <v>11</v>
      </c>
      <c r="C2217" s="191">
        <f t="shared" si="176"/>
        <v>40862</v>
      </c>
      <c r="D2217" s="37" t="s">
        <v>969</v>
      </c>
      <c r="E2217" s="794">
        <v>40862</v>
      </c>
      <c r="F2217" s="192" t="s">
        <v>752</v>
      </c>
      <c r="G2217" s="498" t="s">
        <v>1296</v>
      </c>
      <c r="H2217" s="193" t="s">
        <v>733</v>
      </c>
      <c r="I2217" s="256">
        <v>3</v>
      </c>
      <c r="J2217" s="256">
        <v>11117.174852512109</v>
      </c>
      <c r="K2217" s="866">
        <f t="shared" si="177"/>
        <v>33352</v>
      </c>
      <c r="L2217" s="854" t="s">
        <v>165</v>
      </c>
      <c r="M2217" s="854" t="s">
        <v>159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94"/>
    </row>
    <row r="2218" spans="1:30" ht="15.75" customHeight="1">
      <c r="A2218" s="204" t="str">
        <f>IF(B2218&lt;&gt;"",IF(AND(B2218&gt;=_TM1,B2218&lt;=_TM2,OR(TH!L2218="1111",TH!M2218="1111")),TH!D2218,""),"")</f>
        <v/>
      </c>
      <c r="B2218" s="36">
        <f t="shared" si="175"/>
        <v>11</v>
      </c>
      <c r="C2218" s="191">
        <f t="shared" si="176"/>
        <v>40862</v>
      </c>
      <c r="D2218" s="37" t="s">
        <v>969</v>
      </c>
      <c r="E2218" s="794">
        <v>40862</v>
      </c>
      <c r="F2218" s="192" t="s">
        <v>748</v>
      </c>
      <c r="G2218" s="498" t="s">
        <v>1296</v>
      </c>
      <c r="H2218" s="193" t="s">
        <v>733</v>
      </c>
      <c r="I2218" s="256">
        <v>5</v>
      </c>
      <c r="J2218" s="256">
        <v>8047.3081858454416</v>
      </c>
      <c r="K2218" s="866">
        <f t="shared" si="177"/>
        <v>40237</v>
      </c>
      <c r="L2218" s="854" t="s">
        <v>165</v>
      </c>
      <c r="M2218" s="854" t="s">
        <v>159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94"/>
    </row>
    <row r="2219" spans="1:30" ht="15.75" customHeight="1">
      <c r="A2219" s="204" t="str">
        <f>IF(B2219&lt;&gt;"",IF(AND(B2219&gt;=_TM1,B2219&lt;=_TM2,OR(TH!L2219="1111",TH!M2219="1111")),TH!D2219,""),"")</f>
        <v/>
      </c>
      <c r="B2219" s="36">
        <f t="shared" si="175"/>
        <v>11</v>
      </c>
      <c r="C2219" s="191">
        <f t="shared" si="176"/>
        <v>40862</v>
      </c>
      <c r="D2219" s="37" t="s">
        <v>969</v>
      </c>
      <c r="E2219" s="794">
        <v>40862</v>
      </c>
      <c r="F2219" s="192" t="s">
        <v>1297</v>
      </c>
      <c r="G2219" s="498" t="s">
        <v>1296</v>
      </c>
      <c r="H2219" s="193" t="s">
        <v>733</v>
      </c>
      <c r="I2219" s="256">
        <v>4</v>
      </c>
      <c r="J2219" s="256">
        <v>8047.2581858454423</v>
      </c>
      <c r="K2219" s="866">
        <f t="shared" si="177"/>
        <v>32189</v>
      </c>
      <c r="L2219" s="854" t="s">
        <v>165</v>
      </c>
      <c r="M2219" s="854" t="s">
        <v>159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94"/>
    </row>
    <row r="2220" spans="1:30" ht="15.75" customHeight="1">
      <c r="A2220" s="204" t="str">
        <f>IF(B2220&lt;&gt;"",IF(AND(B2220&gt;=_TM1,B2220&lt;=_TM2,OR(TH!L2220="1111",TH!M2220="1111")),TH!D2220,""),"")</f>
        <v/>
      </c>
      <c r="B2220" s="36">
        <f t="shared" si="175"/>
        <v>11</v>
      </c>
      <c r="C2220" s="191">
        <f t="shared" si="176"/>
        <v>40862</v>
      </c>
      <c r="D2220" s="37" t="s">
        <v>969</v>
      </c>
      <c r="E2220" s="794">
        <v>40862</v>
      </c>
      <c r="F2220" s="192" t="s">
        <v>1031</v>
      </c>
      <c r="G2220" s="498" t="s">
        <v>1296</v>
      </c>
      <c r="H2220" s="193" t="s">
        <v>733</v>
      </c>
      <c r="I2220" s="256">
        <v>1</v>
      </c>
      <c r="J2220" s="256">
        <v>5746.5081858454423</v>
      </c>
      <c r="K2220" s="866">
        <f t="shared" si="177"/>
        <v>5747</v>
      </c>
      <c r="L2220" s="854" t="s">
        <v>165</v>
      </c>
      <c r="M2220" s="854" t="s">
        <v>159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94"/>
    </row>
    <row r="2221" spans="1:30" ht="15.75" customHeight="1">
      <c r="A2221" s="204" t="str">
        <f>IF(B2221&lt;&gt;"",IF(AND(B2221&gt;=_TM1,B2221&lt;=_TM2,OR(TH!L2221="1111",TH!M2221="1111")),TH!D2221,""),"")</f>
        <v/>
      </c>
      <c r="B2221" s="36">
        <f t="shared" si="175"/>
        <v>11</v>
      </c>
      <c r="C2221" s="191">
        <f t="shared" si="176"/>
        <v>40862</v>
      </c>
      <c r="D2221" s="37" t="s">
        <v>969</v>
      </c>
      <c r="E2221" s="794">
        <v>40862</v>
      </c>
      <c r="F2221" s="192" t="s">
        <v>757</v>
      </c>
      <c r="G2221" s="498" t="s">
        <v>1296</v>
      </c>
      <c r="H2221" s="193" t="s">
        <v>733</v>
      </c>
      <c r="I2221" s="256">
        <v>4</v>
      </c>
      <c r="J2221" s="256">
        <v>5069.7581858454423</v>
      </c>
      <c r="K2221" s="866">
        <f t="shared" si="177"/>
        <v>20279</v>
      </c>
      <c r="L2221" s="854" t="s">
        <v>165</v>
      </c>
      <c r="M2221" s="854" t="s">
        <v>159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94"/>
    </row>
    <row r="2222" spans="1:30" ht="15.75" customHeight="1">
      <c r="A2222" s="204" t="str">
        <f>IF(B2222&lt;&gt;"",IF(AND(B2222&gt;=_TM1,B2222&lt;=_TM2,OR(TH!L2222="1111",TH!M2222="1111")),TH!D2222,""),"")</f>
        <v/>
      </c>
      <c r="B2222" s="36">
        <f t="shared" si="175"/>
        <v>11</v>
      </c>
      <c r="C2222" s="191">
        <f t="shared" si="176"/>
        <v>40862</v>
      </c>
      <c r="D2222" s="37" t="s">
        <v>969</v>
      </c>
      <c r="E2222" s="794">
        <v>40862</v>
      </c>
      <c r="F2222" s="189" t="s">
        <v>924</v>
      </c>
      <c r="G2222" s="498" t="s">
        <v>1296</v>
      </c>
      <c r="H2222" s="193" t="s">
        <v>733</v>
      </c>
      <c r="I2222" s="256">
        <v>4</v>
      </c>
      <c r="J2222" s="256">
        <v>5747.2581858454423</v>
      </c>
      <c r="K2222" s="866">
        <f t="shared" si="177"/>
        <v>22989</v>
      </c>
      <c r="L2222" s="854" t="s">
        <v>165</v>
      </c>
      <c r="M2222" s="854" t="s">
        <v>159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94"/>
    </row>
    <row r="2223" spans="1:30" ht="15.75" customHeight="1">
      <c r="A2223" s="204" t="str">
        <f>IF(B2223&lt;&gt;"",IF(AND(B2223&gt;=_TM1,B2223&lt;=_TM2,OR(TH!L2223="1111",TH!M2223="1111")),TH!D2223,""),"")</f>
        <v/>
      </c>
      <c r="B2223" s="36">
        <f t="shared" si="175"/>
        <v>11</v>
      </c>
      <c r="C2223" s="191">
        <f t="shared" si="176"/>
        <v>40862</v>
      </c>
      <c r="D2223" s="37" t="s">
        <v>969</v>
      </c>
      <c r="E2223" s="794">
        <v>40862</v>
      </c>
      <c r="F2223" s="192" t="s">
        <v>758</v>
      </c>
      <c r="G2223" s="498" t="s">
        <v>1296</v>
      </c>
      <c r="H2223" s="193" t="s">
        <v>733</v>
      </c>
      <c r="I2223" s="256">
        <v>2</v>
      </c>
      <c r="J2223" s="256">
        <v>5747.0081858454423</v>
      </c>
      <c r="K2223" s="866">
        <f t="shared" si="177"/>
        <v>11494</v>
      </c>
      <c r="L2223" s="854" t="s">
        <v>165</v>
      </c>
      <c r="M2223" s="854" t="s">
        <v>159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94"/>
    </row>
    <row r="2224" spans="1:30" ht="15.75" customHeight="1">
      <c r="A2224" s="204" t="str">
        <f>IF(B2224&lt;&gt;"",IF(AND(B2224&gt;=_TM1,B2224&lt;=_TM2,OR(TH!L2224="1111",TH!M2224="1111")),TH!D2224,""),"")</f>
        <v/>
      </c>
      <c r="B2224" s="36">
        <f t="shared" si="175"/>
        <v>11</v>
      </c>
      <c r="C2224" s="191">
        <f t="shared" si="176"/>
        <v>40862</v>
      </c>
      <c r="D2224" s="37" t="s">
        <v>969</v>
      </c>
      <c r="E2224" s="794">
        <v>40862</v>
      </c>
      <c r="F2224" s="192" t="s">
        <v>926</v>
      </c>
      <c r="G2224" s="498" t="s">
        <v>1296</v>
      </c>
      <c r="H2224" s="193" t="s">
        <v>733</v>
      </c>
      <c r="I2224" s="256">
        <v>221</v>
      </c>
      <c r="J2224" s="256">
        <v>8211.8430274744023</v>
      </c>
      <c r="K2224" s="866">
        <f t="shared" si="177"/>
        <v>1814817</v>
      </c>
      <c r="L2224" s="854" t="s">
        <v>165</v>
      </c>
      <c r="M2224" s="854" t="s">
        <v>159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94"/>
    </row>
    <row r="2225" spans="1:27" ht="15.75" customHeight="1">
      <c r="A2225" s="204" t="str">
        <f>IF(B2225&lt;&gt;"",IF(AND(B2225&gt;=_TM1,B2225&lt;=_TM2,OR(TH!L2225="1111",TH!M2225="1111")),TH!D2225,""),"")</f>
        <v/>
      </c>
      <c r="B2225" s="36">
        <f t="shared" si="175"/>
        <v>11</v>
      </c>
      <c r="C2225" s="191">
        <f t="shared" si="176"/>
        <v>40862</v>
      </c>
      <c r="D2225" s="37" t="s">
        <v>969</v>
      </c>
      <c r="E2225" s="794">
        <v>40862</v>
      </c>
      <c r="F2225" s="192" t="s">
        <v>759</v>
      </c>
      <c r="G2225" s="498" t="s">
        <v>1296</v>
      </c>
      <c r="H2225" s="193" t="s">
        <v>733</v>
      </c>
      <c r="I2225" s="256">
        <v>62</v>
      </c>
      <c r="J2225" s="256">
        <v>14113.992056813184</v>
      </c>
      <c r="K2225" s="866">
        <f t="shared" si="177"/>
        <v>875068</v>
      </c>
      <c r="L2225" s="854" t="s">
        <v>165</v>
      </c>
      <c r="M2225" s="854" t="s">
        <v>159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94"/>
    </row>
    <row r="2226" spans="1:27" ht="15.75" customHeight="1">
      <c r="A2226" s="204" t="str">
        <f>IF(B2226&lt;&gt;"",IF(AND(B2226&gt;=_TM1,B2226&lt;=_TM2,OR(TH!L2226="1111",TH!M2226="1111")),TH!D2226,""),"")</f>
        <v/>
      </c>
      <c r="B2226" s="36">
        <f t="shared" si="175"/>
        <v>11</v>
      </c>
      <c r="C2226" s="191">
        <f t="shared" si="176"/>
        <v>40862</v>
      </c>
      <c r="D2226" s="37" t="s">
        <v>969</v>
      </c>
      <c r="E2226" s="794">
        <v>40862</v>
      </c>
      <c r="F2226" s="192" t="s">
        <v>922</v>
      </c>
      <c r="G2226" s="498" t="s">
        <v>1296</v>
      </c>
      <c r="H2226" s="193" t="s">
        <v>733</v>
      </c>
      <c r="I2226" s="256">
        <v>139</v>
      </c>
      <c r="J2226" s="256">
        <v>7422.5009916008385</v>
      </c>
      <c r="K2226" s="866">
        <f t="shared" si="177"/>
        <v>1031728</v>
      </c>
      <c r="L2226" s="854" t="s">
        <v>165</v>
      </c>
      <c r="M2226" s="854" t="s">
        <v>159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94"/>
    </row>
    <row r="2227" spans="1:27" ht="15.75" customHeight="1">
      <c r="A2227" s="204" t="str">
        <f>IF(B2227&lt;&gt;"",IF(AND(B2227&gt;=_TM1,B2227&lt;=_TM2,OR(TH!L2227="1111",TH!M2227="1111")),TH!D2227,""),"")</f>
        <v/>
      </c>
      <c r="B2227" s="36">
        <f t="shared" si="175"/>
        <v>11</v>
      </c>
      <c r="C2227" s="191">
        <f t="shared" si="176"/>
        <v>40862</v>
      </c>
      <c r="D2227" s="37" t="s">
        <v>969</v>
      </c>
      <c r="E2227" s="794">
        <v>40862</v>
      </c>
      <c r="F2227" s="192" t="s">
        <v>746</v>
      </c>
      <c r="G2227" s="498" t="s">
        <v>1296</v>
      </c>
      <c r="H2227" s="193" t="s">
        <v>733</v>
      </c>
      <c r="I2227" s="256">
        <v>312</v>
      </c>
      <c r="J2227" s="256">
        <v>9549.50498071724</v>
      </c>
      <c r="K2227" s="866">
        <f t="shared" si="177"/>
        <v>2979446</v>
      </c>
      <c r="L2227" s="854" t="s">
        <v>165</v>
      </c>
      <c r="M2227" s="854" t="s">
        <v>159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94"/>
    </row>
    <row r="2228" spans="1:27" ht="15.75" customHeight="1">
      <c r="A2228" s="204" t="str">
        <f>IF(B2228&lt;&gt;"",IF(AND(B2228&gt;=_TM1,B2228&lt;=_TM2,OR(TH!L2228="1111",TH!M2228="1111")),TH!D2228,""),"")</f>
        <v/>
      </c>
      <c r="B2228" s="36">
        <f t="shared" si="175"/>
        <v>11</v>
      </c>
      <c r="C2228" s="191">
        <f t="shared" si="176"/>
        <v>40862</v>
      </c>
      <c r="D2228" s="37" t="s">
        <v>969</v>
      </c>
      <c r="E2228" s="794">
        <v>40862</v>
      </c>
      <c r="F2228" s="192" t="s">
        <v>1298</v>
      </c>
      <c r="G2228" s="498" t="s">
        <v>1296</v>
      </c>
      <c r="H2228" s="193" t="s">
        <v>733</v>
      </c>
      <c r="I2228" s="256">
        <v>12</v>
      </c>
      <c r="J2228" s="256">
        <v>11642.424852512109</v>
      </c>
      <c r="K2228" s="866">
        <f t="shared" si="177"/>
        <v>139709</v>
      </c>
      <c r="L2228" s="854" t="s">
        <v>165</v>
      </c>
      <c r="M2228" s="854" t="s">
        <v>159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94"/>
    </row>
    <row r="2229" spans="1:27" ht="15.75" customHeight="1">
      <c r="A2229" s="204" t="str">
        <f>IF(B2229&lt;&gt;"",IF(AND(B2229&gt;=_TM1,B2229&lt;=_TM2,OR(TH!L2229="1111",TH!M2229="1111")),TH!D2229,""),"")</f>
        <v/>
      </c>
      <c r="B2229" s="36">
        <f t="shared" si="175"/>
        <v>11</v>
      </c>
      <c r="C2229" s="191">
        <f t="shared" si="176"/>
        <v>40862</v>
      </c>
      <c r="D2229" s="37" t="s">
        <v>969</v>
      </c>
      <c r="E2229" s="794">
        <v>40862</v>
      </c>
      <c r="F2229" s="192" t="s">
        <v>750</v>
      </c>
      <c r="G2229" s="498" t="s">
        <v>1296</v>
      </c>
      <c r="H2229" s="193" t="s">
        <v>733</v>
      </c>
      <c r="I2229" s="256">
        <v>206</v>
      </c>
      <c r="J2229" s="256">
        <v>13596.003331476513</v>
      </c>
      <c r="K2229" s="866">
        <f t="shared" si="177"/>
        <v>2800777</v>
      </c>
      <c r="L2229" s="854" t="s">
        <v>165</v>
      </c>
      <c r="M2229" s="854" t="s">
        <v>159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94"/>
    </row>
    <row r="2230" spans="1:27" ht="15.75" customHeight="1">
      <c r="A2230" s="204" t="str">
        <f>IF(B2230&lt;&gt;"",IF(AND(B2230&gt;=_TM1,B2230&lt;=_TM2,OR(TH!L2230="1111",TH!M2230="1111")),TH!D2230,""),"")</f>
        <v/>
      </c>
      <c r="B2230" s="36">
        <f t="shared" si="175"/>
        <v>11</v>
      </c>
      <c r="C2230" s="191">
        <f t="shared" si="176"/>
        <v>40862</v>
      </c>
      <c r="D2230" s="37" t="s">
        <v>969</v>
      </c>
      <c r="E2230" s="794">
        <v>40862</v>
      </c>
      <c r="F2230" s="192" t="s">
        <v>1299</v>
      </c>
      <c r="G2230" s="498" t="s">
        <v>1296</v>
      </c>
      <c r="H2230" s="193" t="s">
        <v>733</v>
      </c>
      <c r="I2230" s="256">
        <v>45</v>
      </c>
      <c r="J2230" s="256">
        <v>15252.485963623221</v>
      </c>
      <c r="K2230" s="866">
        <f t="shared" si="177"/>
        <v>686362</v>
      </c>
      <c r="L2230" s="854" t="s">
        <v>165</v>
      </c>
      <c r="M2230" s="854" t="s">
        <v>159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94"/>
    </row>
    <row r="2231" spans="1:27" ht="15.75" customHeight="1">
      <c r="A2231" s="204" t="str">
        <f>IF(B2231&lt;&gt;"",IF(AND(B2231&gt;=_TM1,B2231&lt;=_TM2,OR(TH!L2231="1111",TH!M2231="1111")),TH!D2231,""),"")</f>
        <v/>
      </c>
      <c r="B2231" s="36">
        <f t="shared" si="175"/>
        <v>11</v>
      </c>
      <c r="C2231" s="191">
        <f t="shared" si="176"/>
        <v>40862</v>
      </c>
      <c r="D2231" s="37" t="s">
        <v>969</v>
      </c>
      <c r="E2231" s="794">
        <v>40862</v>
      </c>
      <c r="F2231" s="192" t="s">
        <v>1300</v>
      </c>
      <c r="G2231" s="498" t="s">
        <v>1296</v>
      </c>
      <c r="H2231" s="193" t="s">
        <v>733</v>
      </c>
      <c r="I2231" s="256">
        <v>63</v>
      </c>
      <c r="J2231" s="256">
        <v>10788.49231282957</v>
      </c>
      <c r="K2231" s="866">
        <f t="shared" si="177"/>
        <v>679675</v>
      </c>
      <c r="L2231" s="854" t="s">
        <v>165</v>
      </c>
      <c r="M2231" s="854" t="s">
        <v>159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94"/>
    </row>
    <row r="2232" spans="1:27" ht="15.75" customHeight="1">
      <c r="A2232" s="204" t="str">
        <f>IF(B2232&lt;&gt;"",IF(AND(B2232&gt;=_TM1,B2232&lt;=_TM2,OR(TH!L2232="1111",TH!M2232="1111")),TH!D2232,""),"")</f>
        <v/>
      </c>
      <c r="B2232" s="36">
        <f t="shared" si="175"/>
        <v>11</v>
      </c>
      <c r="C2232" s="191">
        <f t="shared" si="176"/>
        <v>40862</v>
      </c>
      <c r="D2232" s="37" t="s">
        <v>969</v>
      </c>
      <c r="E2232" s="794">
        <v>40862</v>
      </c>
      <c r="F2232" s="192" t="s">
        <v>1301</v>
      </c>
      <c r="G2232" s="498" t="s">
        <v>1296</v>
      </c>
      <c r="H2232" s="193" t="s">
        <v>733</v>
      </c>
      <c r="I2232" s="256">
        <v>60</v>
      </c>
      <c r="J2232" s="256">
        <v>11437.491519178777</v>
      </c>
      <c r="K2232" s="866">
        <f t="shared" si="177"/>
        <v>686249</v>
      </c>
      <c r="L2232" s="854" t="s">
        <v>165</v>
      </c>
      <c r="M2232" s="854" t="s">
        <v>159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94"/>
    </row>
    <row r="2233" spans="1:27" ht="15.75" customHeight="1">
      <c r="A2233" s="204" t="str">
        <f>IF(B2233&lt;&gt;"",IF(AND(B2233&gt;=_TM1,B2233&lt;=_TM2,OR(TH!L2233="1111",TH!M2233="1111")),TH!D2233,""),"")</f>
        <v/>
      </c>
      <c r="B2233" s="36">
        <f t="shared" si="175"/>
        <v>11</v>
      </c>
      <c r="C2233" s="191">
        <f t="shared" si="176"/>
        <v>40862</v>
      </c>
      <c r="D2233" s="37" t="s">
        <v>969</v>
      </c>
      <c r="E2233" s="794">
        <v>40862</v>
      </c>
      <c r="F2233" s="192" t="s">
        <v>1302</v>
      </c>
      <c r="G2233" s="498" t="s">
        <v>1296</v>
      </c>
      <c r="H2233" s="193" t="s">
        <v>733</v>
      </c>
      <c r="I2233" s="256">
        <v>61</v>
      </c>
      <c r="J2233" s="256">
        <v>9549.4917924028196</v>
      </c>
      <c r="K2233" s="866">
        <f t="shared" si="177"/>
        <v>582519</v>
      </c>
      <c r="L2233" s="854" t="s">
        <v>165</v>
      </c>
      <c r="M2233" s="854" t="s">
        <v>159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94"/>
    </row>
    <row r="2234" spans="1:27" ht="15.75" customHeight="1">
      <c r="A2234" s="204" t="str">
        <f>IF(B2234&lt;&gt;"",IF(AND(B2234&gt;=_TM1,B2234&lt;=_TM2,OR(TH!L2234="1111",TH!M2234="1111")),TH!D2234,""),"")</f>
        <v/>
      </c>
      <c r="B2234" s="36">
        <f t="shared" si="175"/>
        <v>11</v>
      </c>
      <c r="C2234" s="191">
        <f t="shared" si="176"/>
        <v>40862</v>
      </c>
      <c r="D2234" s="37" t="s">
        <v>969</v>
      </c>
      <c r="E2234" s="794">
        <v>40862</v>
      </c>
      <c r="F2234" s="192" t="s">
        <v>1303</v>
      </c>
      <c r="G2234" s="498" t="s">
        <v>1296</v>
      </c>
      <c r="H2234" s="193" t="s">
        <v>733</v>
      </c>
      <c r="I2234" s="256">
        <v>104</v>
      </c>
      <c r="J2234" s="256">
        <v>18291.796647383904</v>
      </c>
      <c r="K2234" s="866">
        <f t="shared" si="177"/>
        <v>1902347</v>
      </c>
      <c r="L2234" s="854" t="s">
        <v>165</v>
      </c>
      <c r="M2234" s="854" t="s">
        <v>159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94"/>
    </row>
    <row r="2235" spans="1:27" ht="15.75" customHeight="1">
      <c r="A2235" s="204" t="str">
        <f>IF(B2235&lt;&gt;"",IF(AND(B2235&gt;=_TM1,B2235&lt;=_TM2,OR(TH!L2235="1111",TH!M2235="1111")),TH!D2235,""),"")</f>
        <v/>
      </c>
      <c r="B2235" s="36">
        <f t="shared" si="175"/>
        <v>11</v>
      </c>
      <c r="C2235" s="191">
        <f t="shared" si="176"/>
        <v>40862</v>
      </c>
      <c r="D2235" s="37" t="s">
        <v>969</v>
      </c>
      <c r="E2235" s="794">
        <v>40862</v>
      </c>
      <c r="F2235" s="192" t="s">
        <v>1304</v>
      </c>
      <c r="G2235" s="498" t="s">
        <v>1296</v>
      </c>
      <c r="H2235" s="193" t="s">
        <v>733</v>
      </c>
      <c r="I2235" s="256">
        <v>152</v>
      </c>
      <c r="J2235" s="256">
        <v>8119.251606898074</v>
      </c>
      <c r="K2235" s="866">
        <f t="shared" si="177"/>
        <v>1234126</v>
      </c>
      <c r="L2235" s="854" t="s">
        <v>165</v>
      </c>
      <c r="M2235" s="854" t="s">
        <v>159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94"/>
    </row>
    <row r="2236" spans="1:27" ht="15.75" customHeight="1">
      <c r="A2236" s="204" t="str">
        <f>IF(B2236&lt;&gt;"",IF(AND(B2236&gt;=_TM1,B2236&lt;=_TM2,OR(TH!L2236="1111",TH!M2236="1111")),TH!D2236,""),"")</f>
        <v/>
      </c>
      <c r="B2236" s="36">
        <f t="shared" si="175"/>
        <v>11</v>
      </c>
      <c r="C2236" s="191">
        <f t="shared" si="176"/>
        <v>40862</v>
      </c>
      <c r="D2236" s="37" t="s">
        <v>969</v>
      </c>
      <c r="E2236" s="794">
        <v>40862</v>
      </c>
      <c r="F2236" s="192" t="s">
        <v>1305</v>
      </c>
      <c r="G2236" s="498" t="s">
        <v>1296</v>
      </c>
      <c r="H2236" s="193" t="s">
        <v>733</v>
      </c>
      <c r="I2236" s="256">
        <v>235</v>
      </c>
      <c r="J2236" s="256">
        <v>9584.6145688241668</v>
      </c>
      <c r="K2236" s="866">
        <f t="shared" si="177"/>
        <v>2252384</v>
      </c>
      <c r="L2236" s="854" t="s">
        <v>165</v>
      </c>
      <c r="M2236" s="854" t="s">
        <v>159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94"/>
    </row>
    <row r="2237" spans="1:27" ht="15.75" customHeight="1">
      <c r="A2237" s="204" t="str">
        <f>IF(B2237&lt;&gt;"",IF(AND(B2237&gt;=_TM1,B2237&lt;=_TM2,OR(TH!L2237="1111",TH!M2237="1111")),TH!D2237,""),"")</f>
        <v/>
      </c>
      <c r="B2237" s="36">
        <f t="shared" si="175"/>
        <v>11</v>
      </c>
      <c r="C2237" s="191">
        <f t="shared" si="176"/>
        <v>40863</v>
      </c>
      <c r="D2237" s="860" t="s">
        <v>1107</v>
      </c>
      <c r="E2237" s="794">
        <v>40863</v>
      </c>
      <c r="F2237" s="189" t="s">
        <v>387</v>
      </c>
      <c r="G2237" s="40"/>
      <c r="H2237" s="628" t="s">
        <v>1092</v>
      </c>
      <c r="I2237" s="839">
        <v>8</v>
      </c>
      <c r="J2237" s="256">
        <v>4449</v>
      </c>
      <c r="K2237" s="614">
        <f t="shared" si="177"/>
        <v>35592</v>
      </c>
      <c r="L2237" s="52" t="s">
        <v>157</v>
      </c>
      <c r="M2237" s="52" t="s">
        <v>151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>x</v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94"/>
    </row>
    <row r="2238" spans="1:27" ht="15.75" customHeight="1">
      <c r="A2238" s="204" t="str">
        <f>IF(B2238&lt;&gt;"",IF(AND(B2238&gt;=_TM1,B2238&lt;=_TM2,OR(TH!L2238="1111",TH!M2238="1111")),TH!D2238,""),"")</f>
        <v/>
      </c>
      <c r="B2238" s="36">
        <f t="shared" si="175"/>
        <v>11</v>
      </c>
      <c r="C2238" s="191">
        <f t="shared" ref="C2238:C2257" si="178">E2238</f>
        <v>40863</v>
      </c>
      <c r="D2238" s="860" t="s">
        <v>1107</v>
      </c>
      <c r="E2238" s="794">
        <v>40863</v>
      </c>
      <c r="F2238" s="189" t="s">
        <v>387</v>
      </c>
      <c r="G2238" s="40"/>
      <c r="H2238" s="628" t="s">
        <v>1092</v>
      </c>
      <c r="I2238" s="839">
        <v>3</v>
      </c>
      <c r="J2238" s="256">
        <v>4449</v>
      </c>
      <c r="K2238" s="614">
        <f t="shared" ref="K2238:K2257" si="179">ROUND(I2238*J2238,0)</f>
        <v>13347</v>
      </c>
      <c r="L2238" s="52" t="s">
        <v>157</v>
      </c>
      <c r="M2238" s="52" t="s">
        <v>151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>x</v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94"/>
    </row>
    <row r="2239" spans="1:27" ht="15.75" customHeight="1">
      <c r="A2239" s="204" t="str">
        <f>IF(B2239&lt;&gt;"",IF(AND(B2239&gt;=_TM1,B2239&lt;=_TM2,OR(TH!L2239="1111",TH!M2239="1111")),TH!D2239,""),"")</f>
        <v/>
      </c>
      <c r="B2239" s="36">
        <f t="shared" si="175"/>
        <v>11</v>
      </c>
      <c r="C2239" s="191">
        <f t="shared" si="178"/>
        <v>40863</v>
      </c>
      <c r="D2239" s="860" t="s">
        <v>1107</v>
      </c>
      <c r="E2239" s="794">
        <v>40863</v>
      </c>
      <c r="F2239" s="189" t="s">
        <v>387</v>
      </c>
      <c r="G2239" s="40"/>
      <c r="H2239" s="628" t="s">
        <v>1092</v>
      </c>
      <c r="I2239" s="839">
        <v>6</v>
      </c>
      <c r="J2239" s="256">
        <v>4449</v>
      </c>
      <c r="K2239" s="614">
        <f t="shared" si="179"/>
        <v>26694</v>
      </c>
      <c r="L2239" s="52" t="s">
        <v>157</v>
      </c>
      <c r="M2239" s="52" t="s">
        <v>151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>x</v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94"/>
    </row>
    <row r="2240" spans="1:27" ht="15.75" customHeight="1">
      <c r="A2240" s="204" t="str">
        <f>IF(B2240&lt;&gt;"",IF(AND(B2240&gt;=_TM1,B2240&lt;=_TM2,OR(TH!L2240="1111",TH!M2240="1111")),TH!D2240,""),"")</f>
        <v/>
      </c>
      <c r="B2240" s="36">
        <f t="shared" si="175"/>
        <v>11</v>
      </c>
      <c r="C2240" s="191">
        <f t="shared" si="178"/>
        <v>40863</v>
      </c>
      <c r="D2240" s="860" t="s">
        <v>1107</v>
      </c>
      <c r="E2240" s="794">
        <v>40863</v>
      </c>
      <c r="F2240" s="189" t="s">
        <v>387</v>
      </c>
      <c r="G2240" s="40"/>
      <c r="H2240" s="628" t="s">
        <v>1092</v>
      </c>
      <c r="I2240" s="839">
        <v>7</v>
      </c>
      <c r="J2240" s="256">
        <v>4449</v>
      </c>
      <c r="K2240" s="614">
        <f t="shared" si="179"/>
        <v>31143</v>
      </c>
      <c r="L2240" s="52" t="s">
        <v>157</v>
      </c>
      <c r="M2240" s="52" t="s">
        <v>151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>x</v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94"/>
    </row>
    <row r="2241" spans="1:27" ht="15.75" customHeight="1">
      <c r="A2241" s="204" t="str">
        <f>IF(B2241&lt;&gt;"",IF(AND(B2241&gt;=_TM1,B2241&lt;=_TM2,OR(TH!L2241="1111",TH!M2241="1111")),TH!D2241,""),"")</f>
        <v/>
      </c>
      <c r="B2241" s="36">
        <f t="shared" si="175"/>
        <v>11</v>
      </c>
      <c r="C2241" s="191">
        <f t="shared" si="178"/>
        <v>40863</v>
      </c>
      <c r="D2241" s="860" t="s">
        <v>1107</v>
      </c>
      <c r="E2241" s="794">
        <v>40863</v>
      </c>
      <c r="F2241" s="189" t="s">
        <v>387</v>
      </c>
      <c r="G2241" s="40"/>
      <c r="H2241" s="628" t="s">
        <v>1092</v>
      </c>
      <c r="I2241" s="839">
        <v>15</v>
      </c>
      <c r="J2241" s="256">
        <v>4449</v>
      </c>
      <c r="K2241" s="614">
        <f t="shared" si="179"/>
        <v>66735</v>
      </c>
      <c r="L2241" s="52" t="s">
        <v>157</v>
      </c>
      <c r="M2241" s="52" t="s">
        <v>151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>x</v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94"/>
    </row>
    <row r="2242" spans="1:27" ht="15.75" customHeight="1">
      <c r="A2242" s="204" t="str">
        <f>IF(B2242&lt;&gt;"",IF(AND(B2242&gt;=_TM1,B2242&lt;=_TM2,OR(TH!L2242="1111",TH!M2242="1111")),TH!D2242,""),"")</f>
        <v/>
      </c>
      <c r="B2242" s="36">
        <f t="shared" si="175"/>
        <v>11</v>
      </c>
      <c r="C2242" s="191">
        <f t="shared" si="178"/>
        <v>40863</v>
      </c>
      <c r="D2242" s="860" t="s">
        <v>1107</v>
      </c>
      <c r="E2242" s="794">
        <v>40863</v>
      </c>
      <c r="F2242" s="189" t="s">
        <v>579</v>
      </c>
      <c r="G2242" s="40"/>
      <c r="H2242" s="628" t="s">
        <v>1092</v>
      </c>
      <c r="I2242" s="256">
        <v>14</v>
      </c>
      <c r="J2242" s="256">
        <v>7543</v>
      </c>
      <c r="K2242" s="614">
        <f t="shared" si="179"/>
        <v>105602</v>
      </c>
      <c r="L2242" s="52" t="s">
        <v>157</v>
      </c>
      <c r="M2242" s="52" t="s">
        <v>151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94"/>
    </row>
    <row r="2243" spans="1:27" ht="15.75" customHeight="1">
      <c r="A2243" s="204" t="str">
        <f>IF(B2243&lt;&gt;"",IF(AND(B2243&gt;=_TM1,B2243&lt;=_TM2,OR(TH!L2243="1111",TH!M2243="1111")),TH!D2243,""),"")</f>
        <v/>
      </c>
      <c r="B2243" s="36">
        <f t="shared" si="175"/>
        <v>11</v>
      </c>
      <c r="C2243" s="191">
        <f t="shared" si="178"/>
        <v>40863</v>
      </c>
      <c r="D2243" s="860" t="s">
        <v>1107</v>
      </c>
      <c r="E2243" s="794">
        <v>40863</v>
      </c>
      <c r="F2243" s="189" t="s">
        <v>387</v>
      </c>
      <c r="G2243" s="40"/>
      <c r="H2243" s="628" t="s">
        <v>1092</v>
      </c>
      <c r="I2243" s="839">
        <v>14</v>
      </c>
      <c r="J2243" s="256">
        <v>4449</v>
      </c>
      <c r="K2243" s="614">
        <f t="shared" si="179"/>
        <v>62286</v>
      </c>
      <c r="L2243" s="52" t="s">
        <v>157</v>
      </c>
      <c r="M2243" s="52" t="s">
        <v>151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>x</v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94"/>
    </row>
    <row r="2244" spans="1:27" ht="15.75" customHeight="1">
      <c r="A2244" s="204" t="str">
        <f>IF(B2244&lt;&gt;"",IF(AND(B2244&gt;=_TM1,B2244&lt;=_TM2,OR(TH!L2244="1111",TH!M2244="1111")),TH!D2244,""),"")</f>
        <v/>
      </c>
      <c r="B2244" s="36">
        <f t="shared" si="175"/>
        <v>11</v>
      </c>
      <c r="C2244" s="191">
        <f t="shared" si="178"/>
        <v>40863</v>
      </c>
      <c r="D2244" s="860" t="s">
        <v>1107</v>
      </c>
      <c r="E2244" s="794">
        <v>40863</v>
      </c>
      <c r="F2244" s="189" t="s">
        <v>387</v>
      </c>
      <c r="G2244" s="40"/>
      <c r="H2244" s="628" t="s">
        <v>1092</v>
      </c>
      <c r="I2244" s="839">
        <v>2</v>
      </c>
      <c r="J2244" s="256">
        <v>4449</v>
      </c>
      <c r="K2244" s="614">
        <f t="shared" si="179"/>
        <v>8898</v>
      </c>
      <c r="L2244" s="52" t="s">
        <v>157</v>
      </c>
      <c r="M2244" s="52" t="s">
        <v>151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>x</v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94"/>
    </row>
    <row r="2245" spans="1:27" ht="15.75" customHeight="1">
      <c r="A2245" s="204" t="str">
        <f>IF(B2245&lt;&gt;"",IF(AND(B2245&gt;=_TM1,B2245&lt;=_TM2,OR(TH!L2245="1111",TH!M2245="1111")),TH!D2245,""),"")</f>
        <v/>
      </c>
      <c r="B2245" s="36">
        <f t="shared" si="175"/>
        <v>11</v>
      </c>
      <c r="C2245" s="191">
        <f t="shared" si="178"/>
        <v>40863</v>
      </c>
      <c r="D2245" s="860" t="s">
        <v>1107</v>
      </c>
      <c r="E2245" s="794">
        <v>40863</v>
      </c>
      <c r="F2245" s="189" t="s">
        <v>387</v>
      </c>
      <c r="G2245" s="40"/>
      <c r="H2245" s="628" t="s">
        <v>1092</v>
      </c>
      <c r="I2245" s="839">
        <v>2</v>
      </c>
      <c r="J2245" s="256">
        <v>4449</v>
      </c>
      <c r="K2245" s="614">
        <f t="shared" si="179"/>
        <v>8898</v>
      </c>
      <c r="L2245" s="52" t="s">
        <v>157</v>
      </c>
      <c r="M2245" s="52" t="s">
        <v>151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>x</v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94"/>
    </row>
    <row r="2246" spans="1:27" ht="15.75" customHeight="1">
      <c r="A2246" s="204" t="str">
        <f>IF(B2246&lt;&gt;"",IF(AND(B2246&gt;=_TM1,B2246&lt;=_TM2,OR(TH!L2246="1111",TH!M2246="1111")),TH!D2246,""),"")</f>
        <v/>
      </c>
      <c r="B2246" s="36">
        <f t="shared" si="175"/>
        <v>11</v>
      </c>
      <c r="C2246" s="191">
        <f t="shared" si="178"/>
        <v>40865</v>
      </c>
      <c r="D2246" s="860" t="s">
        <v>1108</v>
      </c>
      <c r="E2246" s="792">
        <v>40865</v>
      </c>
      <c r="F2246" s="189" t="s">
        <v>387</v>
      </c>
      <c r="G2246" s="40"/>
      <c r="H2246" s="628" t="s">
        <v>1092</v>
      </c>
      <c r="I2246" s="839">
        <v>3</v>
      </c>
      <c r="J2246" s="256">
        <v>4449</v>
      </c>
      <c r="K2246" s="614">
        <f t="shared" si="179"/>
        <v>13347</v>
      </c>
      <c r="L2246" s="52" t="s">
        <v>157</v>
      </c>
      <c r="M2246" s="52" t="s">
        <v>151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>x</v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94"/>
    </row>
    <row r="2247" spans="1:27" ht="15.75" customHeight="1">
      <c r="A2247" s="204" t="str">
        <f>IF(B2247&lt;&gt;"",IF(AND(B2247&gt;=_TM1,B2247&lt;=_TM2,OR(TH!L2247="1111",TH!M2247="1111")),TH!D2247,""),"")</f>
        <v/>
      </c>
      <c r="B2247" s="36">
        <f t="shared" si="175"/>
        <v>11</v>
      </c>
      <c r="C2247" s="191">
        <f t="shared" si="178"/>
        <v>40865</v>
      </c>
      <c r="D2247" s="860" t="s">
        <v>1108</v>
      </c>
      <c r="E2247" s="792">
        <v>40865</v>
      </c>
      <c r="F2247" s="189" t="s">
        <v>387</v>
      </c>
      <c r="G2247" s="40"/>
      <c r="H2247" s="628" t="s">
        <v>1092</v>
      </c>
      <c r="I2247" s="839">
        <v>8</v>
      </c>
      <c r="J2247" s="256">
        <v>4449</v>
      </c>
      <c r="K2247" s="614">
        <f t="shared" si="179"/>
        <v>35592</v>
      </c>
      <c r="L2247" s="52" t="s">
        <v>157</v>
      </c>
      <c r="M2247" s="52" t="s">
        <v>151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>x</v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94"/>
    </row>
    <row r="2248" spans="1:27" ht="15.75" customHeight="1">
      <c r="A2248" s="204" t="str">
        <f>IF(B2248&lt;&gt;"",IF(AND(B2248&gt;=_TM1,B2248&lt;=_TM2,OR(TH!L2248="1111",TH!M2248="1111")),TH!D2248,""),"")</f>
        <v/>
      </c>
      <c r="B2248" s="36">
        <f t="shared" si="175"/>
        <v>11</v>
      </c>
      <c r="C2248" s="191">
        <f t="shared" si="178"/>
        <v>40865</v>
      </c>
      <c r="D2248" s="860" t="s">
        <v>1108</v>
      </c>
      <c r="E2248" s="792">
        <v>40865</v>
      </c>
      <c r="F2248" s="189" t="s">
        <v>387</v>
      </c>
      <c r="G2248" s="40"/>
      <c r="H2248" s="628" t="s">
        <v>1092</v>
      </c>
      <c r="I2248" s="839">
        <v>5</v>
      </c>
      <c r="J2248" s="256">
        <v>4449</v>
      </c>
      <c r="K2248" s="614">
        <f t="shared" si="179"/>
        <v>22245</v>
      </c>
      <c r="L2248" s="52" t="s">
        <v>157</v>
      </c>
      <c r="M2248" s="52" t="s">
        <v>151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>x</v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94"/>
    </row>
    <row r="2249" spans="1:27" ht="15.75" customHeight="1">
      <c r="A2249" s="204" t="str">
        <f>IF(B2249&lt;&gt;"",IF(AND(B2249&gt;=_TM1,B2249&lt;=_TM2,OR(TH!L2249="1111",TH!M2249="1111")),TH!D2249,""),"")</f>
        <v/>
      </c>
      <c r="B2249" s="36">
        <f t="shared" si="175"/>
        <v>11</v>
      </c>
      <c r="C2249" s="191">
        <f t="shared" si="178"/>
        <v>40865</v>
      </c>
      <c r="D2249" s="860" t="s">
        <v>1108</v>
      </c>
      <c r="E2249" s="792">
        <v>40865</v>
      </c>
      <c r="F2249" s="189" t="s">
        <v>387</v>
      </c>
      <c r="G2249" s="40"/>
      <c r="H2249" s="628" t="s">
        <v>1092</v>
      </c>
      <c r="I2249" s="839">
        <v>11</v>
      </c>
      <c r="J2249" s="256">
        <v>4449</v>
      </c>
      <c r="K2249" s="614">
        <f t="shared" si="179"/>
        <v>48939</v>
      </c>
      <c r="L2249" s="52" t="s">
        <v>157</v>
      </c>
      <c r="M2249" s="52" t="s">
        <v>151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>x</v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94"/>
    </row>
    <row r="2250" spans="1:27" ht="15.75" customHeight="1">
      <c r="A2250" s="204" t="str">
        <f>IF(B2250&lt;&gt;"",IF(AND(B2250&gt;=_TM1,B2250&lt;=_TM2,OR(TH!L2250="1111",TH!M2250="1111")),TH!D2250,""),"")</f>
        <v/>
      </c>
      <c r="B2250" s="36">
        <f t="shared" si="175"/>
        <v>11</v>
      </c>
      <c r="C2250" s="191">
        <f t="shared" si="178"/>
        <v>40865</v>
      </c>
      <c r="D2250" s="860" t="s">
        <v>1108</v>
      </c>
      <c r="E2250" s="792">
        <v>40865</v>
      </c>
      <c r="F2250" s="40" t="s">
        <v>624</v>
      </c>
      <c r="G2250" s="40"/>
      <c r="H2250" s="628" t="s">
        <v>1092</v>
      </c>
      <c r="I2250" s="256">
        <v>0.5</v>
      </c>
      <c r="J2250" s="256">
        <v>23688</v>
      </c>
      <c r="K2250" s="614">
        <f t="shared" si="179"/>
        <v>11844</v>
      </c>
      <c r="L2250" s="52" t="s">
        <v>157</v>
      </c>
      <c r="M2250" s="52" t="s">
        <v>151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94"/>
    </row>
    <row r="2251" spans="1:27" ht="15.75" customHeight="1">
      <c r="A2251" s="204" t="str">
        <f>IF(B2251&lt;&gt;"",IF(AND(B2251&gt;=_TM1,B2251&lt;=_TM2,OR(TH!L2251="1111",TH!M2251="1111")),TH!D2251,""),"")</f>
        <v/>
      </c>
      <c r="B2251" s="36">
        <f t="shared" si="175"/>
        <v>11</v>
      </c>
      <c r="C2251" s="191">
        <f t="shared" si="178"/>
        <v>40865</v>
      </c>
      <c r="D2251" s="860" t="s">
        <v>1108</v>
      </c>
      <c r="E2251" s="792">
        <v>40865</v>
      </c>
      <c r="F2251" s="189" t="s">
        <v>542</v>
      </c>
      <c r="G2251" s="40"/>
      <c r="H2251" s="628" t="s">
        <v>1092</v>
      </c>
      <c r="I2251" s="256">
        <v>1</v>
      </c>
      <c r="J2251" s="256">
        <v>19638</v>
      </c>
      <c r="K2251" s="614">
        <f t="shared" si="179"/>
        <v>19638</v>
      </c>
      <c r="L2251" s="52" t="s">
        <v>157</v>
      </c>
      <c r="M2251" s="52" t="s">
        <v>151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94"/>
    </row>
    <row r="2252" spans="1:27" ht="15.75" customHeight="1">
      <c r="A2252" s="204" t="str">
        <f>IF(B2252&lt;&gt;"",IF(AND(B2252&gt;=_TM1,B2252&lt;=_TM2,OR(TH!L2252="1111",TH!M2252="1111")),TH!D2252,""),"")</f>
        <v/>
      </c>
      <c r="B2252" s="36">
        <f t="shared" si="175"/>
        <v>11</v>
      </c>
      <c r="C2252" s="191">
        <f t="shared" si="178"/>
        <v>40865</v>
      </c>
      <c r="D2252" s="860" t="s">
        <v>1108</v>
      </c>
      <c r="E2252" s="792">
        <v>40865</v>
      </c>
      <c r="F2252" s="189" t="s">
        <v>549</v>
      </c>
      <c r="G2252" s="40"/>
      <c r="H2252" s="628" t="s">
        <v>1092</v>
      </c>
      <c r="I2252" s="256">
        <v>21</v>
      </c>
      <c r="J2252" s="256">
        <v>13954</v>
      </c>
      <c r="K2252" s="614">
        <f t="shared" si="179"/>
        <v>293034</v>
      </c>
      <c r="L2252" s="52" t="s">
        <v>157</v>
      </c>
      <c r="M2252" s="52" t="s">
        <v>151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94"/>
    </row>
    <row r="2253" spans="1:27" ht="15.75" customHeight="1">
      <c r="A2253" s="204" t="str">
        <f>IF(B2253&lt;&gt;"",IF(AND(B2253&gt;=_TM1,B2253&lt;=_TM2,OR(TH!L2253="1111",TH!M2253="1111")),TH!D2253,""),"")</f>
        <v/>
      </c>
      <c r="B2253" s="36">
        <f t="shared" si="175"/>
        <v>11</v>
      </c>
      <c r="C2253" s="191">
        <f t="shared" si="178"/>
        <v>40865</v>
      </c>
      <c r="D2253" s="860" t="s">
        <v>1108</v>
      </c>
      <c r="E2253" s="792">
        <v>40865</v>
      </c>
      <c r="F2253" s="40" t="s">
        <v>649</v>
      </c>
      <c r="G2253" s="40"/>
      <c r="H2253" s="628" t="s">
        <v>1092</v>
      </c>
      <c r="I2253" s="256">
        <v>27</v>
      </c>
      <c r="J2253" s="256">
        <v>16502</v>
      </c>
      <c r="K2253" s="614">
        <f t="shared" si="179"/>
        <v>445554</v>
      </c>
      <c r="L2253" s="52" t="s">
        <v>157</v>
      </c>
      <c r="M2253" s="52" t="s">
        <v>151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94"/>
    </row>
    <row r="2254" spans="1:27" ht="15.75" customHeight="1">
      <c r="A2254" s="204" t="str">
        <f>IF(B2254&lt;&gt;"",IF(AND(B2254&gt;=_TM1,B2254&lt;=_TM2,OR(TH!L2254="1111",TH!M2254="1111")),TH!D2254,""),"")</f>
        <v/>
      </c>
      <c r="B2254" s="36">
        <f t="shared" si="175"/>
        <v>11</v>
      </c>
      <c r="C2254" s="191">
        <f t="shared" si="178"/>
        <v>40865</v>
      </c>
      <c r="D2254" s="860" t="s">
        <v>1108</v>
      </c>
      <c r="E2254" s="792">
        <v>40865</v>
      </c>
      <c r="F2254" s="40" t="s">
        <v>642</v>
      </c>
      <c r="G2254" s="40"/>
      <c r="H2254" s="628" t="s">
        <v>1092</v>
      </c>
      <c r="I2254" s="256">
        <v>3</v>
      </c>
      <c r="J2254" s="256">
        <v>20278</v>
      </c>
      <c r="K2254" s="614">
        <f t="shared" si="179"/>
        <v>60834</v>
      </c>
      <c r="L2254" s="52" t="s">
        <v>157</v>
      </c>
      <c r="M2254" s="52" t="s">
        <v>151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94"/>
    </row>
    <row r="2255" spans="1:27" ht="15.75" customHeight="1">
      <c r="A2255" s="204" t="str">
        <f>IF(B2255&lt;&gt;"",IF(AND(B2255&gt;=_TM1,B2255&lt;=_TM2,OR(TH!L2255="1111",TH!M2255="1111")),TH!D2255,""),"")</f>
        <v/>
      </c>
      <c r="B2255" s="36">
        <f t="shared" si="175"/>
        <v>11</v>
      </c>
      <c r="C2255" s="191">
        <f t="shared" si="178"/>
        <v>40865</v>
      </c>
      <c r="D2255" s="860" t="s">
        <v>1109</v>
      </c>
      <c r="E2255" s="792">
        <v>40865</v>
      </c>
      <c r="F2255" s="40" t="s">
        <v>624</v>
      </c>
      <c r="G2255" s="40"/>
      <c r="H2255" s="628" t="s">
        <v>1092</v>
      </c>
      <c r="I2255" s="256">
        <v>0.5</v>
      </c>
      <c r="J2255" s="256">
        <v>23688</v>
      </c>
      <c r="K2255" s="614">
        <f t="shared" si="179"/>
        <v>11844</v>
      </c>
      <c r="L2255" s="52" t="s">
        <v>157</v>
      </c>
      <c r="M2255" s="52" t="s">
        <v>151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94"/>
    </row>
    <row r="2256" spans="1:27" ht="15.75" customHeight="1">
      <c r="A2256" s="204" t="str">
        <f>IF(B2256&lt;&gt;"",IF(AND(B2256&gt;=_TM1,B2256&lt;=_TM2,OR(TH!L2256="1111",TH!M2256="1111")),TH!D2256,""),"")</f>
        <v/>
      </c>
      <c r="B2256" s="36">
        <f t="shared" si="175"/>
        <v>11</v>
      </c>
      <c r="C2256" s="191">
        <f t="shared" si="178"/>
        <v>40865</v>
      </c>
      <c r="D2256" s="860" t="s">
        <v>1109</v>
      </c>
      <c r="E2256" s="792">
        <v>40865</v>
      </c>
      <c r="F2256" s="189" t="s">
        <v>549</v>
      </c>
      <c r="G2256" s="40"/>
      <c r="H2256" s="628" t="s">
        <v>1092</v>
      </c>
      <c r="I2256" s="256">
        <v>1</v>
      </c>
      <c r="J2256" s="256">
        <v>13954</v>
      </c>
      <c r="K2256" s="614">
        <f t="shared" si="179"/>
        <v>13954</v>
      </c>
      <c r="L2256" s="52" t="s">
        <v>157</v>
      </c>
      <c r="M2256" s="52" t="s">
        <v>151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94"/>
    </row>
    <row r="2257" spans="1:27" ht="15.75" customHeight="1">
      <c r="A2257" s="204" t="str">
        <f>IF(B2257&lt;&gt;"",IF(AND(B2257&gt;=_TM1,B2257&lt;=_TM2,OR(TH!L2257="1111",TH!M2257="1111")),TH!D2257,""),"")</f>
        <v/>
      </c>
      <c r="B2257" s="36">
        <f t="shared" si="175"/>
        <v>11</v>
      </c>
      <c r="C2257" s="191">
        <f t="shared" si="178"/>
        <v>40865</v>
      </c>
      <c r="D2257" s="860" t="s">
        <v>1109</v>
      </c>
      <c r="E2257" s="792">
        <v>40865</v>
      </c>
      <c r="F2257" s="40" t="s">
        <v>643</v>
      </c>
      <c r="G2257" s="40"/>
      <c r="H2257" s="628" t="s">
        <v>1092</v>
      </c>
      <c r="I2257" s="256">
        <v>6</v>
      </c>
      <c r="J2257" s="256">
        <v>25631</v>
      </c>
      <c r="K2257" s="614">
        <f t="shared" si="179"/>
        <v>153786</v>
      </c>
      <c r="L2257" s="52" t="s">
        <v>157</v>
      </c>
      <c r="M2257" s="52" t="s">
        <v>151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94"/>
    </row>
    <row r="2258" spans="1:27" ht="15.75" customHeight="1">
      <c r="A2258" s="204" t="str">
        <f>IF(B2258&lt;&gt;"",IF(AND(B2258&gt;=_TM1,B2258&lt;=_TM2,OR(TH!L2258="1111",TH!M2258="1111")),TH!D2258,""),"")</f>
        <v/>
      </c>
      <c r="B2258" s="36">
        <f t="shared" si="175"/>
        <v>11</v>
      </c>
      <c r="C2258" s="191">
        <v>40866</v>
      </c>
      <c r="D2258" s="191" t="s">
        <v>970</v>
      </c>
      <c r="E2258" s="883">
        <v>40866</v>
      </c>
      <c r="F2258" s="192" t="s">
        <v>1306</v>
      </c>
      <c r="G2258" s="498" t="s">
        <v>1307</v>
      </c>
      <c r="H2258" s="193" t="s">
        <v>733</v>
      </c>
      <c r="I2258" s="256">
        <v>38</v>
      </c>
      <c r="J2258" s="256">
        <v>25864</v>
      </c>
      <c r="K2258" s="614">
        <v>982832</v>
      </c>
      <c r="L2258" s="194" t="s">
        <v>259</v>
      </c>
      <c r="M2258" s="194" t="s">
        <v>167</v>
      </c>
      <c r="N2258" s="52" t="str">
        <f>IF(AND('331-CT'!$E$7=TH!H2258,OR(L2258="331",M2258="331")),"331",IF(AND(OR(L2258="131",M2258="131"),H2258='131-CT'!$E$7),"131",""))</f>
        <v>131</v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94"/>
    </row>
    <row r="2259" spans="1:27" ht="15.75" customHeight="1">
      <c r="A2259" s="204" t="str">
        <f>IF(B2259&lt;&gt;"",IF(AND(B2259&gt;=_TM1,B2259&lt;=_TM2,OR(TH!L2259="1111",TH!M2259="1111")),TH!D2259,""),"")</f>
        <v/>
      </c>
      <c r="B2259" s="36">
        <f t="shared" si="175"/>
        <v>11</v>
      </c>
      <c r="C2259" s="191">
        <v>40866</v>
      </c>
      <c r="D2259" s="191" t="s">
        <v>970</v>
      </c>
      <c r="E2259" s="883">
        <v>40866</v>
      </c>
      <c r="F2259" s="192" t="s">
        <v>1308</v>
      </c>
      <c r="G2259" s="498" t="s">
        <v>1307</v>
      </c>
      <c r="H2259" s="193" t="s">
        <v>733</v>
      </c>
      <c r="I2259" s="256">
        <v>8</v>
      </c>
      <c r="J2259" s="256">
        <v>17968</v>
      </c>
      <c r="K2259" s="614">
        <v>143744</v>
      </c>
      <c r="L2259" s="194" t="s">
        <v>259</v>
      </c>
      <c r="M2259" s="194" t="s">
        <v>167</v>
      </c>
      <c r="N2259" s="52" t="str">
        <f>IF(AND('331-CT'!$E$7=TH!H2259,OR(L2259="331",M2259="331")),"331",IF(AND(OR(L2259="131",M2259="131"),H2259='131-CT'!$E$7),"131",""))</f>
        <v>131</v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94"/>
    </row>
    <row r="2260" spans="1:27" ht="15.75" customHeight="1">
      <c r="A2260" s="204" t="str">
        <f>IF(B2260&lt;&gt;"",IF(AND(B2260&gt;=_TM1,B2260&lt;=_TM2,OR(TH!L2260="1111",TH!M2260="1111")),TH!D2260,""),"")</f>
        <v/>
      </c>
      <c r="B2260" s="36">
        <f t="shared" si="175"/>
        <v>11</v>
      </c>
      <c r="C2260" s="191">
        <v>40866</v>
      </c>
      <c r="D2260" s="191" t="s">
        <v>970</v>
      </c>
      <c r="E2260" s="883">
        <v>40866</v>
      </c>
      <c r="F2260" s="192" t="s">
        <v>1309</v>
      </c>
      <c r="G2260" s="498" t="s">
        <v>1307</v>
      </c>
      <c r="H2260" s="193" t="s">
        <v>733</v>
      </c>
      <c r="I2260" s="256">
        <v>24</v>
      </c>
      <c r="J2260" s="256">
        <v>11987</v>
      </c>
      <c r="K2260" s="614">
        <v>287688</v>
      </c>
      <c r="L2260" s="194" t="s">
        <v>259</v>
      </c>
      <c r="M2260" s="194" t="s">
        <v>167</v>
      </c>
      <c r="N2260" s="52" t="str">
        <f>IF(AND('331-CT'!$E$7=TH!H2260,OR(L2260="331",M2260="331")),"331",IF(AND(OR(L2260="131",M2260="131"),H2260='131-CT'!$E$7),"131",""))</f>
        <v>131</v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94"/>
    </row>
    <row r="2261" spans="1:27" ht="15.75" customHeight="1">
      <c r="A2261" s="204" t="str">
        <f>IF(B2261&lt;&gt;"",IF(AND(B2261&gt;=_TM1,B2261&lt;=_TM2,OR(TH!L2261="1111",TH!M2261="1111")),TH!D2261,""),"")</f>
        <v/>
      </c>
      <c r="B2261" s="36">
        <f t="shared" si="175"/>
        <v>11</v>
      </c>
      <c r="C2261" s="191">
        <v>40866</v>
      </c>
      <c r="D2261" s="191" t="s">
        <v>970</v>
      </c>
      <c r="E2261" s="883">
        <v>40866</v>
      </c>
      <c r="F2261" s="192" t="s">
        <v>1310</v>
      </c>
      <c r="G2261" s="498" t="s">
        <v>1307</v>
      </c>
      <c r="H2261" s="193" t="s">
        <v>733</v>
      </c>
      <c r="I2261" s="256">
        <v>24</v>
      </c>
      <c r="J2261" s="256">
        <v>16916</v>
      </c>
      <c r="K2261" s="614">
        <v>405984</v>
      </c>
      <c r="L2261" s="194" t="s">
        <v>259</v>
      </c>
      <c r="M2261" s="194" t="s">
        <v>167</v>
      </c>
      <c r="N2261" s="52" t="str">
        <f>IF(AND('331-CT'!$E$7=TH!H2261,OR(L2261="331",M2261="331")),"331",IF(AND(OR(L2261="131",M2261="131"),H2261='131-CT'!$E$7),"131",""))</f>
        <v>131</v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94"/>
    </row>
    <row r="2262" spans="1:27" ht="15.75" customHeight="1">
      <c r="A2262" s="204" t="str">
        <f>IF(B2262&lt;&gt;"",IF(AND(B2262&gt;=_TM1,B2262&lt;=_TM2,OR(TH!L2262="1111",TH!M2262="1111")),TH!D2262,""),"")</f>
        <v/>
      </c>
      <c r="B2262" s="36">
        <f t="shared" si="175"/>
        <v>11</v>
      </c>
      <c r="C2262" s="191">
        <v>40866</v>
      </c>
      <c r="D2262" s="191" t="s">
        <v>970</v>
      </c>
      <c r="E2262" s="883">
        <v>40866</v>
      </c>
      <c r="F2262" s="192" t="s">
        <v>1311</v>
      </c>
      <c r="G2262" s="498" t="s">
        <v>1307</v>
      </c>
      <c r="H2262" s="193" t="s">
        <v>733</v>
      </c>
      <c r="I2262" s="256">
        <v>2</v>
      </c>
      <c r="J2262" s="256">
        <v>8709</v>
      </c>
      <c r="K2262" s="614">
        <v>17418</v>
      </c>
      <c r="L2262" s="194" t="s">
        <v>259</v>
      </c>
      <c r="M2262" s="194" t="s">
        <v>167</v>
      </c>
      <c r="N2262" s="52" t="str">
        <f>IF(AND('331-CT'!$E$7=TH!H2262,OR(L2262="331",M2262="331")),"331",IF(AND(OR(L2262="131",M2262="131"),H2262='131-CT'!$E$7),"131",""))</f>
        <v>131</v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94"/>
    </row>
    <row r="2263" spans="1:27" ht="15.75" customHeight="1">
      <c r="A2263" s="204" t="str">
        <f>IF(B2263&lt;&gt;"",IF(AND(B2263&gt;=_TM1,B2263&lt;=_TM2,OR(TH!L2263="1111",TH!M2263="1111")),TH!D2263,""),"")</f>
        <v/>
      </c>
      <c r="B2263" s="36">
        <f t="shared" si="175"/>
        <v>11</v>
      </c>
      <c r="C2263" s="191">
        <v>40866</v>
      </c>
      <c r="D2263" s="191" t="s">
        <v>970</v>
      </c>
      <c r="E2263" s="883">
        <v>40866</v>
      </c>
      <c r="F2263" s="192" t="s">
        <v>1312</v>
      </c>
      <c r="G2263" s="498" t="s">
        <v>1307</v>
      </c>
      <c r="H2263" s="193" t="s">
        <v>733</v>
      </c>
      <c r="I2263" s="256">
        <v>25</v>
      </c>
      <c r="J2263" s="256">
        <v>14798</v>
      </c>
      <c r="K2263" s="614">
        <v>369950</v>
      </c>
      <c r="L2263" s="194" t="s">
        <v>259</v>
      </c>
      <c r="M2263" s="194" t="s">
        <v>167</v>
      </c>
      <c r="N2263" s="52" t="str">
        <f>IF(AND('331-CT'!$E$7=TH!H2263,OR(L2263="331",M2263="331")),"331",IF(AND(OR(L2263="131",M2263="131"),H2263='131-CT'!$E$7),"131",""))</f>
        <v>131</v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94"/>
    </row>
    <row r="2264" spans="1:27" ht="15.75" customHeight="1">
      <c r="A2264" s="204" t="str">
        <f>IF(B2264&lt;&gt;"",IF(AND(B2264&gt;=_TM1,B2264&lt;=_TM2,OR(TH!L2264="1111",TH!M2264="1111")),TH!D2264,""),"")</f>
        <v/>
      </c>
      <c r="B2264" s="36">
        <f t="shared" si="175"/>
        <v>11</v>
      </c>
      <c r="C2264" s="191">
        <v>40866</v>
      </c>
      <c r="D2264" s="191" t="s">
        <v>970</v>
      </c>
      <c r="E2264" s="883">
        <v>40866</v>
      </c>
      <c r="F2264" s="192" t="s">
        <v>1313</v>
      </c>
      <c r="G2264" s="498" t="s">
        <v>1307</v>
      </c>
      <c r="H2264" s="193" t="s">
        <v>733</v>
      </c>
      <c r="I2264" s="256">
        <v>274</v>
      </c>
      <c r="J2264" s="256">
        <v>11849</v>
      </c>
      <c r="K2264" s="614">
        <v>3246626</v>
      </c>
      <c r="L2264" s="194" t="s">
        <v>259</v>
      </c>
      <c r="M2264" s="194" t="s">
        <v>167</v>
      </c>
      <c r="N2264" s="52" t="str">
        <f>IF(AND('331-CT'!$E$7=TH!H2264,OR(L2264="331",M2264="331")),"331",IF(AND(OR(L2264="131",M2264="131"),H2264='131-CT'!$E$7),"131",""))</f>
        <v>131</v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94"/>
    </row>
    <row r="2265" spans="1:27" ht="15.75" customHeight="1">
      <c r="A2265" s="204" t="str">
        <f>IF(B2265&lt;&gt;"",IF(AND(B2265&gt;=_TM1,B2265&lt;=_TM2,OR(TH!L2265="1111",TH!M2265="1111")),TH!D2265,""),"")</f>
        <v/>
      </c>
      <c r="B2265" s="36">
        <f t="shared" ref="B2265:B2328" si="180">IF(C2265&lt;&gt;"",MONTH(C2265),"")</f>
        <v>11</v>
      </c>
      <c r="C2265" s="191">
        <v>40866</v>
      </c>
      <c r="D2265" s="191" t="s">
        <v>970</v>
      </c>
      <c r="E2265" s="883">
        <v>40866</v>
      </c>
      <c r="F2265" s="192" t="s">
        <v>1314</v>
      </c>
      <c r="G2265" s="498" t="s">
        <v>1307</v>
      </c>
      <c r="H2265" s="193" t="s">
        <v>733</v>
      </c>
      <c r="I2265" s="256">
        <v>123</v>
      </c>
      <c r="J2265" s="256">
        <v>11205</v>
      </c>
      <c r="K2265" s="614">
        <v>1378215</v>
      </c>
      <c r="L2265" s="194" t="s">
        <v>259</v>
      </c>
      <c r="M2265" s="194" t="s">
        <v>167</v>
      </c>
      <c r="N2265" s="52" t="str">
        <f>IF(AND('331-CT'!$E$7=TH!H2265,OR(L2265="331",M2265="331")),"331",IF(AND(OR(L2265="131",M2265="131"),H2265='131-CT'!$E$7),"131",""))</f>
        <v>131</v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94"/>
    </row>
    <row r="2266" spans="1:27" ht="15.75" customHeight="1">
      <c r="A2266" s="204" t="str">
        <f>IF(B2266&lt;&gt;"",IF(AND(B2266&gt;=_TM1,B2266&lt;=_TM2,OR(TH!L2266="1111",TH!M2266="1111")),TH!D2266,""),"")</f>
        <v/>
      </c>
      <c r="B2266" s="36">
        <f t="shared" si="180"/>
        <v>11</v>
      </c>
      <c r="C2266" s="191">
        <v>40866</v>
      </c>
      <c r="D2266" s="191" t="s">
        <v>970</v>
      </c>
      <c r="E2266" s="883">
        <v>40866</v>
      </c>
      <c r="F2266" s="192" t="s">
        <v>1315</v>
      </c>
      <c r="G2266" s="498" t="s">
        <v>1307</v>
      </c>
      <c r="H2266" s="193" t="s">
        <v>733</v>
      </c>
      <c r="I2266" s="256">
        <v>118</v>
      </c>
      <c r="J2266" s="256">
        <v>1087</v>
      </c>
      <c r="K2266" s="614">
        <v>128266</v>
      </c>
      <c r="L2266" s="194" t="s">
        <v>259</v>
      </c>
      <c r="M2266" s="194" t="s">
        <v>167</v>
      </c>
      <c r="N2266" s="52" t="str">
        <f>IF(AND('331-CT'!$E$7=TH!H2266,OR(L2266="331",M2266="331")),"331",IF(AND(OR(L2266="131",M2266="131"),H2266='131-CT'!$E$7),"131",""))</f>
        <v>131</v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94"/>
    </row>
    <row r="2267" spans="1:27" ht="15.75" customHeight="1">
      <c r="A2267" s="204" t="str">
        <f>IF(B2267&lt;&gt;"",IF(AND(B2267&gt;=_TM1,B2267&lt;=_TM2,OR(TH!L2267="1111",TH!M2267="1111")),TH!D2267,""),"")</f>
        <v/>
      </c>
      <c r="B2267" s="36">
        <f t="shared" si="180"/>
        <v>11</v>
      </c>
      <c r="C2267" s="191">
        <v>40866</v>
      </c>
      <c r="D2267" s="191" t="s">
        <v>970</v>
      </c>
      <c r="E2267" s="883">
        <v>40866</v>
      </c>
      <c r="F2267" s="192" t="s">
        <v>1316</v>
      </c>
      <c r="G2267" s="498" t="s">
        <v>1307</v>
      </c>
      <c r="H2267" s="193" t="s">
        <v>733</v>
      </c>
      <c r="I2267" s="256">
        <v>236</v>
      </c>
      <c r="J2267" s="256">
        <v>1025</v>
      </c>
      <c r="K2267" s="614">
        <v>241900</v>
      </c>
      <c r="L2267" s="194" t="s">
        <v>259</v>
      </c>
      <c r="M2267" s="194" t="s">
        <v>167</v>
      </c>
      <c r="N2267" s="52" t="str">
        <f>IF(AND('331-CT'!$E$7=TH!H2267,OR(L2267="331",M2267="331")),"331",IF(AND(OR(L2267="131",M2267="131"),H2267='131-CT'!$E$7),"131",""))</f>
        <v>131</v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94"/>
    </row>
    <row r="2268" spans="1:27" ht="15.75" customHeight="1">
      <c r="A2268" s="204" t="str">
        <f>IF(B2268&lt;&gt;"",IF(AND(B2268&gt;=_TM1,B2268&lt;=_TM2,OR(TH!L2268="1111",TH!M2268="1111")),TH!D2268,""),"")</f>
        <v/>
      </c>
      <c r="B2268" s="36">
        <f t="shared" si="180"/>
        <v>11</v>
      </c>
      <c r="C2268" s="191">
        <v>40866</v>
      </c>
      <c r="D2268" s="191" t="s">
        <v>970</v>
      </c>
      <c r="E2268" s="883">
        <v>40866</v>
      </c>
      <c r="F2268" s="192" t="s">
        <v>1317</v>
      </c>
      <c r="G2268" s="498" t="s">
        <v>1307</v>
      </c>
      <c r="H2268" s="193" t="s">
        <v>733</v>
      </c>
      <c r="I2268" s="256">
        <v>60</v>
      </c>
      <c r="J2268" s="256">
        <v>1220</v>
      </c>
      <c r="K2268" s="614">
        <v>73200</v>
      </c>
      <c r="L2268" s="194" t="s">
        <v>259</v>
      </c>
      <c r="M2268" s="194" t="s">
        <v>167</v>
      </c>
      <c r="N2268" s="52" t="str">
        <f>IF(AND('331-CT'!$E$7=TH!H2268,OR(L2268="331",M2268="331")),"331",IF(AND(OR(L2268="131",M2268="131"),H2268='131-CT'!$E$7),"131",""))</f>
        <v>131</v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94"/>
    </row>
    <row r="2269" spans="1:27" ht="15.75" customHeight="1">
      <c r="A2269" s="204" t="str">
        <f>IF(B2269&lt;&gt;"",IF(AND(B2269&gt;=_TM1,B2269&lt;=_TM2,OR(TH!L2269="1111",TH!M2269="1111")),TH!D2269,""),"")</f>
        <v/>
      </c>
      <c r="B2269" s="36">
        <f t="shared" si="180"/>
        <v>11</v>
      </c>
      <c r="C2269" s="191">
        <v>40866</v>
      </c>
      <c r="D2269" s="191" t="s">
        <v>970</v>
      </c>
      <c r="E2269" s="883">
        <v>40866</v>
      </c>
      <c r="F2269" s="192" t="s">
        <v>1318</v>
      </c>
      <c r="G2269" s="498" t="s">
        <v>1307</v>
      </c>
      <c r="H2269" s="193" t="s">
        <v>733</v>
      </c>
      <c r="I2269" s="256">
        <v>120</v>
      </c>
      <c r="J2269" s="256">
        <v>1152</v>
      </c>
      <c r="K2269" s="614">
        <v>138240</v>
      </c>
      <c r="L2269" s="194" t="s">
        <v>259</v>
      </c>
      <c r="M2269" s="194" t="s">
        <v>167</v>
      </c>
      <c r="N2269" s="52" t="str">
        <f>IF(AND('331-CT'!$E$7=TH!H2269,OR(L2269="331",M2269="331")),"331",IF(AND(OR(L2269="131",M2269="131"),H2269='131-CT'!$E$7),"131",""))</f>
        <v>131</v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94"/>
    </row>
    <row r="2270" spans="1:27" ht="15.75" customHeight="1">
      <c r="A2270" s="204" t="str">
        <f>IF(B2270&lt;&gt;"",IF(AND(B2270&gt;=_TM1,B2270&lt;=_TM2,OR(TH!L2270="1111",TH!M2270="1111")),TH!D2270,""),"")</f>
        <v/>
      </c>
      <c r="B2270" s="36">
        <f t="shared" si="180"/>
        <v>11</v>
      </c>
      <c r="C2270" s="191">
        <v>40866</v>
      </c>
      <c r="D2270" s="191" t="s">
        <v>970</v>
      </c>
      <c r="E2270" s="883">
        <v>40866</v>
      </c>
      <c r="F2270" s="192" t="s">
        <v>1319</v>
      </c>
      <c r="G2270" s="498" t="s">
        <v>1307</v>
      </c>
      <c r="H2270" s="193" t="s">
        <v>733</v>
      </c>
      <c r="I2270" s="256">
        <v>74</v>
      </c>
      <c r="J2270" s="256">
        <v>1660</v>
      </c>
      <c r="K2270" s="614">
        <v>122840</v>
      </c>
      <c r="L2270" s="194" t="s">
        <v>259</v>
      </c>
      <c r="M2270" s="194" t="s">
        <v>167</v>
      </c>
      <c r="N2270" s="52" t="str">
        <f>IF(AND('331-CT'!$E$7=TH!H2270,OR(L2270="331",M2270="331")),"331",IF(AND(OR(L2270="131",M2270="131"),H2270='131-CT'!$E$7),"131",""))</f>
        <v>131</v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94"/>
    </row>
    <row r="2271" spans="1:27" ht="15.75" customHeight="1">
      <c r="A2271" s="204" t="str">
        <f>IF(B2271&lt;&gt;"",IF(AND(B2271&gt;=_TM1,B2271&lt;=_TM2,OR(TH!L2271="1111",TH!M2271="1111")),TH!D2271,""),"")</f>
        <v/>
      </c>
      <c r="B2271" s="36">
        <f t="shared" si="180"/>
        <v>11</v>
      </c>
      <c r="C2271" s="191">
        <v>40866</v>
      </c>
      <c r="D2271" s="191" t="s">
        <v>970</v>
      </c>
      <c r="E2271" s="883">
        <v>40866</v>
      </c>
      <c r="F2271" s="192" t="s">
        <v>1320</v>
      </c>
      <c r="G2271" s="498" t="s">
        <v>1307</v>
      </c>
      <c r="H2271" s="193" t="s">
        <v>733</v>
      </c>
      <c r="I2271" s="256">
        <v>148</v>
      </c>
      <c r="J2271" s="256">
        <v>1463</v>
      </c>
      <c r="K2271" s="614">
        <v>216524</v>
      </c>
      <c r="L2271" s="194" t="s">
        <v>259</v>
      </c>
      <c r="M2271" s="194" t="s">
        <v>167</v>
      </c>
      <c r="N2271" s="52" t="str">
        <f>IF(AND('331-CT'!$E$7=TH!H2271,OR(L2271="331",M2271="331")),"331",IF(AND(OR(L2271="131",M2271="131"),H2271='131-CT'!$E$7),"131",""))</f>
        <v>131</v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94"/>
    </row>
    <row r="2272" spans="1:27" ht="15.75" customHeight="1">
      <c r="A2272" s="204" t="str">
        <f>IF(B2272&lt;&gt;"",IF(AND(B2272&gt;=_TM1,B2272&lt;=_TM2,OR(TH!L2272="1111",TH!M2272="1111")),TH!D2272,""),"")</f>
        <v/>
      </c>
      <c r="B2272" s="36">
        <f t="shared" si="180"/>
        <v>11</v>
      </c>
      <c r="C2272" s="191">
        <v>40866</v>
      </c>
      <c r="D2272" s="191" t="s">
        <v>970</v>
      </c>
      <c r="E2272" s="883">
        <v>40866</v>
      </c>
      <c r="F2272" s="192" t="s">
        <v>1321</v>
      </c>
      <c r="G2272" s="498" t="s">
        <v>1307</v>
      </c>
      <c r="H2272" s="193" t="s">
        <v>733</v>
      </c>
      <c r="I2272" s="256">
        <v>136</v>
      </c>
      <c r="J2272" s="256">
        <v>1288</v>
      </c>
      <c r="K2272" s="614">
        <v>175168</v>
      </c>
      <c r="L2272" s="194" t="s">
        <v>259</v>
      </c>
      <c r="M2272" s="194" t="s">
        <v>167</v>
      </c>
      <c r="N2272" s="52" t="str">
        <f>IF(AND('331-CT'!$E$7=TH!H2272,OR(L2272="331",M2272="331")),"331",IF(AND(OR(L2272="131",M2272="131"),H2272='131-CT'!$E$7),"131",""))</f>
        <v>131</v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94"/>
    </row>
    <row r="2273" spans="1:27" ht="15.75" customHeight="1">
      <c r="A2273" s="204" t="str">
        <f>IF(B2273&lt;&gt;"",IF(AND(B2273&gt;=_TM1,B2273&lt;=_TM2,OR(TH!L2273="1111",TH!M2273="1111")),TH!D2273,""),"")</f>
        <v/>
      </c>
      <c r="B2273" s="36">
        <f t="shared" si="180"/>
        <v>11</v>
      </c>
      <c r="C2273" s="191">
        <v>40866</v>
      </c>
      <c r="D2273" s="191" t="s">
        <v>970</v>
      </c>
      <c r="E2273" s="883">
        <v>40866</v>
      </c>
      <c r="F2273" s="192" t="s">
        <v>1322</v>
      </c>
      <c r="G2273" s="498" t="s">
        <v>1307</v>
      </c>
      <c r="H2273" s="193" t="s">
        <v>733</v>
      </c>
      <c r="I2273" s="256">
        <v>272</v>
      </c>
      <c r="J2273" s="256">
        <v>1254</v>
      </c>
      <c r="K2273" s="614">
        <v>341088</v>
      </c>
      <c r="L2273" s="194" t="s">
        <v>259</v>
      </c>
      <c r="M2273" s="194" t="s">
        <v>167</v>
      </c>
      <c r="N2273" s="52" t="str">
        <f>IF(AND('331-CT'!$E$7=TH!H2273,OR(L2273="331",M2273="331")),"331",IF(AND(OR(L2273="131",M2273="131"),H2273='131-CT'!$E$7),"131",""))</f>
        <v>131</v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94"/>
    </row>
    <row r="2274" spans="1:27" ht="15.75" customHeight="1">
      <c r="A2274" s="204" t="str">
        <f>IF(B2274&lt;&gt;"",IF(AND(B2274&gt;=_TM1,B2274&lt;=_TM2,OR(TH!L2274="1111",TH!M2274="1111")),TH!D2274,""),"")</f>
        <v/>
      </c>
      <c r="B2274" s="36">
        <f t="shared" si="180"/>
        <v>11</v>
      </c>
      <c r="C2274" s="191">
        <v>40866</v>
      </c>
      <c r="D2274" s="191" t="s">
        <v>970</v>
      </c>
      <c r="E2274" s="883">
        <v>40866</v>
      </c>
      <c r="F2274" s="192" t="s">
        <v>1323</v>
      </c>
      <c r="G2274" s="498" t="s">
        <v>1307</v>
      </c>
      <c r="H2274" s="193" t="s">
        <v>733</v>
      </c>
      <c r="I2274" s="256">
        <v>18</v>
      </c>
      <c r="J2274" s="256">
        <v>1581</v>
      </c>
      <c r="K2274" s="614">
        <v>28458</v>
      </c>
      <c r="L2274" s="194" t="s">
        <v>259</v>
      </c>
      <c r="M2274" s="194" t="s">
        <v>167</v>
      </c>
      <c r="N2274" s="52" t="str">
        <f>IF(AND('331-CT'!$E$7=TH!H2274,OR(L2274="331",M2274="331")),"331",IF(AND(OR(L2274="131",M2274="131"),H2274='131-CT'!$E$7),"131",""))</f>
        <v>131</v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94"/>
    </row>
    <row r="2275" spans="1:27" ht="15.75" customHeight="1">
      <c r="A2275" s="204" t="str">
        <f>IF(B2275&lt;&gt;"",IF(AND(B2275&gt;=_TM1,B2275&lt;=_TM2,OR(TH!L2275="1111",TH!M2275="1111")),TH!D2275,""),"")</f>
        <v/>
      </c>
      <c r="B2275" s="36">
        <f t="shared" si="180"/>
        <v>11</v>
      </c>
      <c r="C2275" s="191">
        <v>40866</v>
      </c>
      <c r="D2275" s="191" t="s">
        <v>970</v>
      </c>
      <c r="E2275" s="883">
        <v>40866</v>
      </c>
      <c r="F2275" s="192" t="s">
        <v>1324</v>
      </c>
      <c r="G2275" s="498" t="s">
        <v>1307</v>
      </c>
      <c r="H2275" s="193" t="s">
        <v>733</v>
      </c>
      <c r="I2275" s="256">
        <v>36</v>
      </c>
      <c r="J2275" s="256">
        <v>1384</v>
      </c>
      <c r="K2275" s="614">
        <v>49824</v>
      </c>
      <c r="L2275" s="194" t="s">
        <v>259</v>
      </c>
      <c r="M2275" s="194" t="s">
        <v>167</v>
      </c>
      <c r="N2275" s="52" t="str">
        <f>IF(AND('331-CT'!$E$7=TH!H2275,OR(L2275="331",M2275="331")),"331",IF(AND(OR(L2275="131",M2275="131"),H2275='131-CT'!$E$7),"131",""))</f>
        <v>131</v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94"/>
    </row>
    <row r="2276" spans="1:27" ht="15.75" customHeight="1">
      <c r="A2276" s="204" t="str">
        <f>IF(B2276&lt;&gt;"",IF(AND(B2276&gt;=_TM1,B2276&lt;=_TM2,OR(TH!L2276="1111",TH!M2276="1111")),TH!D2276,""),"")</f>
        <v/>
      </c>
      <c r="B2276" s="36">
        <f t="shared" si="180"/>
        <v>11</v>
      </c>
      <c r="C2276" s="191">
        <v>40866</v>
      </c>
      <c r="D2276" s="191" t="s">
        <v>970</v>
      </c>
      <c r="E2276" s="883">
        <v>40866</v>
      </c>
      <c r="F2276" s="192" t="s">
        <v>1316</v>
      </c>
      <c r="G2276" s="498" t="s">
        <v>1307</v>
      </c>
      <c r="H2276" s="193" t="s">
        <v>733</v>
      </c>
      <c r="I2276" s="256">
        <v>79</v>
      </c>
      <c r="J2276" s="256">
        <v>1025</v>
      </c>
      <c r="K2276" s="614">
        <v>80975</v>
      </c>
      <c r="L2276" s="194" t="s">
        <v>259</v>
      </c>
      <c r="M2276" s="194" t="s">
        <v>167</v>
      </c>
      <c r="N2276" s="52" t="str">
        <f>IF(AND('331-CT'!$E$7=TH!H2276,OR(L2276="331",M2276="331")),"331",IF(AND(OR(L2276="131",M2276="131"),H2276='131-CT'!$E$7),"131",""))</f>
        <v>131</v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94"/>
    </row>
    <row r="2277" spans="1:27" ht="15.75" customHeight="1">
      <c r="A2277" s="204" t="str">
        <f>IF(B2277&lt;&gt;"",IF(AND(B2277&gt;=_TM1,B2277&lt;=_TM2,OR(TH!L2277="1111",TH!M2277="1111")),TH!D2277,""),"")</f>
        <v/>
      </c>
      <c r="B2277" s="36">
        <f t="shared" si="180"/>
        <v>11</v>
      </c>
      <c r="C2277" s="191">
        <v>40866</v>
      </c>
      <c r="D2277" s="191" t="s">
        <v>970</v>
      </c>
      <c r="E2277" s="883">
        <v>40866</v>
      </c>
      <c r="F2277" s="192" t="s">
        <v>1325</v>
      </c>
      <c r="G2277" s="498" t="s">
        <v>1307</v>
      </c>
      <c r="H2277" s="193" t="s">
        <v>733</v>
      </c>
      <c r="I2277" s="256">
        <v>158</v>
      </c>
      <c r="J2277" s="256">
        <v>963</v>
      </c>
      <c r="K2277" s="614">
        <v>152154</v>
      </c>
      <c r="L2277" s="194" t="s">
        <v>259</v>
      </c>
      <c r="M2277" s="194" t="s">
        <v>167</v>
      </c>
      <c r="N2277" s="52" t="str">
        <f>IF(AND('331-CT'!$E$7=TH!H2277,OR(L2277="331",M2277="331")),"331",IF(AND(OR(L2277="131",M2277="131"),H2277='131-CT'!$E$7),"131",""))</f>
        <v>131</v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94"/>
    </row>
    <row r="2278" spans="1:27" ht="15.75" customHeight="1">
      <c r="A2278" s="204" t="str">
        <f>IF(B2278&lt;&gt;"",IF(AND(B2278&gt;=_TM1,B2278&lt;=_TM2,OR(TH!L2278="1111",TH!M2278="1111")),TH!D2278,""),"")</f>
        <v/>
      </c>
      <c r="B2278" s="36">
        <f t="shared" si="180"/>
        <v>11</v>
      </c>
      <c r="C2278" s="191">
        <v>40866</v>
      </c>
      <c r="D2278" s="191" t="s">
        <v>970</v>
      </c>
      <c r="E2278" s="883">
        <v>40866</v>
      </c>
      <c r="F2278" s="192" t="s">
        <v>1326</v>
      </c>
      <c r="G2278" s="498" t="s">
        <v>1307</v>
      </c>
      <c r="H2278" s="193" t="s">
        <v>733</v>
      </c>
      <c r="I2278" s="256">
        <v>82</v>
      </c>
      <c r="J2278" s="256">
        <v>1228</v>
      </c>
      <c r="K2278" s="614">
        <v>100696</v>
      </c>
      <c r="L2278" s="194" t="s">
        <v>259</v>
      </c>
      <c r="M2278" s="194" t="s">
        <v>167</v>
      </c>
      <c r="N2278" s="52" t="str">
        <f>IF(AND('331-CT'!$E$7=TH!H2278,OR(L2278="331",M2278="331")),"331",IF(AND(OR(L2278="131",M2278="131"),H2278='131-CT'!$E$7),"131",""))</f>
        <v>131</v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94"/>
    </row>
    <row r="2279" spans="1:27" ht="15.75" customHeight="1">
      <c r="A2279" s="204" t="str">
        <f>IF(B2279&lt;&gt;"",IF(AND(B2279&gt;=_TM1,B2279&lt;=_TM2,OR(TH!L2279="1111",TH!M2279="1111")),TH!D2279,""),"")</f>
        <v/>
      </c>
      <c r="B2279" s="36">
        <f t="shared" si="180"/>
        <v>11</v>
      </c>
      <c r="C2279" s="191">
        <v>40866</v>
      </c>
      <c r="D2279" s="191" t="s">
        <v>970</v>
      </c>
      <c r="E2279" s="883">
        <v>40866</v>
      </c>
      <c r="F2279" s="192" t="s">
        <v>1327</v>
      </c>
      <c r="G2279" s="498" t="s">
        <v>1307</v>
      </c>
      <c r="H2279" s="193" t="s">
        <v>733</v>
      </c>
      <c r="I2279" s="256">
        <v>41</v>
      </c>
      <c r="J2279" s="256">
        <v>2499</v>
      </c>
      <c r="K2279" s="614">
        <v>102459</v>
      </c>
      <c r="L2279" s="194" t="s">
        <v>259</v>
      </c>
      <c r="M2279" s="194" t="s">
        <v>167</v>
      </c>
      <c r="N2279" s="52" t="str">
        <f>IF(AND('331-CT'!$E$7=TH!H2279,OR(L2279="331",M2279="331")),"331",IF(AND(OR(L2279="131",M2279="131"),H2279='131-CT'!$E$7),"131",""))</f>
        <v>131</v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94"/>
    </row>
    <row r="2280" spans="1:27" ht="15.75" customHeight="1">
      <c r="A2280" s="204" t="str">
        <f>IF(B2280&lt;&gt;"",IF(AND(B2280&gt;=_TM1,B2280&lt;=_TM2,OR(TH!L2280="1111",TH!M2280="1111")),TH!D2280,""),"")</f>
        <v/>
      </c>
      <c r="B2280" s="36">
        <f t="shared" si="180"/>
        <v>11</v>
      </c>
      <c r="C2280" s="191">
        <v>40866</v>
      </c>
      <c r="D2280" s="191" t="s">
        <v>970</v>
      </c>
      <c r="E2280" s="883">
        <v>40866</v>
      </c>
      <c r="F2280" s="192" t="s">
        <v>759</v>
      </c>
      <c r="G2280" s="498" t="s">
        <v>1307</v>
      </c>
      <c r="H2280" s="193" t="s">
        <v>733</v>
      </c>
      <c r="I2280" s="256">
        <v>1</v>
      </c>
      <c r="J2280" s="256">
        <v>15136</v>
      </c>
      <c r="K2280" s="614">
        <v>15136</v>
      </c>
      <c r="L2280" s="194" t="s">
        <v>259</v>
      </c>
      <c r="M2280" s="194" t="s">
        <v>167</v>
      </c>
      <c r="N2280" s="52" t="str">
        <f>IF(AND('331-CT'!$E$7=TH!H2280,OR(L2280="331",M2280="331")),"331",IF(AND(OR(L2280="131",M2280="131"),H2280='131-CT'!$E$7),"131",""))</f>
        <v>131</v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94"/>
    </row>
    <row r="2281" spans="1:27" ht="15.75" customHeight="1">
      <c r="A2281" s="204" t="str">
        <f>IF(B2281&lt;&gt;"",IF(AND(B2281&gt;=_TM1,B2281&lt;=_TM2,OR(TH!L2281="1111",TH!M2281="1111")),TH!D2281,""),"")</f>
        <v/>
      </c>
      <c r="B2281" s="36">
        <f t="shared" si="180"/>
        <v>11</v>
      </c>
      <c r="C2281" s="191">
        <v>40866</v>
      </c>
      <c r="D2281" s="191" t="s">
        <v>970</v>
      </c>
      <c r="E2281" s="883">
        <v>40866</v>
      </c>
      <c r="F2281" s="192" t="s">
        <v>752</v>
      </c>
      <c r="G2281" s="498" t="s">
        <v>1307</v>
      </c>
      <c r="H2281" s="193" t="s">
        <v>733</v>
      </c>
      <c r="I2281" s="256">
        <v>2</v>
      </c>
      <c r="J2281" s="256">
        <v>16284</v>
      </c>
      <c r="K2281" s="614">
        <v>32568</v>
      </c>
      <c r="L2281" s="194" t="s">
        <v>259</v>
      </c>
      <c r="M2281" s="194" t="s">
        <v>167</v>
      </c>
      <c r="N2281" s="52" t="str">
        <f>IF(AND('331-CT'!$E$7=TH!H2281,OR(L2281="331",M2281="331")),"331",IF(AND(OR(L2281="131",M2281="131"),H2281='131-CT'!$E$7),"131",""))</f>
        <v>131</v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94"/>
    </row>
    <row r="2282" spans="1:27" ht="15.75" customHeight="1">
      <c r="A2282" s="204" t="str">
        <f>IF(B2282&lt;&gt;"",IF(AND(B2282&gt;=_TM1,B2282&lt;=_TM2,OR(TH!L2282="1111",TH!M2282="1111")),TH!D2282,""),"")</f>
        <v/>
      </c>
      <c r="B2282" s="36">
        <f t="shared" si="180"/>
        <v>11</v>
      </c>
      <c r="C2282" s="191">
        <v>40866</v>
      </c>
      <c r="D2282" s="191" t="s">
        <v>970</v>
      </c>
      <c r="E2282" s="883">
        <v>40866</v>
      </c>
      <c r="F2282" s="192" t="s">
        <v>1267</v>
      </c>
      <c r="G2282" s="498" t="s">
        <v>1307</v>
      </c>
      <c r="H2282" s="193" t="s">
        <v>733</v>
      </c>
      <c r="I2282" s="256">
        <v>21</v>
      </c>
      <c r="J2282" s="256">
        <v>16832</v>
      </c>
      <c r="K2282" s="614">
        <v>353472</v>
      </c>
      <c r="L2282" s="194" t="s">
        <v>259</v>
      </c>
      <c r="M2282" s="194" t="s">
        <v>167</v>
      </c>
      <c r="N2282" s="52" t="str">
        <f>IF(AND('331-CT'!$E$7=TH!H2282,OR(L2282="331",M2282="331")),"331",IF(AND(OR(L2282="131",M2282="131"),H2282='131-CT'!$E$7),"131",""))</f>
        <v>131</v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94"/>
    </row>
    <row r="2283" spans="1:27" ht="15.75" customHeight="1">
      <c r="A2283" s="204" t="str">
        <f>IF(B2283&lt;&gt;"",IF(AND(B2283&gt;=_TM1,B2283&lt;=_TM2,OR(TH!L2283="1111",TH!M2283="1111")),TH!D2283,""),"")</f>
        <v/>
      </c>
      <c r="B2283" s="36">
        <f t="shared" si="180"/>
        <v>11</v>
      </c>
      <c r="C2283" s="191">
        <v>40866</v>
      </c>
      <c r="D2283" s="191" t="s">
        <v>970</v>
      </c>
      <c r="E2283" s="883">
        <v>40866</v>
      </c>
      <c r="F2283" s="192" t="s">
        <v>746</v>
      </c>
      <c r="G2283" s="498" t="s">
        <v>1307</v>
      </c>
      <c r="H2283" s="193" t="s">
        <v>733</v>
      </c>
      <c r="I2283" s="256">
        <v>53</v>
      </c>
      <c r="J2283" s="256">
        <v>10595</v>
      </c>
      <c r="K2283" s="614">
        <v>561535</v>
      </c>
      <c r="L2283" s="194" t="s">
        <v>259</v>
      </c>
      <c r="M2283" s="194" t="s">
        <v>167</v>
      </c>
      <c r="N2283" s="52" t="str">
        <f>IF(AND('331-CT'!$E$7=TH!H2283,OR(L2283="331",M2283="331")),"331",IF(AND(OR(L2283="131",M2283="131"),H2283='131-CT'!$E$7),"131",""))</f>
        <v>131</v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94"/>
    </row>
    <row r="2284" spans="1:27" ht="15.75" customHeight="1">
      <c r="A2284" s="204" t="str">
        <f>IF(B2284&lt;&gt;"",IF(AND(B2284&gt;=_TM1,B2284&lt;=_TM2,OR(TH!L2284="1111",TH!M2284="1111")),TH!D2284,""),"")</f>
        <v/>
      </c>
      <c r="B2284" s="36">
        <f t="shared" si="180"/>
        <v>11</v>
      </c>
      <c r="C2284" s="191">
        <v>40866</v>
      </c>
      <c r="D2284" s="191" t="s">
        <v>970</v>
      </c>
      <c r="E2284" s="883">
        <v>40866</v>
      </c>
      <c r="F2284" s="192" t="s">
        <v>1292</v>
      </c>
      <c r="G2284" s="498" t="s">
        <v>1307</v>
      </c>
      <c r="H2284" s="193" t="s">
        <v>733</v>
      </c>
      <c r="I2284" s="256">
        <v>6</v>
      </c>
      <c r="J2284" s="256">
        <v>13869</v>
      </c>
      <c r="K2284" s="614">
        <v>83214</v>
      </c>
      <c r="L2284" s="194" t="s">
        <v>259</v>
      </c>
      <c r="M2284" s="194" t="s">
        <v>167</v>
      </c>
      <c r="N2284" s="52" t="str">
        <f>IF(AND('331-CT'!$E$7=TH!H2284,OR(L2284="331",M2284="331")),"331",IF(AND(OR(L2284="131",M2284="131"),H2284='131-CT'!$E$7),"131",""))</f>
        <v>131</v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94"/>
    </row>
    <row r="2285" spans="1:27" ht="15.75" customHeight="1">
      <c r="A2285" s="204" t="str">
        <f>IF(B2285&lt;&gt;"",IF(AND(B2285&gt;=_TM1,B2285&lt;=_TM2,OR(TH!L2285="1111",TH!M2285="1111")),TH!D2285,""),"")</f>
        <v/>
      </c>
      <c r="B2285" s="36">
        <f t="shared" si="180"/>
        <v>11</v>
      </c>
      <c r="C2285" s="191">
        <v>40866</v>
      </c>
      <c r="D2285" s="191" t="s">
        <v>970</v>
      </c>
      <c r="E2285" s="883">
        <v>40866</v>
      </c>
      <c r="F2285" s="192" t="s">
        <v>750</v>
      </c>
      <c r="G2285" s="498" t="s">
        <v>1307</v>
      </c>
      <c r="H2285" s="193" t="s">
        <v>733</v>
      </c>
      <c r="I2285" s="256">
        <v>1</v>
      </c>
      <c r="J2285" s="256">
        <v>15618</v>
      </c>
      <c r="K2285" s="614">
        <v>15618</v>
      </c>
      <c r="L2285" s="194" t="s">
        <v>259</v>
      </c>
      <c r="M2285" s="194" t="s">
        <v>167</v>
      </c>
      <c r="N2285" s="52" t="str">
        <f>IF(AND('331-CT'!$E$7=TH!H2285,OR(L2285="331",M2285="331")),"331",IF(AND(OR(L2285="131",M2285="131"),H2285='131-CT'!$E$7),"131",""))</f>
        <v>131</v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94"/>
    </row>
    <row r="2286" spans="1:27" ht="15.75" customHeight="1">
      <c r="A2286" s="204" t="str">
        <f>IF(B2286&lt;&gt;"",IF(AND(B2286&gt;=_TM1,B2286&lt;=_TM2,OR(TH!L2286="1111",TH!M2286="1111")),TH!D2286,""),"")</f>
        <v/>
      </c>
      <c r="B2286" s="36">
        <f t="shared" si="180"/>
        <v>11</v>
      </c>
      <c r="C2286" s="191">
        <v>40866</v>
      </c>
      <c r="D2286" s="191" t="s">
        <v>970</v>
      </c>
      <c r="E2286" s="883">
        <v>40866</v>
      </c>
      <c r="F2286" s="192" t="s">
        <v>759</v>
      </c>
      <c r="G2286" s="498" t="s">
        <v>1307</v>
      </c>
      <c r="H2286" s="193" t="s">
        <v>733</v>
      </c>
      <c r="I2286" s="256">
        <v>1</v>
      </c>
      <c r="J2286" s="256">
        <v>15136</v>
      </c>
      <c r="K2286" s="614">
        <v>15136</v>
      </c>
      <c r="L2286" s="194" t="s">
        <v>259</v>
      </c>
      <c r="M2286" s="194" t="s">
        <v>167</v>
      </c>
      <c r="N2286" s="52" t="str">
        <f>IF(AND('331-CT'!$E$7=TH!H2286,OR(L2286="331",M2286="331")),"331",IF(AND(OR(L2286="131",M2286="131"),H2286='131-CT'!$E$7),"131",""))</f>
        <v>131</v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94"/>
    </row>
    <row r="2287" spans="1:27" ht="15.75" customHeight="1">
      <c r="A2287" s="204" t="str">
        <f>IF(B2287&lt;&gt;"",IF(AND(B2287&gt;=_TM1,B2287&lt;=_TM2,OR(TH!L2287="1111",TH!M2287="1111")),TH!D2287,""),"")</f>
        <v/>
      </c>
      <c r="B2287" s="36">
        <f t="shared" si="180"/>
        <v>11</v>
      </c>
      <c r="C2287" s="191">
        <v>40866</v>
      </c>
      <c r="D2287" s="191" t="s">
        <v>970</v>
      </c>
      <c r="E2287" s="883">
        <v>40866</v>
      </c>
      <c r="F2287" s="192" t="s">
        <v>1293</v>
      </c>
      <c r="G2287" s="498" t="s">
        <v>1307</v>
      </c>
      <c r="H2287" s="193" t="s">
        <v>733</v>
      </c>
      <c r="I2287" s="256">
        <v>12</v>
      </c>
      <c r="J2287" s="256">
        <v>14230</v>
      </c>
      <c r="K2287" s="614">
        <v>170760</v>
      </c>
      <c r="L2287" s="194" t="s">
        <v>259</v>
      </c>
      <c r="M2287" s="194" t="s">
        <v>167</v>
      </c>
      <c r="N2287" s="52" t="str">
        <f>IF(AND('331-CT'!$E$7=TH!H2287,OR(L2287="331",M2287="331")),"331",IF(AND(OR(L2287="131",M2287="131"),H2287='131-CT'!$E$7),"131",""))</f>
        <v>131</v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94"/>
    </row>
    <row r="2288" spans="1:27" ht="15.75" customHeight="1">
      <c r="A2288" s="204" t="str">
        <f>IF(B2288&lt;&gt;"",IF(AND(B2288&gt;=_TM1,B2288&lt;=_TM2,OR(TH!L2288="1111",TH!M2288="1111")),TH!D2288,""),"")</f>
        <v/>
      </c>
      <c r="B2288" s="36">
        <f t="shared" si="180"/>
        <v>11</v>
      </c>
      <c r="C2288" s="191">
        <v>40866</v>
      </c>
      <c r="D2288" s="191" t="s">
        <v>970</v>
      </c>
      <c r="E2288" s="883">
        <v>40866</v>
      </c>
      <c r="F2288" s="192" t="s">
        <v>1176</v>
      </c>
      <c r="G2288" s="498" t="s">
        <v>1307</v>
      </c>
      <c r="H2288" s="193" t="s">
        <v>733</v>
      </c>
      <c r="I2288" s="256"/>
      <c r="J2288" s="256"/>
      <c r="K2288" s="614">
        <v>1003169</v>
      </c>
      <c r="L2288" s="194" t="s">
        <v>259</v>
      </c>
      <c r="M2288" s="194" t="s">
        <v>731</v>
      </c>
      <c r="N2288" s="52" t="str">
        <f>IF(AND('331-CT'!$E$7=TH!H2288,OR(L2288="331",M2288="331")),"331",IF(AND(OR(L2288="131",M2288="131"),H2288='131-CT'!$E$7),"131",""))</f>
        <v>131</v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94"/>
    </row>
    <row r="2289" spans="1:30" ht="15.75" customHeight="1">
      <c r="A2289" s="204" t="str">
        <f>IF(B2289&lt;&gt;"",IF(AND(B2289&gt;=_TM1,B2289&lt;=_TM2,OR(TH!L2289="1111",TH!M2289="1111")),TH!D2289,""),"")</f>
        <v/>
      </c>
      <c r="B2289" s="712">
        <f t="shared" si="180"/>
        <v>11</v>
      </c>
      <c r="C2289" s="860">
        <f t="shared" ref="C2289:C2320" si="181">E2289</f>
        <v>40866</v>
      </c>
      <c r="D2289" s="48" t="s">
        <v>1130</v>
      </c>
      <c r="E2289" s="869">
        <v>40866</v>
      </c>
      <c r="F2289" s="49" t="s">
        <v>1306</v>
      </c>
      <c r="G2289" s="49"/>
      <c r="H2289" s="868" t="s">
        <v>1092</v>
      </c>
      <c r="I2289" s="254">
        <v>38</v>
      </c>
      <c r="J2289" s="254">
        <v>18624.981870055966</v>
      </c>
      <c r="K2289" s="716">
        <f t="shared" ref="K2289:K2320" si="182">ROUND(I2289*J2289,0)</f>
        <v>707749</v>
      </c>
      <c r="L2289" s="52" t="s">
        <v>159</v>
      </c>
      <c r="M2289" s="52" t="s">
        <v>157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94"/>
      <c r="AB2289" s="831"/>
      <c r="AC2289" s="831"/>
      <c r="AD2289" s="831"/>
    </row>
    <row r="2290" spans="1:30" ht="15.75" customHeight="1">
      <c r="A2290" s="204" t="str">
        <f>IF(B2290&lt;&gt;"",IF(AND(B2290&gt;=_TM1,B2290&lt;=_TM2,OR(TH!L2290="1111",TH!M2290="1111")),TH!D2290,""),"")</f>
        <v/>
      </c>
      <c r="B2290" s="712">
        <f t="shared" si="180"/>
        <v>11</v>
      </c>
      <c r="C2290" s="860">
        <f t="shared" si="181"/>
        <v>40866</v>
      </c>
      <c r="D2290" s="48" t="s">
        <v>1130</v>
      </c>
      <c r="E2290" s="869">
        <v>40866</v>
      </c>
      <c r="F2290" s="49" t="s">
        <v>1308</v>
      </c>
      <c r="G2290" s="49"/>
      <c r="H2290" s="868" t="s">
        <v>1092</v>
      </c>
      <c r="I2290" s="254">
        <v>8</v>
      </c>
      <c r="J2290" s="254">
        <v>15403.383185845443</v>
      </c>
      <c r="K2290" s="716">
        <f t="shared" si="182"/>
        <v>123227</v>
      </c>
      <c r="L2290" s="52" t="s">
        <v>159</v>
      </c>
      <c r="M2290" s="52" t="s">
        <v>157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94"/>
      <c r="AB2290" s="831"/>
      <c r="AC2290" s="831"/>
      <c r="AD2290" s="831"/>
    </row>
    <row r="2291" spans="1:30" ht="15.75" customHeight="1">
      <c r="A2291" s="204" t="str">
        <f>IF(B2291&lt;&gt;"",IF(AND(B2291&gt;=_TM1,B2291&lt;=_TM2,OR(TH!L2291="1111",TH!M2291="1111")),TH!D2291,""),"")</f>
        <v/>
      </c>
      <c r="B2291" s="712">
        <f t="shared" si="180"/>
        <v>11</v>
      </c>
      <c r="C2291" s="860">
        <f t="shared" si="181"/>
        <v>40866</v>
      </c>
      <c r="D2291" s="48" t="s">
        <v>1130</v>
      </c>
      <c r="E2291" s="869">
        <v>40866</v>
      </c>
      <c r="F2291" s="49" t="s">
        <v>1309</v>
      </c>
      <c r="G2291" s="49"/>
      <c r="H2291" s="868" t="s">
        <v>1092</v>
      </c>
      <c r="I2291" s="254">
        <v>24</v>
      </c>
      <c r="J2291" s="254">
        <v>9918.4665191787753</v>
      </c>
      <c r="K2291" s="716">
        <f t="shared" si="182"/>
        <v>238043</v>
      </c>
      <c r="L2291" s="52" t="s">
        <v>159</v>
      </c>
      <c r="M2291" s="52" t="s">
        <v>157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94"/>
      <c r="AB2291" s="831"/>
      <c r="AC2291" s="831"/>
      <c r="AD2291" s="831"/>
    </row>
    <row r="2292" spans="1:30" ht="15.75" customHeight="1">
      <c r="A2292" s="204" t="str">
        <f>IF(B2292&lt;&gt;"",IF(AND(B2292&gt;=_TM1,B2292&lt;=_TM2,OR(TH!L2292="1111",TH!M2292="1111")),TH!D2292,""),"")</f>
        <v/>
      </c>
      <c r="B2292" s="712">
        <f t="shared" si="180"/>
        <v>11</v>
      </c>
      <c r="C2292" s="860">
        <f t="shared" si="181"/>
        <v>40866</v>
      </c>
      <c r="D2292" s="48" t="s">
        <v>1130</v>
      </c>
      <c r="E2292" s="869">
        <v>40866</v>
      </c>
      <c r="F2292" s="49" t="s">
        <v>1310</v>
      </c>
      <c r="G2292" s="49"/>
      <c r="H2292" s="868" t="s">
        <v>1092</v>
      </c>
      <c r="I2292" s="254">
        <v>24</v>
      </c>
      <c r="J2292" s="254">
        <v>8350.9665191787753</v>
      </c>
      <c r="K2292" s="716">
        <f t="shared" si="182"/>
        <v>200423</v>
      </c>
      <c r="L2292" s="52" t="s">
        <v>159</v>
      </c>
      <c r="M2292" s="52" t="s">
        <v>157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94"/>
      <c r="AB2292" s="831"/>
      <c r="AC2292" s="831"/>
      <c r="AD2292" s="831"/>
    </row>
    <row r="2293" spans="1:30" ht="15.75" customHeight="1">
      <c r="A2293" s="204" t="str">
        <f>IF(B2293&lt;&gt;"",IF(AND(B2293&gt;=_TM1,B2293&lt;=_TM2,OR(TH!L2293="1111",TH!M2293="1111")),TH!D2293,""),"")</f>
        <v/>
      </c>
      <c r="B2293" s="712">
        <f t="shared" si="180"/>
        <v>11</v>
      </c>
      <c r="C2293" s="860">
        <f t="shared" si="181"/>
        <v>40866</v>
      </c>
      <c r="D2293" s="48" t="s">
        <v>1130</v>
      </c>
      <c r="E2293" s="869">
        <v>40866</v>
      </c>
      <c r="F2293" s="49" t="s">
        <v>1311</v>
      </c>
      <c r="G2293" s="49"/>
      <c r="H2293" s="868" t="s">
        <v>1092</v>
      </c>
      <c r="I2293" s="254">
        <v>2</v>
      </c>
      <c r="J2293" s="254">
        <v>8275.0081858454432</v>
      </c>
      <c r="K2293" s="716">
        <f t="shared" si="182"/>
        <v>16550</v>
      </c>
      <c r="L2293" s="52" t="s">
        <v>159</v>
      </c>
      <c r="M2293" s="52" t="s">
        <v>157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94"/>
      <c r="AB2293" s="831"/>
      <c r="AC2293" s="831"/>
      <c r="AD2293" s="831"/>
    </row>
    <row r="2294" spans="1:30" ht="15.75" customHeight="1">
      <c r="A2294" s="204" t="str">
        <f>IF(B2294&lt;&gt;"",IF(AND(B2294&gt;=_TM1,B2294&lt;=_TM2,OR(TH!L2294="1111",TH!M2294="1111")),TH!D2294,""),"")</f>
        <v/>
      </c>
      <c r="B2294" s="712">
        <f t="shared" si="180"/>
        <v>11</v>
      </c>
      <c r="C2294" s="860">
        <f t="shared" si="181"/>
        <v>40866</v>
      </c>
      <c r="D2294" s="48" t="s">
        <v>1130</v>
      </c>
      <c r="E2294" s="869">
        <v>40866</v>
      </c>
      <c r="F2294" s="49" t="s">
        <v>1312</v>
      </c>
      <c r="G2294" s="49"/>
      <c r="H2294" s="868" t="s">
        <v>1092</v>
      </c>
      <c r="I2294" s="254">
        <v>25</v>
      </c>
      <c r="J2294" s="254">
        <v>13595.988185845443</v>
      </c>
      <c r="K2294" s="716">
        <f t="shared" si="182"/>
        <v>339900</v>
      </c>
      <c r="L2294" s="52" t="s">
        <v>159</v>
      </c>
      <c r="M2294" s="52" t="s">
        <v>157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94"/>
      <c r="AB2294" s="831"/>
      <c r="AC2294" s="831"/>
      <c r="AD2294" s="831"/>
    </row>
    <row r="2295" spans="1:30" ht="15.75" customHeight="1">
      <c r="A2295" s="204" t="str">
        <f>IF(B2295&lt;&gt;"",IF(AND(B2295&gt;=_TM1,B2295&lt;=_TM2,OR(TH!L2295="1111",TH!M2295="1111")),TH!D2295,""),"")</f>
        <v/>
      </c>
      <c r="B2295" s="712">
        <f t="shared" si="180"/>
        <v>11</v>
      </c>
      <c r="C2295" s="860">
        <f t="shared" si="181"/>
        <v>40866</v>
      </c>
      <c r="D2295" s="48" t="s">
        <v>1130</v>
      </c>
      <c r="E2295" s="869">
        <v>40866</v>
      </c>
      <c r="F2295" s="49" t="s">
        <v>1313</v>
      </c>
      <c r="G2295" s="49"/>
      <c r="H2295" s="868" t="s">
        <v>1092</v>
      </c>
      <c r="I2295" s="254">
        <v>274</v>
      </c>
      <c r="J2295" s="254">
        <v>9918.5045362104065</v>
      </c>
      <c r="K2295" s="716">
        <f t="shared" si="182"/>
        <v>2717670</v>
      </c>
      <c r="L2295" s="52" t="s">
        <v>159</v>
      </c>
      <c r="M2295" s="52" t="s">
        <v>157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94"/>
      <c r="AB2295" s="831"/>
      <c r="AC2295" s="831"/>
      <c r="AD2295" s="831"/>
    </row>
    <row r="2296" spans="1:30" ht="15.75" customHeight="1">
      <c r="A2296" s="204" t="str">
        <f>IF(B2296&lt;&gt;"",IF(AND(B2296&gt;=_TM1,B2296&lt;=_TM2,OR(TH!L2296="1111",TH!M2296="1111")),TH!D2296,""),"")</f>
        <v/>
      </c>
      <c r="B2296" s="712">
        <f t="shared" si="180"/>
        <v>11</v>
      </c>
      <c r="C2296" s="860">
        <f t="shared" si="181"/>
        <v>40866</v>
      </c>
      <c r="D2296" s="48" t="s">
        <v>1130</v>
      </c>
      <c r="E2296" s="869">
        <v>40866</v>
      </c>
      <c r="F2296" s="49" t="s">
        <v>1314</v>
      </c>
      <c r="G2296" s="49"/>
      <c r="H2296" s="868" t="s">
        <v>1092</v>
      </c>
      <c r="I2296" s="254">
        <v>123</v>
      </c>
      <c r="J2296" s="254">
        <v>9918.5000557641433</v>
      </c>
      <c r="K2296" s="716">
        <f t="shared" si="182"/>
        <v>1219976</v>
      </c>
      <c r="L2296" s="52" t="s">
        <v>159</v>
      </c>
      <c r="M2296" s="52" t="s">
        <v>157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94"/>
      <c r="AB2296" s="831"/>
      <c r="AC2296" s="831"/>
      <c r="AD2296" s="831"/>
    </row>
    <row r="2297" spans="1:30" ht="15.75" customHeight="1">
      <c r="A2297" s="204" t="str">
        <f>IF(B2297&lt;&gt;"",IF(AND(B2297&gt;=_TM1,B2297&lt;=_TM2,OR(TH!L2297="1111",TH!M2297="1111")),TH!D2297,""),"")</f>
        <v/>
      </c>
      <c r="B2297" s="712">
        <f t="shared" si="180"/>
        <v>11</v>
      </c>
      <c r="C2297" s="860">
        <f t="shared" si="181"/>
        <v>40866</v>
      </c>
      <c r="D2297" s="48" t="s">
        <v>1131</v>
      </c>
      <c r="E2297" s="869">
        <v>40866</v>
      </c>
      <c r="F2297" s="49" t="s">
        <v>1315</v>
      </c>
      <c r="G2297" s="49"/>
      <c r="H2297" s="868" t="s">
        <v>1092</v>
      </c>
      <c r="I2297" s="254">
        <v>118</v>
      </c>
      <c r="J2297" s="254">
        <v>1449.3132705912053</v>
      </c>
      <c r="K2297" s="716">
        <f t="shared" si="182"/>
        <v>171019</v>
      </c>
      <c r="L2297" s="52" t="s">
        <v>159</v>
      </c>
      <c r="M2297" s="52" t="s">
        <v>157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94"/>
      <c r="AB2297" s="831"/>
      <c r="AC2297" s="831"/>
      <c r="AD2297" s="831"/>
    </row>
    <row r="2298" spans="1:30" ht="15.75" customHeight="1">
      <c r="A2298" s="204" t="str">
        <f>IF(B2298&lt;&gt;"",IF(AND(B2298&gt;=_TM1,B2298&lt;=_TM2,OR(TH!L2298="1111",TH!M2298="1111")),TH!D2298,""),"")</f>
        <v/>
      </c>
      <c r="B2298" s="712">
        <f t="shared" si="180"/>
        <v>11</v>
      </c>
      <c r="C2298" s="860">
        <f t="shared" si="181"/>
        <v>40866</v>
      </c>
      <c r="D2298" s="48" t="s">
        <v>1131</v>
      </c>
      <c r="E2298" s="869">
        <v>40866</v>
      </c>
      <c r="F2298" s="49" t="s">
        <v>1316</v>
      </c>
      <c r="G2298" s="49"/>
      <c r="H2298" s="868" t="s">
        <v>1092</v>
      </c>
      <c r="I2298" s="254">
        <v>236</v>
      </c>
      <c r="J2298" s="254">
        <v>1449.3175078793408</v>
      </c>
      <c r="K2298" s="716">
        <f t="shared" si="182"/>
        <v>342039</v>
      </c>
      <c r="L2298" s="52" t="s">
        <v>159</v>
      </c>
      <c r="M2298" s="52" t="s">
        <v>157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94"/>
      <c r="AB2298" s="831"/>
      <c r="AC2298" s="831"/>
      <c r="AD2298" s="831"/>
    </row>
    <row r="2299" spans="1:30" ht="15.75" customHeight="1">
      <c r="A2299" s="204" t="str">
        <f>IF(B2299&lt;&gt;"",IF(AND(B2299&gt;=_TM1,B2299&lt;=_TM2,OR(TH!L2299="1111",TH!M2299="1111")),TH!D2299,""),"")</f>
        <v/>
      </c>
      <c r="B2299" s="712">
        <f t="shared" si="180"/>
        <v>11</v>
      </c>
      <c r="C2299" s="860">
        <f t="shared" si="181"/>
        <v>40866</v>
      </c>
      <c r="D2299" s="48" t="s">
        <v>1131</v>
      </c>
      <c r="E2299" s="869">
        <v>40866</v>
      </c>
      <c r="F2299" s="49" t="s">
        <v>1317</v>
      </c>
      <c r="G2299" s="49"/>
      <c r="H2299" s="868" t="s">
        <v>1092</v>
      </c>
      <c r="I2299" s="254">
        <v>60</v>
      </c>
      <c r="J2299" s="254">
        <v>1520.9415191787762</v>
      </c>
      <c r="K2299" s="716">
        <f t="shared" si="182"/>
        <v>91256</v>
      </c>
      <c r="L2299" s="52" t="s">
        <v>159</v>
      </c>
      <c r="M2299" s="52" t="s">
        <v>157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94"/>
      <c r="AB2299" s="831"/>
      <c r="AC2299" s="831"/>
      <c r="AD2299" s="831"/>
    </row>
    <row r="2300" spans="1:30" ht="15.75" customHeight="1">
      <c r="A2300" s="204" t="str">
        <f>IF(B2300&lt;&gt;"",IF(AND(B2300&gt;=_TM1,B2300&lt;=_TM2,OR(TH!L2300="1111",TH!M2300="1111")),TH!D2300,""),"")</f>
        <v/>
      </c>
      <c r="B2300" s="712">
        <f t="shared" si="180"/>
        <v>11</v>
      </c>
      <c r="C2300" s="860">
        <f t="shared" si="181"/>
        <v>40866</v>
      </c>
      <c r="D2300" s="48" t="s">
        <v>1131</v>
      </c>
      <c r="E2300" s="869">
        <v>40866</v>
      </c>
      <c r="F2300" s="49" t="s">
        <v>1318</v>
      </c>
      <c r="G2300" s="49"/>
      <c r="H2300" s="868" t="s">
        <v>1092</v>
      </c>
      <c r="I2300" s="254">
        <v>120</v>
      </c>
      <c r="J2300" s="254">
        <v>1520.9498525121094</v>
      </c>
      <c r="K2300" s="716">
        <f t="shared" si="182"/>
        <v>182514</v>
      </c>
      <c r="L2300" s="52" t="s">
        <v>159</v>
      </c>
      <c r="M2300" s="52" t="s">
        <v>157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94"/>
      <c r="AB2300" s="831"/>
      <c r="AC2300" s="831"/>
      <c r="AD2300" s="831"/>
    </row>
    <row r="2301" spans="1:30" ht="15.75" customHeight="1">
      <c r="A2301" s="204" t="str">
        <f>IF(B2301&lt;&gt;"",IF(AND(B2301&gt;=_TM1,B2301&lt;=_TM2,OR(TH!L2301="1111",TH!M2301="1111")),TH!D2301,""),"")</f>
        <v/>
      </c>
      <c r="B2301" s="712">
        <f t="shared" si="180"/>
        <v>11</v>
      </c>
      <c r="C2301" s="860">
        <f t="shared" si="181"/>
        <v>40866</v>
      </c>
      <c r="D2301" s="48" t="s">
        <v>1131</v>
      </c>
      <c r="E2301" s="869">
        <v>40866</v>
      </c>
      <c r="F2301" s="49" t="s">
        <v>1319</v>
      </c>
      <c r="G2301" s="49"/>
      <c r="H2301" s="868" t="s">
        <v>1092</v>
      </c>
      <c r="I2301" s="254">
        <v>74</v>
      </c>
      <c r="J2301" s="254">
        <v>1719.3460236832809</v>
      </c>
      <c r="K2301" s="716">
        <f t="shared" si="182"/>
        <v>127232</v>
      </c>
      <c r="L2301" s="52" t="s">
        <v>159</v>
      </c>
      <c r="M2301" s="52" t="s">
        <v>157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94"/>
      <c r="AB2301" s="831"/>
      <c r="AC2301" s="831"/>
      <c r="AD2301" s="831"/>
    </row>
    <row r="2302" spans="1:30" ht="15.75" customHeight="1">
      <c r="A2302" s="204" t="str">
        <f>IF(B2302&lt;&gt;"",IF(AND(B2302&gt;=_TM1,B2302&lt;=_TM2,OR(TH!L2302="1111",TH!M2302="1111")),TH!D2302,""),"")</f>
        <v/>
      </c>
      <c r="B2302" s="712">
        <f t="shared" si="180"/>
        <v>11</v>
      </c>
      <c r="C2302" s="860">
        <f t="shared" si="181"/>
        <v>40866</v>
      </c>
      <c r="D2302" s="48" t="s">
        <v>1131</v>
      </c>
      <c r="E2302" s="869">
        <v>40866</v>
      </c>
      <c r="F2302" s="49" t="s">
        <v>1320</v>
      </c>
      <c r="G2302" s="49"/>
      <c r="H2302" s="868" t="s">
        <v>1092</v>
      </c>
      <c r="I2302" s="254">
        <v>148</v>
      </c>
      <c r="J2302" s="254">
        <v>1749.4135912508484</v>
      </c>
      <c r="K2302" s="716">
        <f t="shared" si="182"/>
        <v>258913</v>
      </c>
      <c r="L2302" s="52" t="s">
        <v>159</v>
      </c>
      <c r="M2302" s="52" t="s">
        <v>157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94"/>
      <c r="AB2302" s="831"/>
      <c r="AC2302" s="831"/>
      <c r="AD2302" s="831"/>
    </row>
    <row r="2303" spans="1:30" ht="15.75" customHeight="1">
      <c r="A2303" s="204" t="str">
        <f>IF(B2303&lt;&gt;"",IF(AND(B2303&gt;=_TM1,B2303&lt;=_TM2,OR(TH!L2303="1111",TH!M2303="1111")),TH!D2303,""),"")</f>
        <v/>
      </c>
      <c r="B2303" s="712">
        <f t="shared" si="180"/>
        <v>11</v>
      </c>
      <c r="C2303" s="860">
        <f t="shared" si="181"/>
        <v>40866</v>
      </c>
      <c r="D2303" s="48" t="s">
        <v>1131</v>
      </c>
      <c r="E2303" s="869">
        <v>40866</v>
      </c>
      <c r="F2303" s="49" t="s">
        <v>1321</v>
      </c>
      <c r="G2303" s="49"/>
      <c r="H2303" s="868" t="s">
        <v>1092</v>
      </c>
      <c r="I2303" s="254">
        <v>136</v>
      </c>
      <c r="J2303" s="254">
        <v>2074.9861270219135</v>
      </c>
      <c r="K2303" s="716">
        <f t="shared" si="182"/>
        <v>282198</v>
      </c>
      <c r="L2303" s="52" t="s">
        <v>159</v>
      </c>
      <c r="M2303" s="52" t="s">
        <v>157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94"/>
      <c r="AB2303" s="831"/>
      <c r="AC2303" s="831"/>
      <c r="AD2303" s="831"/>
    </row>
    <row r="2304" spans="1:30" ht="15.75" customHeight="1">
      <c r="A2304" s="204" t="str">
        <f>IF(B2304&lt;&gt;"",IF(AND(B2304&gt;=_TM1,B2304&lt;=_TM2,OR(TH!L2304="1111",TH!M2304="1111")),TH!D2304,""),"")</f>
        <v/>
      </c>
      <c r="B2304" s="712">
        <f t="shared" si="180"/>
        <v>11</v>
      </c>
      <c r="C2304" s="860">
        <f t="shared" si="181"/>
        <v>40866</v>
      </c>
      <c r="D2304" s="48" t="s">
        <v>1131</v>
      </c>
      <c r="E2304" s="869">
        <v>40866</v>
      </c>
      <c r="F2304" s="49" t="s">
        <v>1322</v>
      </c>
      <c r="G2304" s="49"/>
      <c r="H2304" s="868" t="s">
        <v>1092</v>
      </c>
      <c r="I2304" s="254">
        <v>272</v>
      </c>
      <c r="J2304" s="254">
        <v>1527.4971564336781</v>
      </c>
      <c r="K2304" s="716">
        <f t="shared" si="182"/>
        <v>415479</v>
      </c>
      <c r="L2304" s="52" t="s">
        <v>159</v>
      </c>
      <c r="M2304" s="52" t="s">
        <v>157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94"/>
      <c r="AB2304" s="831"/>
      <c r="AC2304" s="831"/>
      <c r="AD2304" s="831"/>
    </row>
    <row r="2305" spans="1:30" ht="15.75" customHeight="1">
      <c r="A2305" s="204" t="str">
        <f>IF(B2305&lt;&gt;"",IF(AND(B2305&gt;=_TM1,B2305&lt;=_TM2,OR(TH!L2305="1111",TH!M2305="1111")),TH!D2305,""),"")</f>
        <v/>
      </c>
      <c r="B2305" s="712">
        <f t="shared" si="180"/>
        <v>11</v>
      </c>
      <c r="C2305" s="860">
        <f t="shared" si="181"/>
        <v>40866</v>
      </c>
      <c r="D2305" s="48" t="s">
        <v>1131</v>
      </c>
      <c r="E2305" s="869">
        <v>40866</v>
      </c>
      <c r="F2305" s="49" t="s">
        <v>1323</v>
      </c>
      <c r="G2305" s="49"/>
      <c r="H2305" s="868" t="s">
        <v>1092</v>
      </c>
      <c r="I2305" s="254">
        <v>18</v>
      </c>
      <c r="J2305" s="254">
        <v>1792.7859636232206</v>
      </c>
      <c r="K2305" s="716">
        <f t="shared" si="182"/>
        <v>32270</v>
      </c>
      <c r="L2305" s="52" t="s">
        <v>159</v>
      </c>
      <c r="M2305" s="52" t="s">
        <v>157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94"/>
      <c r="AB2305" s="831"/>
      <c r="AC2305" s="831"/>
      <c r="AD2305" s="831"/>
    </row>
    <row r="2306" spans="1:30" ht="15.75" customHeight="1">
      <c r="A2306" s="204" t="str">
        <f>IF(B2306&lt;&gt;"",IF(AND(B2306&gt;=_TM1,B2306&lt;=_TM2,OR(TH!L2306="1111",TH!M2306="1111")),TH!D2306,""),"")</f>
        <v/>
      </c>
      <c r="B2306" s="712">
        <f t="shared" si="180"/>
        <v>11</v>
      </c>
      <c r="C2306" s="860">
        <f t="shared" si="181"/>
        <v>40866</v>
      </c>
      <c r="D2306" s="48" t="s">
        <v>1132</v>
      </c>
      <c r="E2306" s="869">
        <v>40866</v>
      </c>
      <c r="F2306" s="49" t="s">
        <v>1324</v>
      </c>
      <c r="G2306" s="49"/>
      <c r="H2306" s="868" t="s">
        <v>1092</v>
      </c>
      <c r="I2306" s="254">
        <v>36</v>
      </c>
      <c r="J2306" s="254">
        <v>1545.6470747343315</v>
      </c>
      <c r="K2306" s="716">
        <f t="shared" si="182"/>
        <v>55643</v>
      </c>
      <c r="L2306" s="52" t="s">
        <v>159</v>
      </c>
      <c r="M2306" s="52" t="s">
        <v>157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94"/>
      <c r="AB2306" s="831"/>
      <c r="AC2306" s="831"/>
      <c r="AD2306" s="831"/>
    </row>
    <row r="2307" spans="1:30" ht="15.75" customHeight="1">
      <c r="A2307" s="204" t="str">
        <f>IF(B2307&lt;&gt;"",IF(AND(B2307&gt;=_TM1,B2307&lt;=_TM2,OR(TH!L2307="1111",TH!M2307="1111")),TH!D2307,""),"")</f>
        <v/>
      </c>
      <c r="B2307" s="712">
        <f t="shared" si="180"/>
        <v>11</v>
      </c>
      <c r="C2307" s="860">
        <f t="shared" si="181"/>
        <v>40866</v>
      </c>
      <c r="D2307" s="48" t="s">
        <v>1132</v>
      </c>
      <c r="E2307" s="869">
        <v>40866</v>
      </c>
      <c r="F2307" s="49" t="s">
        <v>1316</v>
      </c>
      <c r="G2307" s="49"/>
      <c r="H2307" s="868" t="s">
        <v>1092</v>
      </c>
      <c r="I2307" s="254">
        <v>79</v>
      </c>
      <c r="J2307" s="254">
        <v>1467.4448947062021</v>
      </c>
      <c r="K2307" s="716">
        <f t="shared" si="182"/>
        <v>115928</v>
      </c>
      <c r="L2307" s="52" t="s">
        <v>159</v>
      </c>
      <c r="M2307" s="52" t="s">
        <v>157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94"/>
      <c r="AB2307" s="831"/>
      <c r="AC2307" s="831"/>
      <c r="AD2307" s="831"/>
    </row>
    <row r="2308" spans="1:30" ht="15.75" customHeight="1">
      <c r="A2308" s="204" t="str">
        <f>IF(B2308&lt;&gt;"",IF(AND(B2308&gt;=_TM1,B2308&lt;=_TM2,OR(TH!L2308="1111",TH!M2308="1111")),TH!D2308,""),"")</f>
        <v/>
      </c>
      <c r="B2308" s="712">
        <f t="shared" si="180"/>
        <v>11</v>
      </c>
      <c r="C2308" s="860">
        <f t="shared" si="181"/>
        <v>40866</v>
      </c>
      <c r="D2308" s="48" t="s">
        <v>1132</v>
      </c>
      <c r="E2308" s="869">
        <v>40866</v>
      </c>
      <c r="F2308" s="49" t="s">
        <v>1325</v>
      </c>
      <c r="G2308" s="49"/>
      <c r="H2308" s="868" t="s">
        <v>1092</v>
      </c>
      <c r="I2308" s="254">
        <v>158</v>
      </c>
      <c r="J2308" s="254">
        <v>1523.7676795163288</v>
      </c>
      <c r="K2308" s="716">
        <f t="shared" si="182"/>
        <v>240755</v>
      </c>
      <c r="L2308" s="52" t="s">
        <v>159</v>
      </c>
      <c r="M2308" s="52" t="s">
        <v>157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94"/>
      <c r="AB2308" s="831"/>
      <c r="AC2308" s="831"/>
      <c r="AD2308" s="831"/>
    </row>
    <row r="2309" spans="1:30" ht="15.75" customHeight="1">
      <c r="A2309" s="204" t="str">
        <f>IF(B2309&lt;&gt;"",IF(AND(B2309&gt;=_TM1,B2309&lt;=_TM2,OR(TH!L2309="1111",TH!M2309="1111")),TH!D2309,""),"")</f>
        <v/>
      </c>
      <c r="B2309" s="712">
        <f t="shared" si="180"/>
        <v>11</v>
      </c>
      <c r="C2309" s="860">
        <f t="shared" si="181"/>
        <v>40866</v>
      </c>
      <c r="D2309" s="48" t="s">
        <v>1132</v>
      </c>
      <c r="E2309" s="869">
        <v>40866</v>
      </c>
      <c r="F2309" s="49" t="s">
        <v>1326</v>
      </c>
      <c r="G2309" s="49"/>
      <c r="H2309" s="868" t="s">
        <v>1092</v>
      </c>
      <c r="I2309" s="254">
        <v>82</v>
      </c>
      <c r="J2309" s="254">
        <v>1569.7764785283696</v>
      </c>
      <c r="K2309" s="716">
        <f t="shared" si="182"/>
        <v>128722</v>
      </c>
      <c r="L2309" s="52" t="s">
        <v>159</v>
      </c>
      <c r="M2309" s="52" t="s">
        <v>157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94"/>
      <c r="AB2309" s="831"/>
      <c r="AC2309" s="831"/>
      <c r="AD2309" s="831"/>
    </row>
    <row r="2310" spans="1:30" ht="15.75" customHeight="1">
      <c r="A2310" s="204" t="str">
        <f>IF(B2310&lt;&gt;"",IF(AND(B2310&gt;=_TM1,B2310&lt;=_TM2,OR(TH!L2310="1111",TH!M2310="1111")),TH!D2310,""),"")</f>
        <v/>
      </c>
      <c r="B2310" s="712">
        <f t="shared" si="180"/>
        <v>11</v>
      </c>
      <c r="C2310" s="860">
        <f t="shared" si="181"/>
        <v>40866</v>
      </c>
      <c r="D2310" s="48" t="s">
        <v>1132</v>
      </c>
      <c r="E2310" s="869">
        <v>40866</v>
      </c>
      <c r="F2310" s="49" t="s">
        <v>1327</v>
      </c>
      <c r="G2310" s="49"/>
      <c r="H2310" s="868" t="s">
        <v>1092</v>
      </c>
      <c r="I2310" s="254">
        <v>41</v>
      </c>
      <c r="J2310" s="254">
        <v>2492.1179419430036</v>
      </c>
      <c r="K2310" s="716">
        <f t="shared" si="182"/>
        <v>102177</v>
      </c>
      <c r="L2310" s="52" t="s">
        <v>159</v>
      </c>
      <c r="M2310" s="52" t="s">
        <v>157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94"/>
      <c r="AB2310" s="831"/>
      <c r="AC2310" s="831"/>
      <c r="AD2310" s="831"/>
    </row>
    <row r="2311" spans="1:30" ht="15.75" customHeight="1">
      <c r="A2311" s="204" t="str">
        <f>IF(B2311&lt;&gt;"",IF(AND(B2311&gt;=_TM1,B2311&lt;=_TM2,OR(TH!L2311="1111",TH!M2311="1111")),TH!D2311,""),"")</f>
        <v/>
      </c>
      <c r="B2311" s="712">
        <f t="shared" si="180"/>
        <v>11</v>
      </c>
      <c r="C2311" s="860">
        <f t="shared" si="181"/>
        <v>40866</v>
      </c>
      <c r="D2311" s="48" t="s">
        <v>1210</v>
      </c>
      <c r="E2311" s="869">
        <v>40866</v>
      </c>
      <c r="F2311" s="49" t="s">
        <v>759</v>
      </c>
      <c r="G2311" s="49"/>
      <c r="H2311" s="868" t="s">
        <v>1092</v>
      </c>
      <c r="I2311" s="254">
        <v>1</v>
      </c>
      <c r="J2311" s="254">
        <v>13141.508185845443</v>
      </c>
      <c r="K2311" s="716">
        <f t="shared" si="182"/>
        <v>13142</v>
      </c>
      <c r="L2311" s="52" t="s">
        <v>159</v>
      </c>
      <c r="M2311" s="52" t="s">
        <v>157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94"/>
      <c r="AB2311" s="831"/>
      <c r="AC2311" s="831"/>
      <c r="AD2311" s="831"/>
    </row>
    <row r="2312" spans="1:30" ht="15.75" customHeight="1">
      <c r="A2312" s="204" t="str">
        <f>IF(B2312&lt;&gt;"",IF(AND(B2312&gt;=_TM1,B2312&lt;=_TM2,OR(TH!L2312="1111",TH!M2312="1111")),TH!D2312,""),"")</f>
        <v/>
      </c>
      <c r="B2312" s="712">
        <f t="shared" si="180"/>
        <v>11</v>
      </c>
      <c r="C2312" s="860">
        <f t="shared" si="181"/>
        <v>40866</v>
      </c>
      <c r="D2312" s="48" t="s">
        <v>1210</v>
      </c>
      <c r="E2312" s="869">
        <v>40866</v>
      </c>
      <c r="F2312" s="49" t="s">
        <v>752</v>
      </c>
      <c r="G2312" s="49"/>
      <c r="H2312" s="868" t="s">
        <v>1092</v>
      </c>
      <c r="I2312" s="254">
        <v>2</v>
      </c>
      <c r="J2312" s="254">
        <v>11117.008185845443</v>
      </c>
      <c r="K2312" s="716">
        <f t="shared" si="182"/>
        <v>22234</v>
      </c>
      <c r="L2312" s="52" t="s">
        <v>159</v>
      </c>
      <c r="M2312" s="52" t="s">
        <v>157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94"/>
      <c r="AB2312" s="831"/>
      <c r="AC2312" s="831"/>
      <c r="AD2312" s="831"/>
    </row>
    <row r="2313" spans="1:30" ht="15.75" customHeight="1">
      <c r="A2313" s="204" t="str">
        <f>IF(B2313&lt;&gt;"",IF(AND(B2313&gt;=_TM1,B2313&lt;=_TM2,OR(TH!L2313="1111",TH!M2313="1111")),TH!D2313,""),"")</f>
        <v/>
      </c>
      <c r="B2313" s="712">
        <f t="shared" si="180"/>
        <v>11</v>
      </c>
      <c r="C2313" s="860">
        <f t="shared" si="181"/>
        <v>40866</v>
      </c>
      <c r="D2313" s="48" t="s">
        <v>1210</v>
      </c>
      <c r="E2313" s="869">
        <v>40866</v>
      </c>
      <c r="F2313" s="49" t="s">
        <v>1267</v>
      </c>
      <c r="G2313" s="49"/>
      <c r="H2313" s="868" t="s">
        <v>1092</v>
      </c>
      <c r="I2313" s="254">
        <v>21</v>
      </c>
      <c r="J2313" s="254">
        <v>15252.460566797827</v>
      </c>
      <c r="K2313" s="716">
        <f t="shared" si="182"/>
        <v>320302</v>
      </c>
      <c r="L2313" s="52" t="s">
        <v>159</v>
      </c>
      <c r="M2313" s="52" t="s">
        <v>157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94"/>
      <c r="AB2313" s="831"/>
      <c r="AC2313" s="831"/>
      <c r="AD2313" s="831"/>
    </row>
    <row r="2314" spans="1:30" ht="15.75" customHeight="1">
      <c r="A2314" s="204" t="str">
        <f>IF(B2314&lt;&gt;"",IF(AND(B2314&gt;=_TM1,B2314&lt;=_TM2,OR(TH!L2314="1111",TH!M2314="1111")),TH!D2314,""),"")</f>
        <v/>
      </c>
      <c r="B2314" s="712">
        <f t="shared" si="180"/>
        <v>11</v>
      </c>
      <c r="C2314" s="860">
        <f t="shared" si="181"/>
        <v>40866</v>
      </c>
      <c r="D2314" s="48" t="s">
        <v>1210</v>
      </c>
      <c r="E2314" s="869">
        <v>40866</v>
      </c>
      <c r="F2314" s="49" t="s">
        <v>746</v>
      </c>
      <c r="G2314" s="49"/>
      <c r="H2314" s="868" t="s">
        <v>1092</v>
      </c>
      <c r="I2314" s="254">
        <v>53</v>
      </c>
      <c r="J2314" s="254">
        <v>9705.1685632039353</v>
      </c>
      <c r="K2314" s="716">
        <f t="shared" si="182"/>
        <v>514374</v>
      </c>
      <c r="L2314" s="52" t="s">
        <v>159</v>
      </c>
      <c r="M2314" s="52" t="s">
        <v>157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94"/>
      <c r="AB2314" s="831"/>
      <c r="AC2314" s="831"/>
      <c r="AD2314" s="831"/>
    </row>
    <row r="2315" spans="1:30" ht="15.75" customHeight="1">
      <c r="A2315" s="204" t="str">
        <f>IF(B2315&lt;&gt;"",IF(AND(B2315&gt;=_TM1,B2315&lt;=_TM2,OR(TH!L2315="1111",TH!M2315="1111")),TH!D2315,""),"")</f>
        <v/>
      </c>
      <c r="B2315" s="712">
        <f t="shared" si="180"/>
        <v>11</v>
      </c>
      <c r="C2315" s="860">
        <f t="shared" si="181"/>
        <v>40866</v>
      </c>
      <c r="D2315" s="48" t="s">
        <v>1210</v>
      </c>
      <c r="E2315" s="869">
        <v>40866</v>
      </c>
      <c r="F2315" s="49" t="s">
        <v>1292</v>
      </c>
      <c r="G2315" s="49"/>
      <c r="H2315" s="868" t="s">
        <v>1092</v>
      </c>
      <c r="I2315" s="254">
        <v>6</v>
      </c>
      <c r="J2315" s="254">
        <v>11437.341519178777</v>
      </c>
      <c r="K2315" s="716">
        <f t="shared" si="182"/>
        <v>68624</v>
      </c>
      <c r="L2315" s="52" t="s">
        <v>159</v>
      </c>
      <c r="M2315" s="52" t="s">
        <v>157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94"/>
      <c r="AB2315" s="831"/>
      <c r="AC2315" s="831"/>
      <c r="AD2315" s="831"/>
    </row>
    <row r="2316" spans="1:30" ht="15.75" customHeight="1">
      <c r="A2316" s="204" t="str">
        <f>IF(B2316&lt;&gt;"",IF(AND(B2316&gt;=_TM1,B2316&lt;=_TM2,OR(TH!L2316="1111",TH!M2316="1111")),TH!D2316,""),"")</f>
        <v/>
      </c>
      <c r="B2316" s="712">
        <f t="shared" si="180"/>
        <v>11</v>
      </c>
      <c r="C2316" s="860">
        <f t="shared" si="181"/>
        <v>40866</v>
      </c>
      <c r="D2316" s="48" t="s">
        <v>1210</v>
      </c>
      <c r="E2316" s="869">
        <v>40866</v>
      </c>
      <c r="F2316" s="870" t="s">
        <v>750</v>
      </c>
      <c r="G2316" s="49"/>
      <c r="H2316" s="868" t="s">
        <v>1092</v>
      </c>
      <c r="I2316" s="254">
        <v>1</v>
      </c>
      <c r="J2316" s="254">
        <v>13141.508185845443</v>
      </c>
      <c r="K2316" s="716">
        <f t="shared" si="182"/>
        <v>13142</v>
      </c>
      <c r="L2316" s="52" t="s">
        <v>159</v>
      </c>
      <c r="M2316" s="52" t="s">
        <v>157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94"/>
      <c r="AB2316" s="831"/>
      <c r="AC2316" s="831"/>
      <c r="AD2316" s="831"/>
    </row>
    <row r="2317" spans="1:30" ht="15.75" customHeight="1">
      <c r="A2317" s="204" t="str">
        <f>IF(B2317&lt;&gt;"",IF(AND(B2317&gt;=_TM1,B2317&lt;=_TM2,OR(TH!L2317="1111",TH!M2317="1111")),TH!D2317,""),"")</f>
        <v/>
      </c>
      <c r="B2317" s="712">
        <f t="shared" si="180"/>
        <v>11</v>
      </c>
      <c r="C2317" s="860">
        <f t="shared" si="181"/>
        <v>40866</v>
      </c>
      <c r="D2317" s="48" t="s">
        <v>1210</v>
      </c>
      <c r="E2317" s="869">
        <v>40866</v>
      </c>
      <c r="F2317" s="49" t="s">
        <v>759</v>
      </c>
      <c r="G2317" s="49"/>
      <c r="H2317" s="868" t="s">
        <v>1092</v>
      </c>
      <c r="I2317" s="254">
        <v>1</v>
      </c>
      <c r="J2317" s="254">
        <v>15251.508185845443</v>
      </c>
      <c r="K2317" s="716">
        <f t="shared" si="182"/>
        <v>15252</v>
      </c>
      <c r="L2317" s="52" t="s">
        <v>159</v>
      </c>
      <c r="M2317" s="52" t="s">
        <v>157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94"/>
      <c r="AB2317" s="831"/>
      <c r="AC2317" s="831"/>
      <c r="AD2317" s="831"/>
    </row>
    <row r="2318" spans="1:30" ht="15.75" customHeight="1">
      <c r="A2318" s="204" t="str">
        <f>IF(B2318&lt;&gt;"",IF(AND(B2318&gt;=_TM1,B2318&lt;=_TM2,OR(TH!L2318="1111",TH!M2318="1111")),TH!D2318,""),"")</f>
        <v/>
      </c>
      <c r="B2318" s="712">
        <f t="shared" si="180"/>
        <v>11</v>
      </c>
      <c r="C2318" s="860">
        <f t="shared" si="181"/>
        <v>40866</v>
      </c>
      <c r="D2318" s="48" t="s">
        <v>1210</v>
      </c>
      <c r="E2318" s="869">
        <v>40866</v>
      </c>
      <c r="F2318" s="49" t="s">
        <v>1293</v>
      </c>
      <c r="G2318" s="49"/>
      <c r="H2318" s="868" t="s">
        <v>1092</v>
      </c>
      <c r="I2318" s="254">
        <v>12</v>
      </c>
      <c r="J2318" s="254">
        <v>14113.924852512109</v>
      </c>
      <c r="K2318" s="716">
        <f t="shared" si="182"/>
        <v>169367</v>
      </c>
      <c r="L2318" s="52" t="s">
        <v>159</v>
      </c>
      <c r="M2318" s="52" t="s">
        <v>157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94"/>
      <c r="AB2318" s="831"/>
      <c r="AC2318" s="831"/>
      <c r="AD2318" s="831"/>
    </row>
    <row r="2319" spans="1:30" ht="15.75" customHeight="1">
      <c r="A2319" s="204" t="str">
        <f>IF(B2319&lt;&gt;"",IF(AND(B2319&gt;=_TM1,B2319&lt;=_TM2,OR(TH!L2319="1111",TH!M2319="1111")),TH!D2319,""),"")</f>
        <v/>
      </c>
      <c r="B2319" s="36">
        <f t="shared" si="180"/>
        <v>11</v>
      </c>
      <c r="C2319" s="191">
        <f t="shared" si="181"/>
        <v>40866</v>
      </c>
      <c r="D2319" s="37" t="s">
        <v>970</v>
      </c>
      <c r="E2319" s="792">
        <v>40866</v>
      </c>
      <c r="F2319" s="192" t="s">
        <v>1306</v>
      </c>
      <c r="G2319" s="498" t="s">
        <v>1307</v>
      </c>
      <c r="H2319" s="193" t="s">
        <v>733</v>
      </c>
      <c r="I2319" s="256">
        <v>38</v>
      </c>
      <c r="J2319" s="256">
        <v>18624.981870055966</v>
      </c>
      <c r="K2319" s="866">
        <f t="shared" si="182"/>
        <v>707749</v>
      </c>
      <c r="L2319" s="854" t="s">
        <v>165</v>
      </c>
      <c r="M2319" s="854" t="s">
        <v>159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94"/>
    </row>
    <row r="2320" spans="1:30" ht="15.75" customHeight="1">
      <c r="A2320" s="204" t="str">
        <f>IF(B2320&lt;&gt;"",IF(AND(B2320&gt;=_TM1,B2320&lt;=_TM2,OR(TH!L2320="1111",TH!M2320="1111")),TH!D2320,""),"")</f>
        <v/>
      </c>
      <c r="B2320" s="36">
        <f t="shared" si="180"/>
        <v>11</v>
      </c>
      <c r="C2320" s="191">
        <f t="shared" si="181"/>
        <v>40866</v>
      </c>
      <c r="D2320" s="37" t="s">
        <v>970</v>
      </c>
      <c r="E2320" s="792">
        <v>40866</v>
      </c>
      <c r="F2320" s="192" t="s">
        <v>1308</v>
      </c>
      <c r="G2320" s="498" t="s">
        <v>1307</v>
      </c>
      <c r="H2320" s="193" t="s">
        <v>733</v>
      </c>
      <c r="I2320" s="256">
        <v>8</v>
      </c>
      <c r="J2320" s="256">
        <v>15403.383185845443</v>
      </c>
      <c r="K2320" s="866">
        <f t="shared" si="182"/>
        <v>123227</v>
      </c>
      <c r="L2320" s="854" t="s">
        <v>165</v>
      </c>
      <c r="M2320" s="854" t="s">
        <v>159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94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>
        <f t="shared" si="180"/>
        <v>11</v>
      </c>
      <c r="C2321" s="191">
        <f t="shared" ref="C2321:C2355" si="183">E2321</f>
        <v>40866</v>
      </c>
      <c r="D2321" s="37" t="s">
        <v>970</v>
      </c>
      <c r="E2321" s="792">
        <v>40866</v>
      </c>
      <c r="F2321" s="192" t="s">
        <v>1309</v>
      </c>
      <c r="G2321" s="498" t="s">
        <v>1307</v>
      </c>
      <c r="H2321" s="193" t="s">
        <v>733</v>
      </c>
      <c r="I2321" s="256">
        <v>24</v>
      </c>
      <c r="J2321" s="256">
        <v>9918.4665191787753</v>
      </c>
      <c r="K2321" s="866">
        <f t="shared" ref="K2321:K2352" si="184">ROUND(I2321*J2321,0)</f>
        <v>238043</v>
      </c>
      <c r="L2321" s="854" t="s">
        <v>165</v>
      </c>
      <c r="M2321" s="854" t="s">
        <v>159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94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>
        <f t="shared" si="180"/>
        <v>11</v>
      </c>
      <c r="C2322" s="191">
        <f t="shared" si="183"/>
        <v>40866</v>
      </c>
      <c r="D2322" s="37" t="s">
        <v>970</v>
      </c>
      <c r="E2322" s="792">
        <v>40866</v>
      </c>
      <c r="F2322" s="192" t="s">
        <v>1310</v>
      </c>
      <c r="G2322" s="498" t="s">
        <v>1307</v>
      </c>
      <c r="H2322" s="193" t="s">
        <v>733</v>
      </c>
      <c r="I2322" s="256">
        <v>24</v>
      </c>
      <c r="J2322" s="256">
        <v>8350.9665191787753</v>
      </c>
      <c r="K2322" s="866">
        <f t="shared" si="184"/>
        <v>200423</v>
      </c>
      <c r="L2322" s="854" t="s">
        <v>165</v>
      </c>
      <c r="M2322" s="854" t="s">
        <v>159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94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>
        <f t="shared" si="180"/>
        <v>11</v>
      </c>
      <c r="C2323" s="191">
        <f t="shared" si="183"/>
        <v>40866</v>
      </c>
      <c r="D2323" s="37" t="s">
        <v>970</v>
      </c>
      <c r="E2323" s="792">
        <v>40866</v>
      </c>
      <c r="F2323" s="192" t="s">
        <v>1311</v>
      </c>
      <c r="G2323" s="498" t="s">
        <v>1307</v>
      </c>
      <c r="H2323" s="193" t="s">
        <v>733</v>
      </c>
      <c r="I2323" s="256">
        <v>2</v>
      </c>
      <c r="J2323" s="256">
        <v>8275.0081858454432</v>
      </c>
      <c r="K2323" s="866">
        <f t="shared" si="184"/>
        <v>16550</v>
      </c>
      <c r="L2323" s="854" t="s">
        <v>165</v>
      </c>
      <c r="M2323" s="854" t="s">
        <v>159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94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>
        <f t="shared" si="180"/>
        <v>11</v>
      </c>
      <c r="C2324" s="191">
        <f t="shared" si="183"/>
        <v>40866</v>
      </c>
      <c r="D2324" s="37" t="s">
        <v>970</v>
      </c>
      <c r="E2324" s="792">
        <v>40866</v>
      </c>
      <c r="F2324" s="192" t="s">
        <v>1312</v>
      </c>
      <c r="G2324" s="498" t="s">
        <v>1307</v>
      </c>
      <c r="H2324" s="193" t="s">
        <v>733</v>
      </c>
      <c r="I2324" s="256">
        <v>25</v>
      </c>
      <c r="J2324" s="256">
        <v>13595.988185845443</v>
      </c>
      <c r="K2324" s="866">
        <f t="shared" si="184"/>
        <v>339900</v>
      </c>
      <c r="L2324" s="854" t="s">
        <v>165</v>
      </c>
      <c r="M2324" s="854" t="s">
        <v>159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94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>
        <f t="shared" si="180"/>
        <v>11</v>
      </c>
      <c r="C2325" s="191">
        <f t="shared" si="183"/>
        <v>40866</v>
      </c>
      <c r="D2325" s="37" t="s">
        <v>970</v>
      </c>
      <c r="E2325" s="792">
        <v>40866</v>
      </c>
      <c r="F2325" s="192" t="s">
        <v>1313</v>
      </c>
      <c r="G2325" s="498" t="s">
        <v>1307</v>
      </c>
      <c r="H2325" s="193" t="s">
        <v>733</v>
      </c>
      <c r="I2325" s="256">
        <v>274</v>
      </c>
      <c r="J2325" s="256">
        <v>9918.5045362104065</v>
      </c>
      <c r="K2325" s="866">
        <f t="shared" si="184"/>
        <v>2717670</v>
      </c>
      <c r="L2325" s="854" t="s">
        <v>165</v>
      </c>
      <c r="M2325" s="854" t="s">
        <v>159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94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>
        <f t="shared" si="180"/>
        <v>11</v>
      </c>
      <c r="C2326" s="191">
        <f t="shared" si="183"/>
        <v>40866</v>
      </c>
      <c r="D2326" s="37" t="s">
        <v>970</v>
      </c>
      <c r="E2326" s="792">
        <v>40866</v>
      </c>
      <c r="F2326" s="192" t="s">
        <v>1314</v>
      </c>
      <c r="G2326" s="498" t="s">
        <v>1307</v>
      </c>
      <c r="H2326" s="193" t="s">
        <v>733</v>
      </c>
      <c r="I2326" s="256">
        <v>123</v>
      </c>
      <c r="J2326" s="256">
        <v>9918.5000557641433</v>
      </c>
      <c r="K2326" s="866">
        <f t="shared" si="184"/>
        <v>1219976</v>
      </c>
      <c r="L2326" s="854" t="s">
        <v>165</v>
      </c>
      <c r="M2326" s="854" t="s">
        <v>159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94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>
        <f t="shared" si="180"/>
        <v>11</v>
      </c>
      <c r="C2327" s="191">
        <f t="shared" si="183"/>
        <v>40866</v>
      </c>
      <c r="D2327" s="37" t="s">
        <v>970</v>
      </c>
      <c r="E2327" s="792">
        <v>40866</v>
      </c>
      <c r="F2327" s="192" t="s">
        <v>1315</v>
      </c>
      <c r="G2327" s="498" t="s">
        <v>1307</v>
      </c>
      <c r="H2327" s="193" t="s">
        <v>733</v>
      </c>
      <c r="I2327" s="256">
        <v>118</v>
      </c>
      <c r="J2327" s="256">
        <v>1449.3132705912053</v>
      </c>
      <c r="K2327" s="866">
        <f t="shared" si="184"/>
        <v>171019</v>
      </c>
      <c r="L2327" s="854" t="s">
        <v>165</v>
      </c>
      <c r="M2327" s="854" t="s">
        <v>159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94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>
        <f t="shared" si="180"/>
        <v>11</v>
      </c>
      <c r="C2328" s="191">
        <f t="shared" si="183"/>
        <v>40866</v>
      </c>
      <c r="D2328" s="37" t="s">
        <v>970</v>
      </c>
      <c r="E2328" s="792">
        <v>40866</v>
      </c>
      <c r="F2328" s="192" t="s">
        <v>1316</v>
      </c>
      <c r="G2328" s="498" t="s">
        <v>1307</v>
      </c>
      <c r="H2328" s="193" t="s">
        <v>733</v>
      </c>
      <c r="I2328" s="256">
        <v>236</v>
      </c>
      <c r="J2328" s="256">
        <v>1449.3175078793408</v>
      </c>
      <c r="K2328" s="866">
        <f t="shared" si="184"/>
        <v>342039</v>
      </c>
      <c r="L2328" s="854" t="s">
        <v>165</v>
      </c>
      <c r="M2328" s="854" t="s">
        <v>159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94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>
        <f t="shared" ref="B2329:B2395" si="185">IF(C2329&lt;&gt;"",MONTH(C2329),"")</f>
        <v>11</v>
      </c>
      <c r="C2329" s="191">
        <f t="shared" si="183"/>
        <v>40866</v>
      </c>
      <c r="D2329" s="37" t="s">
        <v>970</v>
      </c>
      <c r="E2329" s="792">
        <v>40866</v>
      </c>
      <c r="F2329" s="192" t="s">
        <v>1317</v>
      </c>
      <c r="G2329" s="498" t="s">
        <v>1307</v>
      </c>
      <c r="H2329" s="193" t="s">
        <v>733</v>
      </c>
      <c r="I2329" s="256">
        <v>60</v>
      </c>
      <c r="J2329" s="256">
        <v>1520.9415191787762</v>
      </c>
      <c r="K2329" s="866">
        <f t="shared" si="184"/>
        <v>91256</v>
      </c>
      <c r="L2329" s="854" t="s">
        <v>165</v>
      </c>
      <c r="M2329" s="854" t="s">
        <v>159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94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>
        <f t="shared" si="185"/>
        <v>11</v>
      </c>
      <c r="C2330" s="191">
        <f t="shared" si="183"/>
        <v>40866</v>
      </c>
      <c r="D2330" s="37" t="s">
        <v>970</v>
      </c>
      <c r="E2330" s="792">
        <v>40866</v>
      </c>
      <c r="F2330" s="192" t="s">
        <v>1318</v>
      </c>
      <c r="G2330" s="498" t="s">
        <v>1307</v>
      </c>
      <c r="H2330" s="193" t="s">
        <v>733</v>
      </c>
      <c r="I2330" s="256">
        <v>120</v>
      </c>
      <c r="J2330" s="256">
        <v>1520.9498525121094</v>
      </c>
      <c r="K2330" s="866">
        <f t="shared" si="184"/>
        <v>182514</v>
      </c>
      <c r="L2330" s="854" t="s">
        <v>165</v>
      </c>
      <c r="M2330" s="854" t="s">
        <v>159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94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>
        <f t="shared" si="185"/>
        <v>11</v>
      </c>
      <c r="C2331" s="191">
        <f t="shared" si="183"/>
        <v>40866</v>
      </c>
      <c r="D2331" s="37" t="s">
        <v>970</v>
      </c>
      <c r="E2331" s="792">
        <v>40866</v>
      </c>
      <c r="F2331" s="192" t="s">
        <v>1319</v>
      </c>
      <c r="G2331" s="498" t="s">
        <v>1307</v>
      </c>
      <c r="H2331" s="193" t="s">
        <v>733</v>
      </c>
      <c r="I2331" s="256">
        <v>74</v>
      </c>
      <c r="J2331" s="256">
        <v>1719.3460236832809</v>
      </c>
      <c r="K2331" s="866">
        <f t="shared" si="184"/>
        <v>127232</v>
      </c>
      <c r="L2331" s="854" t="s">
        <v>165</v>
      </c>
      <c r="M2331" s="854" t="s">
        <v>159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94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>
        <f t="shared" si="185"/>
        <v>11</v>
      </c>
      <c r="C2332" s="191">
        <f t="shared" si="183"/>
        <v>40866</v>
      </c>
      <c r="D2332" s="37" t="s">
        <v>970</v>
      </c>
      <c r="E2332" s="792">
        <v>40866</v>
      </c>
      <c r="F2332" s="192" t="s">
        <v>1320</v>
      </c>
      <c r="G2332" s="498" t="s">
        <v>1307</v>
      </c>
      <c r="H2332" s="193" t="s">
        <v>733</v>
      </c>
      <c r="I2332" s="256">
        <v>148</v>
      </c>
      <c r="J2332" s="256">
        <v>1749.4135912508484</v>
      </c>
      <c r="K2332" s="866">
        <f t="shared" si="184"/>
        <v>258913</v>
      </c>
      <c r="L2332" s="854" t="s">
        <v>165</v>
      </c>
      <c r="M2332" s="854" t="s">
        <v>159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94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>
        <f t="shared" si="185"/>
        <v>11</v>
      </c>
      <c r="C2333" s="191">
        <f t="shared" si="183"/>
        <v>40866</v>
      </c>
      <c r="D2333" s="37" t="s">
        <v>970</v>
      </c>
      <c r="E2333" s="792">
        <v>40866</v>
      </c>
      <c r="F2333" s="192" t="s">
        <v>1321</v>
      </c>
      <c r="G2333" s="498" t="s">
        <v>1307</v>
      </c>
      <c r="H2333" s="193" t="s">
        <v>733</v>
      </c>
      <c r="I2333" s="256">
        <v>136</v>
      </c>
      <c r="J2333" s="256">
        <v>2074.9861270219135</v>
      </c>
      <c r="K2333" s="866">
        <f t="shared" si="184"/>
        <v>282198</v>
      </c>
      <c r="L2333" s="854" t="s">
        <v>165</v>
      </c>
      <c r="M2333" s="854" t="s">
        <v>159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94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>
        <f t="shared" si="185"/>
        <v>11</v>
      </c>
      <c r="C2334" s="191">
        <f t="shared" si="183"/>
        <v>40866</v>
      </c>
      <c r="D2334" s="37" t="s">
        <v>970</v>
      </c>
      <c r="E2334" s="792">
        <v>40866</v>
      </c>
      <c r="F2334" s="192" t="s">
        <v>1322</v>
      </c>
      <c r="G2334" s="498" t="s">
        <v>1307</v>
      </c>
      <c r="H2334" s="193" t="s">
        <v>733</v>
      </c>
      <c r="I2334" s="256">
        <v>272</v>
      </c>
      <c r="J2334" s="256">
        <v>1527.4971564336781</v>
      </c>
      <c r="K2334" s="866">
        <f t="shared" si="184"/>
        <v>415479</v>
      </c>
      <c r="L2334" s="854" t="s">
        <v>165</v>
      </c>
      <c r="M2334" s="854" t="s">
        <v>159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94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>
        <f t="shared" si="185"/>
        <v>11</v>
      </c>
      <c r="C2335" s="191">
        <f t="shared" si="183"/>
        <v>40866</v>
      </c>
      <c r="D2335" s="37" t="s">
        <v>970</v>
      </c>
      <c r="E2335" s="792">
        <v>40866</v>
      </c>
      <c r="F2335" s="192" t="s">
        <v>1323</v>
      </c>
      <c r="G2335" s="498" t="s">
        <v>1307</v>
      </c>
      <c r="H2335" s="193" t="s">
        <v>733</v>
      </c>
      <c r="I2335" s="256">
        <v>18</v>
      </c>
      <c r="J2335" s="256">
        <v>1792.7859636232206</v>
      </c>
      <c r="K2335" s="866">
        <f t="shared" si="184"/>
        <v>32270</v>
      </c>
      <c r="L2335" s="854" t="s">
        <v>165</v>
      </c>
      <c r="M2335" s="854" t="s">
        <v>159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94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>
        <f t="shared" si="185"/>
        <v>11</v>
      </c>
      <c r="C2336" s="191">
        <f t="shared" si="183"/>
        <v>40866</v>
      </c>
      <c r="D2336" s="37" t="s">
        <v>970</v>
      </c>
      <c r="E2336" s="792">
        <v>40866</v>
      </c>
      <c r="F2336" s="192" t="s">
        <v>1324</v>
      </c>
      <c r="G2336" s="498" t="s">
        <v>1307</v>
      </c>
      <c r="H2336" s="193" t="s">
        <v>733</v>
      </c>
      <c r="I2336" s="256">
        <v>36</v>
      </c>
      <c r="J2336" s="256">
        <v>1545.6470747343315</v>
      </c>
      <c r="K2336" s="866">
        <f t="shared" si="184"/>
        <v>55643</v>
      </c>
      <c r="L2336" s="854" t="s">
        <v>165</v>
      </c>
      <c r="M2336" s="854" t="s">
        <v>159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94"/>
    </row>
    <row r="2337" spans="1:30" ht="15.75" customHeight="1">
      <c r="A2337" s="204" t="str">
        <f>IF(B2337&lt;&gt;"",IF(AND(B2337&gt;=_TM1,B2337&lt;=_TM2,OR(TH!L2337="1111",TH!M2337="1111")),TH!D2337,""),"")</f>
        <v/>
      </c>
      <c r="B2337" s="36">
        <f t="shared" si="185"/>
        <v>11</v>
      </c>
      <c r="C2337" s="191">
        <f t="shared" si="183"/>
        <v>40866</v>
      </c>
      <c r="D2337" s="37" t="s">
        <v>970</v>
      </c>
      <c r="E2337" s="792">
        <v>40866</v>
      </c>
      <c r="F2337" s="192" t="s">
        <v>1316</v>
      </c>
      <c r="G2337" s="498" t="s">
        <v>1307</v>
      </c>
      <c r="H2337" s="193" t="s">
        <v>733</v>
      </c>
      <c r="I2337" s="256">
        <v>79</v>
      </c>
      <c r="J2337" s="256">
        <v>1467.4448947062021</v>
      </c>
      <c r="K2337" s="866">
        <f t="shared" si="184"/>
        <v>115928</v>
      </c>
      <c r="L2337" s="854" t="s">
        <v>165</v>
      </c>
      <c r="M2337" s="854" t="s">
        <v>159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94"/>
    </row>
    <row r="2338" spans="1:30" ht="15.75" customHeight="1">
      <c r="A2338" s="204" t="str">
        <f>IF(B2338&lt;&gt;"",IF(AND(B2338&gt;=_TM1,B2338&lt;=_TM2,OR(TH!L2338="1111",TH!M2338="1111")),TH!D2338,""),"")</f>
        <v/>
      </c>
      <c r="B2338" s="36">
        <f t="shared" si="185"/>
        <v>11</v>
      </c>
      <c r="C2338" s="191">
        <f t="shared" si="183"/>
        <v>40866</v>
      </c>
      <c r="D2338" s="37" t="s">
        <v>970</v>
      </c>
      <c r="E2338" s="792">
        <v>40866</v>
      </c>
      <c r="F2338" s="192" t="s">
        <v>1325</v>
      </c>
      <c r="G2338" s="498" t="s">
        <v>1307</v>
      </c>
      <c r="H2338" s="193" t="s">
        <v>733</v>
      </c>
      <c r="I2338" s="256">
        <v>158</v>
      </c>
      <c r="J2338" s="256">
        <v>1523.7676795163288</v>
      </c>
      <c r="K2338" s="866">
        <f t="shared" si="184"/>
        <v>240755</v>
      </c>
      <c r="L2338" s="854" t="s">
        <v>165</v>
      </c>
      <c r="M2338" s="854" t="s">
        <v>159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94"/>
    </row>
    <row r="2339" spans="1:30" ht="15.75" customHeight="1">
      <c r="A2339" s="204" t="str">
        <f>IF(B2339&lt;&gt;"",IF(AND(B2339&gt;=_TM1,B2339&lt;=_TM2,OR(TH!L2339="1111",TH!M2339="1111")),TH!D2339,""),"")</f>
        <v/>
      </c>
      <c r="B2339" s="36">
        <f t="shared" si="185"/>
        <v>11</v>
      </c>
      <c r="C2339" s="191">
        <f t="shared" si="183"/>
        <v>40866</v>
      </c>
      <c r="D2339" s="37" t="s">
        <v>970</v>
      </c>
      <c r="E2339" s="792">
        <v>40866</v>
      </c>
      <c r="F2339" s="192" t="s">
        <v>1326</v>
      </c>
      <c r="G2339" s="498" t="s">
        <v>1307</v>
      </c>
      <c r="H2339" s="193" t="s">
        <v>733</v>
      </c>
      <c r="I2339" s="256">
        <v>82</v>
      </c>
      <c r="J2339" s="256">
        <v>1569.7764785283696</v>
      </c>
      <c r="K2339" s="866">
        <f t="shared" si="184"/>
        <v>128722</v>
      </c>
      <c r="L2339" s="854" t="s">
        <v>165</v>
      </c>
      <c r="M2339" s="854" t="s">
        <v>159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94"/>
    </row>
    <row r="2340" spans="1:30" ht="15.75" customHeight="1">
      <c r="A2340" s="204" t="str">
        <f>IF(B2340&lt;&gt;"",IF(AND(B2340&gt;=_TM1,B2340&lt;=_TM2,OR(TH!L2340="1111",TH!M2340="1111")),TH!D2340,""),"")</f>
        <v/>
      </c>
      <c r="B2340" s="36">
        <f t="shared" si="185"/>
        <v>11</v>
      </c>
      <c r="C2340" s="191">
        <f t="shared" si="183"/>
        <v>40866</v>
      </c>
      <c r="D2340" s="37" t="s">
        <v>970</v>
      </c>
      <c r="E2340" s="792">
        <v>40866</v>
      </c>
      <c r="F2340" s="192" t="s">
        <v>1327</v>
      </c>
      <c r="G2340" s="498" t="s">
        <v>1307</v>
      </c>
      <c r="H2340" s="193" t="s">
        <v>733</v>
      </c>
      <c r="I2340" s="256">
        <v>41</v>
      </c>
      <c r="J2340" s="256">
        <v>2492.1179419430036</v>
      </c>
      <c r="K2340" s="866">
        <f t="shared" si="184"/>
        <v>102177</v>
      </c>
      <c r="L2340" s="854" t="s">
        <v>165</v>
      </c>
      <c r="M2340" s="854" t="s">
        <v>159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94"/>
    </row>
    <row r="2341" spans="1:30" ht="15.75" customHeight="1">
      <c r="A2341" s="204" t="str">
        <f>IF(B2341&lt;&gt;"",IF(AND(B2341&gt;=_TM1,B2341&lt;=_TM2,OR(TH!L2341="1111",TH!M2341="1111")),TH!D2341,""),"")</f>
        <v/>
      </c>
      <c r="B2341" s="36">
        <f t="shared" si="185"/>
        <v>11</v>
      </c>
      <c r="C2341" s="191">
        <f t="shared" si="183"/>
        <v>40866</v>
      </c>
      <c r="D2341" s="37" t="s">
        <v>970</v>
      </c>
      <c r="E2341" s="792">
        <v>40866</v>
      </c>
      <c r="F2341" s="192" t="s">
        <v>759</v>
      </c>
      <c r="G2341" s="498" t="s">
        <v>1307</v>
      </c>
      <c r="H2341" s="193" t="s">
        <v>733</v>
      </c>
      <c r="I2341" s="256">
        <v>1</v>
      </c>
      <c r="J2341" s="256">
        <v>13141.508185845443</v>
      </c>
      <c r="K2341" s="866">
        <f t="shared" si="184"/>
        <v>13142</v>
      </c>
      <c r="L2341" s="854" t="s">
        <v>165</v>
      </c>
      <c r="M2341" s="854" t="s">
        <v>159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94"/>
    </row>
    <row r="2342" spans="1:30" ht="15.75" customHeight="1">
      <c r="A2342" s="204" t="str">
        <f>IF(B2342&lt;&gt;"",IF(AND(B2342&gt;=_TM1,B2342&lt;=_TM2,OR(TH!L2342="1111",TH!M2342="1111")),TH!D2342,""),"")</f>
        <v/>
      </c>
      <c r="B2342" s="36">
        <f t="shared" si="185"/>
        <v>11</v>
      </c>
      <c r="C2342" s="191">
        <f t="shared" si="183"/>
        <v>40866</v>
      </c>
      <c r="D2342" s="37" t="s">
        <v>970</v>
      </c>
      <c r="E2342" s="792">
        <v>40866</v>
      </c>
      <c r="F2342" s="192" t="s">
        <v>752</v>
      </c>
      <c r="G2342" s="498" t="s">
        <v>1307</v>
      </c>
      <c r="H2342" s="193" t="s">
        <v>733</v>
      </c>
      <c r="I2342" s="256">
        <v>2</v>
      </c>
      <c r="J2342" s="256">
        <v>11117.008185845443</v>
      </c>
      <c r="K2342" s="866">
        <f t="shared" si="184"/>
        <v>22234</v>
      </c>
      <c r="L2342" s="854" t="s">
        <v>165</v>
      </c>
      <c r="M2342" s="854" t="s">
        <v>159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94"/>
    </row>
    <row r="2343" spans="1:30" ht="15.75" customHeight="1">
      <c r="A2343" s="204" t="str">
        <f>IF(B2343&lt;&gt;"",IF(AND(B2343&gt;=_TM1,B2343&lt;=_TM2,OR(TH!L2343="1111",TH!M2343="1111")),TH!D2343,""),"")</f>
        <v/>
      </c>
      <c r="B2343" s="36">
        <f t="shared" si="185"/>
        <v>11</v>
      </c>
      <c r="C2343" s="191">
        <f t="shared" si="183"/>
        <v>40866</v>
      </c>
      <c r="D2343" s="37" t="s">
        <v>970</v>
      </c>
      <c r="E2343" s="792">
        <v>40866</v>
      </c>
      <c r="F2343" s="192" t="s">
        <v>1267</v>
      </c>
      <c r="G2343" s="498" t="s">
        <v>1307</v>
      </c>
      <c r="H2343" s="193" t="s">
        <v>733</v>
      </c>
      <c r="I2343" s="256">
        <v>21</v>
      </c>
      <c r="J2343" s="256">
        <v>15252.460566797827</v>
      </c>
      <c r="K2343" s="866">
        <f t="shared" si="184"/>
        <v>320302</v>
      </c>
      <c r="L2343" s="854" t="s">
        <v>165</v>
      </c>
      <c r="M2343" s="854" t="s">
        <v>159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94"/>
    </row>
    <row r="2344" spans="1:30" ht="15.75" customHeight="1">
      <c r="A2344" s="204" t="str">
        <f>IF(B2344&lt;&gt;"",IF(AND(B2344&gt;=_TM1,B2344&lt;=_TM2,OR(TH!L2344="1111",TH!M2344="1111")),TH!D2344,""),"")</f>
        <v/>
      </c>
      <c r="B2344" s="36">
        <f t="shared" si="185"/>
        <v>11</v>
      </c>
      <c r="C2344" s="191">
        <f t="shared" si="183"/>
        <v>40866</v>
      </c>
      <c r="D2344" s="37" t="s">
        <v>970</v>
      </c>
      <c r="E2344" s="792">
        <v>40866</v>
      </c>
      <c r="F2344" s="192" t="s">
        <v>746</v>
      </c>
      <c r="G2344" s="498" t="s">
        <v>1307</v>
      </c>
      <c r="H2344" s="193" t="s">
        <v>733</v>
      </c>
      <c r="I2344" s="256">
        <v>53</v>
      </c>
      <c r="J2344" s="256">
        <v>9705.1685632039353</v>
      </c>
      <c r="K2344" s="866">
        <f t="shared" si="184"/>
        <v>514374</v>
      </c>
      <c r="L2344" s="854" t="s">
        <v>165</v>
      </c>
      <c r="M2344" s="854" t="s">
        <v>159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94"/>
    </row>
    <row r="2345" spans="1:30" ht="15.75" customHeight="1">
      <c r="A2345" s="204" t="str">
        <f>IF(B2345&lt;&gt;"",IF(AND(B2345&gt;=_TM1,B2345&lt;=_TM2,OR(TH!L2345="1111",TH!M2345="1111")),TH!D2345,""),"")</f>
        <v/>
      </c>
      <c r="B2345" s="36">
        <f t="shared" si="185"/>
        <v>11</v>
      </c>
      <c r="C2345" s="191">
        <f t="shared" si="183"/>
        <v>40866</v>
      </c>
      <c r="D2345" s="37" t="s">
        <v>970</v>
      </c>
      <c r="E2345" s="792">
        <v>40866</v>
      </c>
      <c r="F2345" s="192" t="s">
        <v>1292</v>
      </c>
      <c r="G2345" s="498" t="s">
        <v>1307</v>
      </c>
      <c r="H2345" s="193" t="s">
        <v>733</v>
      </c>
      <c r="I2345" s="256">
        <v>6</v>
      </c>
      <c r="J2345" s="256">
        <v>11437.341519178777</v>
      </c>
      <c r="K2345" s="866">
        <f t="shared" si="184"/>
        <v>68624</v>
      </c>
      <c r="L2345" s="854" t="s">
        <v>165</v>
      </c>
      <c r="M2345" s="854" t="s">
        <v>159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94"/>
    </row>
    <row r="2346" spans="1:30" ht="15.75" customHeight="1">
      <c r="A2346" s="204" t="str">
        <f>IF(B2346&lt;&gt;"",IF(AND(B2346&gt;=_TM1,B2346&lt;=_TM2,OR(TH!L2346="1111",TH!M2346="1111")),TH!D2346,""),"")</f>
        <v/>
      </c>
      <c r="B2346" s="36">
        <f t="shared" si="185"/>
        <v>11</v>
      </c>
      <c r="C2346" s="191">
        <f t="shared" si="183"/>
        <v>40866</v>
      </c>
      <c r="D2346" s="37" t="s">
        <v>970</v>
      </c>
      <c r="E2346" s="792">
        <v>40866</v>
      </c>
      <c r="F2346" s="192" t="s">
        <v>750</v>
      </c>
      <c r="G2346" s="498" t="s">
        <v>1307</v>
      </c>
      <c r="H2346" s="193" t="s">
        <v>733</v>
      </c>
      <c r="I2346" s="256">
        <v>1</v>
      </c>
      <c r="J2346" s="256">
        <v>13141.508185845443</v>
      </c>
      <c r="K2346" s="866">
        <f t="shared" si="184"/>
        <v>13142</v>
      </c>
      <c r="L2346" s="854" t="s">
        <v>165</v>
      </c>
      <c r="M2346" s="854" t="s">
        <v>159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94"/>
    </row>
    <row r="2347" spans="1:30" ht="15.75" customHeight="1">
      <c r="A2347" s="204" t="str">
        <f>IF(B2347&lt;&gt;"",IF(AND(B2347&gt;=_TM1,B2347&lt;=_TM2,OR(TH!L2347="1111",TH!M2347="1111")),TH!D2347,""),"")</f>
        <v/>
      </c>
      <c r="B2347" s="36">
        <f t="shared" si="185"/>
        <v>11</v>
      </c>
      <c r="C2347" s="191">
        <f t="shared" si="183"/>
        <v>40866</v>
      </c>
      <c r="D2347" s="37" t="s">
        <v>970</v>
      </c>
      <c r="E2347" s="792">
        <v>40866</v>
      </c>
      <c r="F2347" s="192" t="s">
        <v>759</v>
      </c>
      <c r="G2347" s="498" t="s">
        <v>1307</v>
      </c>
      <c r="H2347" s="193" t="s">
        <v>733</v>
      </c>
      <c r="I2347" s="256">
        <v>1</v>
      </c>
      <c r="J2347" s="256">
        <v>15251.508185845443</v>
      </c>
      <c r="K2347" s="866">
        <f t="shared" si="184"/>
        <v>15252</v>
      </c>
      <c r="L2347" s="854" t="s">
        <v>165</v>
      </c>
      <c r="M2347" s="854" t="s">
        <v>159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94"/>
    </row>
    <row r="2348" spans="1:30" ht="15.75" customHeight="1">
      <c r="A2348" s="204" t="str">
        <f>IF(B2348&lt;&gt;"",IF(AND(B2348&gt;=_TM1,B2348&lt;=_TM2,OR(TH!L2348="1111",TH!M2348="1111")),TH!D2348,""),"")</f>
        <v/>
      </c>
      <c r="B2348" s="36">
        <f t="shared" si="185"/>
        <v>11</v>
      </c>
      <c r="C2348" s="191">
        <f t="shared" si="183"/>
        <v>40866</v>
      </c>
      <c r="D2348" s="37" t="s">
        <v>970</v>
      </c>
      <c r="E2348" s="792">
        <v>40866</v>
      </c>
      <c r="F2348" s="192" t="s">
        <v>1293</v>
      </c>
      <c r="G2348" s="498" t="s">
        <v>1307</v>
      </c>
      <c r="H2348" s="193" t="s">
        <v>733</v>
      </c>
      <c r="I2348" s="256">
        <v>12</v>
      </c>
      <c r="J2348" s="256">
        <v>14113.924852512109</v>
      </c>
      <c r="K2348" s="866">
        <f t="shared" si="184"/>
        <v>169367</v>
      </c>
      <c r="L2348" s="854" t="s">
        <v>165</v>
      </c>
      <c r="M2348" s="854" t="s">
        <v>159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94"/>
    </row>
    <row r="2349" spans="1:30" ht="15.75" customHeight="1">
      <c r="A2349" s="204" t="str">
        <f>IF(B2349&lt;&gt;"",IF(AND(B2349&gt;=_TM1,B2349&lt;=_TM2,OR(TH!L2349="1111",TH!M2349="1111")),TH!D2349,""),"")</f>
        <v/>
      </c>
      <c r="B2349" s="36">
        <f t="shared" si="185"/>
        <v>11</v>
      </c>
      <c r="C2349" s="191">
        <f t="shared" si="183"/>
        <v>40867</v>
      </c>
      <c r="D2349" s="860" t="s">
        <v>1110</v>
      </c>
      <c r="E2349" s="792">
        <v>40867</v>
      </c>
      <c r="F2349" s="40" t="s">
        <v>644</v>
      </c>
      <c r="G2349" s="40"/>
      <c r="H2349" s="628" t="s">
        <v>1092</v>
      </c>
      <c r="I2349" s="256">
        <v>61</v>
      </c>
      <c r="J2349" s="256">
        <v>30158</v>
      </c>
      <c r="K2349" s="614">
        <f t="shared" si="184"/>
        <v>1839638</v>
      </c>
      <c r="L2349" s="52" t="s">
        <v>157</v>
      </c>
      <c r="M2349" s="52" t="s">
        <v>151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94"/>
    </row>
    <row r="2350" spans="1:30" s="831" customFormat="1" ht="15.75" customHeight="1">
      <c r="A2350" s="204" t="str">
        <f>IF(B2350&lt;&gt;"",IF(AND(B2350&gt;=_TM1,B2350&lt;=_TM2,OR(TH!L2350="1111",TH!M2350="1111")),TH!D2350,""),"")</f>
        <v/>
      </c>
      <c r="B2350" s="36">
        <f t="shared" si="185"/>
        <v>11</v>
      </c>
      <c r="C2350" s="191">
        <f t="shared" si="183"/>
        <v>40867</v>
      </c>
      <c r="D2350" s="860" t="s">
        <v>1110</v>
      </c>
      <c r="E2350" s="792">
        <v>40867</v>
      </c>
      <c r="F2350" s="40" t="s">
        <v>641</v>
      </c>
      <c r="G2350" s="40"/>
      <c r="H2350" s="628" t="s">
        <v>1092</v>
      </c>
      <c r="I2350" s="256">
        <v>50</v>
      </c>
      <c r="J2350" s="256">
        <v>34653</v>
      </c>
      <c r="K2350" s="614">
        <f t="shared" si="184"/>
        <v>1732650</v>
      </c>
      <c r="L2350" s="52" t="s">
        <v>157</v>
      </c>
      <c r="M2350" s="52" t="s">
        <v>151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94"/>
      <c r="AB2350" s="198"/>
      <c r="AC2350" s="198"/>
      <c r="AD2350" s="198"/>
    </row>
    <row r="2351" spans="1:30" s="831" customFormat="1" ht="15.75" customHeight="1">
      <c r="A2351" s="204" t="str">
        <f>IF(B2351&lt;&gt;"",IF(AND(B2351&gt;=_TM1,B2351&lt;=_TM2,OR(TH!L2351="1111",TH!M2351="1111")),TH!D2351,""),"")</f>
        <v/>
      </c>
      <c r="B2351" s="36">
        <f t="shared" si="185"/>
        <v>11</v>
      </c>
      <c r="C2351" s="191">
        <f t="shared" si="183"/>
        <v>40867</v>
      </c>
      <c r="D2351" s="860" t="s">
        <v>1110</v>
      </c>
      <c r="E2351" s="792">
        <v>40867</v>
      </c>
      <c r="F2351" s="189" t="s">
        <v>553</v>
      </c>
      <c r="G2351" s="40"/>
      <c r="H2351" s="628" t="s">
        <v>1092</v>
      </c>
      <c r="I2351" s="256">
        <v>121</v>
      </c>
      <c r="J2351" s="256">
        <v>17368</v>
      </c>
      <c r="K2351" s="614">
        <f t="shared" si="184"/>
        <v>2101528</v>
      </c>
      <c r="L2351" s="52" t="s">
        <v>157</v>
      </c>
      <c r="M2351" s="52" t="s">
        <v>151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94"/>
      <c r="AB2351" s="198"/>
      <c r="AC2351" s="198"/>
      <c r="AD2351" s="198"/>
    </row>
    <row r="2352" spans="1:30" s="831" customFormat="1" ht="15.75" customHeight="1">
      <c r="A2352" s="204" t="str">
        <f>IF(B2352&lt;&gt;"",IF(AND(B2352&gt;=_TM1,B2352&lt;=_TM2,OR(TH!L2352="1111",TH!M2352="1111")),TH!D2352,""),"")</f>
        <v/>
      </c>
      <c r="B2352" s="36">
        <f t="shared" si="185"/>
        <v>11</v>
      </c>
      <c r="C2352" s="191">
        <f t="shared" si="183"/>
        <v>40867</v>
      </c>
      <c r="D2352" s="860" t="s">
        <v>1110</v>
      </c>
      <c r="E2352" s="792">
        <v>40867</v>
      </c>
      <c r="F2352" s="40" t="s">
        <v>644</v>
      </c>
      <c r="G2352" s="40"/>
      <c r="H2352" s="628" t="s">
        <v>1092</v>
      </c>
      <c r="I2352" s="256">
        <v>111</v>
      </c>
      <c r="J2352" s="256">
        <v>30158</v>
      </c>
      <c r="K2352" s="614">
        <f t="shared" si="184"/>
        <v>3347538</v>
      </c>
      <c r="L2352" s="52" t="s">
        <v>157</v>
      </c>
      <c r="M2352" s="52" t="s">
        <v>151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94"/>
      <c r="AB2352" s="198"/>
      <c r="AC2352" s="198"/>
      <c r="AD2352" s="198"/>
    </row>
    <row r="2353" spans="1:30" s="831" customFormat="1" ht="15.75" customHeight="1">
      <c r="A2353" s="204" t="str">
        <f>IF(B2353&lt;&gt;"",IF(AND(B2353&gt;=_TM1,B2353&lt;=_TM2,OR(TH!L2353="1111",TH!M2353="1111")),TH!D2353,""),"")</f>
        <v/>
      </c>
      <c r="B2353" s="36">
        <f t="shared" si="185"/>
        <v>11</v>
      </c>
      <c r="C2353" s="191">
        <f t="shared" si="183"/>
        <v>40867</v>
      </c>
      <c r="D2353" s="860" t="s">
        <v>1110</v>
      </c>
      <c r="E2353" s="792">
        <v>40867</v>
      </c>
      <c r="F2353" s="40" t="s">
        <v>640</v>
      </c>
      <c r="G2353" s="40"/>
      <c r="H2353" s="628" t="s">
        <v>1092</v>
      </c>
      <c r="I2353" s="256">
        <v>60.5</v>
      </c>
      <c r="J2353" s="256">
        <v>31752</v>
      </c>
      <c r="K2353" s="614">
        <f t="shared" ref="K2353:K2355" si="186">ROUND(I2353*J2353,0)</f>
        <v>1920996</v>
      </c>
      <c r="L2353" s="52" t="s">
        <v>157</v>
      </c>
      <c r="M2353" s="52" t="s">
        <v>151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94"/>
      <c r="AB2353" s="198"/>
      <c r="AC2353" s="198"/>
      <c r="AD2353" s="198"/>
    </row>
    <row r="2354" spans="1:30" s="831" customFormat="1" ht="15.75" customHeight="1">
      <c r="A2354" s="204" t="str">
        <f>IF(B2354&lt;&gt;"",IF(AND(B2354&gt;=_TM1,B2354&lt;=_TM2,OR(TH!L2354="1111",TH!M2354="1111")),TH!D2354,""),"")</f>
        <v/>
      </c>
      <c r="B2354" s="36">
        <f t="shared" si="185"/>
        <v>11</v>
      </c>
      <c r="C2354" s="191">
        <f t="shared" si="183"/>
        <v>40867</v>
      </c>
      <c r="D2354" s="860" t="s">
        <v>1110</v>
      </c>
      <c r="E2354" s="792">
        <v>40867</v>
      </c>
      <c r="F2354" s="40" t="s">
        <v>640</v>
      </c>
      <c r="G2354" s="40"/>
      <c r="H2354" s="628" t="s">
        <v>1092</v>
      </c>
      <c r="I2354" s="256">
        <v>50.5</v>
      </c>
      <c r="J2354" s="256">
        <v>31752</v>
      </c>
      <c r="K2354" s="614">
        <f t="shared" si="186"/>
        <v>1603476</v>
      </c>
      <c r="L2354" s="52" t="s">
        <v>157</v>
      </c>
      <c r="M2354" s="52" t="s">
        <v>151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94"/>
      <c r="AB2354" s="198"/>
      <c r="AC2354" s="198"/>
      <c r="AD2354" s="198"/>
    </row>
    <row r="2355" spans="1:30" s="831" customFormat="1" ht="15.75" customHeight="1">
      <c r="A2355" s="204" t="str">
        <f>IF(B2355&lt;&gt;"",IF(AND(B2355&gt;=_TM1,B2355&lt;=_TM2,OR(TH!L2355="1111",TH!M2355="1111")),TH!D2355,""),"")</f>
        <v/>
      </c>
      <c r="B2355" s="36">
        <f t="shared" si="185"/>
        <v>11</v>
      </c>
      <c r="C2355" s="191">
        <f t="shared" si="183"/>
        <v>40867</v>
      </c>
      <c r="D2355" s="860" t="s">
        <v>1110</v>
      </c>
      <c r="E2355" s="792">
        <v>40867</v>
      </c>
      <c r="F2355" s="189" t="s">
        <v>387</v>
      </c>
      <c r="G2355" s="40"/>
      <c r="H2355" s="628" t="s">
        <v>1092</v>
      </c>
      <c r="I2355" s="839">
        <v>23</v>
      </c>
      <c r="J2355" s="256">
        <v>4449</v>
      </c>
      <c r="K2355" s="614">
        <f t="shared" si="186"/>
        <v>102327</v>
      </c>
      <c r="L2355" s="52" t="s">
        <v>157</v>
      </c>
      <c r="M2355" s="52" t="s">
        <v>151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>x</v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94"/>
      <c r="AB2355" s="198"/>
      <c r="AC2355" s="198"/>
      <c r="AD2355" s="198"/>
    </row>
    <row r="2356" spans="1:30" s="831" customFormat="1" ht="15.75" customHeight="1">
      <c r="A2356" s="204" t="str">
        <f>IF(B2356&lt;&gt;"",IF(AND(B2356&gt;=_TM1,B2356&lt;=_TM2,OR(TH!L2356="1111",TH!M2356="1111")),TH!D2356,""),"")</f>
        <v>C14</v>
      </c>
      <c r="B2356" s="36">
        <f t="shared" si="185"/>
        <v>11</v>
      </c>
      <c r="C2356" s="184">
        <v>40868</v>
      </c>
      <c r="D2356" s="191" t="s">
        <v>662</v>
      </c>
      <c r="E2356" s="896">
        <v>40868</v>
      </c>
      <c r="F2356" s="189" t="s">
        <v>362</v>
      </c>
      <c r="G2356" s="616" t="s">
        <v>330</v>
      </c>
      <c r="H2356" s="193" t="s">
        <v>363</v>
      </c>
      <c r="I2356" s="256"/>
      <c r="J2356" s="256"/>
      <c r="K2356" s="614">
        <v>6000000</v>
      </c>
      <c r="L2356" s="615" t="s">
        <v>23</v>
      </c>
      <c r="M2356" s="615" t="s">
        <v>46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94"/>
      <c r="AB2356" s="198"/>
      <c r="AC2356" s="198"/>
      <c r="AD2356" s="198"/>
    </row>
    <row r="2357" spans="1:30" s="831" customFormat="1" ht="15.75" customHeight="1">
      <c r="A2357" s="204" t="str">
        <f>IF(B2357&lt;&gt;"",IF(AND(B2357&gt;=_TM1,B2357&lt;=_TM2,OR(TH!L2357="1111",TH!M2357="1111")),TH!D2357,""),"")</f>
        <v/>
      </c>
      <c r="B2357" s="36">
        <f t="shared" si="185"/>
        <v>11</v>
      </c>
      <c r="C2357" s="184">
        <v>40868</v>
      </c>
      <c r="D2357" s="184" t="s">
        <v>334</v>
      </c>
      <c r="E2357" s="896">
        <v>40868</v>
      </c>
      <c r="F2357" s="189" t="s">
        <v>367</v>
      </c>
      <c r="G2357" s="616" t="s">
        <v>330</v>
      </c>
      <c r="H2357" s="7" t="s">
        <v>559</v>
      </c>
      <c r="I2357" s="256"/>
      <c r="J2357" s="256"/>
      <c r="K2357" s="614">
        <v>20000000</v>
      </c>
      <c r="L2357" s="615" t="s">
        <v>8</v>
      </c>
      <c r="M2357" s="615" t="s">
        <v>23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94"/>
      <c r="AB2357" s="198"/>
      <c r="AC2357" s="198"/>
      <c r="AD2357" s="198"/>
    </row>
    <row r="2358" spans="1:30" s="831" customFormat="1" ht="15.75" customHeight="1">
      <c r="A2358" s="204">
        <f>IF(B2358&lt;&gt;"",IF(AND(B2358&gt;=_TM1,B2358&lt;=_TM2,OR(TH!L2358="1111",TH!M2358="1111")),TH!D2358,""),"")</f>
        <v>0</v>
      </c>
      <c r="B2358" s="36">
        <f t="shared" ref="B2358" si="187">IF(C2358&lt;&gt;"",MONTH(C2358),"")</f>
        <v>11</v>
      </c>
      <c r="C2358" s="184">
        <v>40868</v>
      </c>
      <c r="D2358" s="184"/>
      <c r="E2358" s="896">
        <v>40868</v>
      </c>
      <c r="F2358" s="189" t="s">
        <v>367</v>
      </c>
      <c r="G2358" s="616"/>
      <c r="H2358" s="7" t="s">
        <v>559</v>
      </c>
      <c r="I2358" s="256"/>
      <c r="J2358" s="256"/>
      <c r="K2358" s="614">
        <v>4000367</v>
      </c>
      <c r="L2358" s="615" t="s">
        <v>8</v>
      </c>
      <c r="M2358" s="615" t="s">
        <v>46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94"/>
      <c r="AB2358" s="198"/>
      <c r="AC2358" s="198"/>
      <c r="AD2358" s="198"/>
    </row>
    <row r="2359" spans="1:30" s="831" customFormat="1" ht="15.75" customHeight="1">
      <c r="A2359" s="204" t="str">
        <f>IF(B2359&lt;&gt;"",IF(AND(B2359&gt;=_TM1,B2359&lt;=_TM2,OR(TH!L2359="1111",TH!M2359="1111")),TH!D2359,""),"")</f>
        <v/>
      </c>
      <c r="B2359" s="36">
        <f t="shared" si="185"/>
        <v>11</v>
      </c>
      <c r="C2359" s="184">
        <v>40868</v>
      </c>
      <c r="D2359" s="184" t="s">
        <v>334</v>
      </c>
      <c r="E2359" s="896">
        <v>40868</v>
      </c>
      <c r="F2359" s="189" t="s">
        <v>370</v>
      </c>
      <c r="G2359" s="616" t="s">
        <v>330</v>
      </c>
      <c r="H2359" s="7"/>
      <c r="I2359" s="256"/>
      <c r="J2359" s="256"/>
      <c r="K2359" s="614">
        <v>9091</v>
      </c>
      <c r="L2359" s="615" t="s">
        <v>75</v>
      </c>
      <c r="M2359" s="615" t="s">
        <v>23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>x</v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94"/>
      <c r="AB2359" s="198"/>
      <c r="AC2359" s="198"/>
      <c r="AD2359" s="198"/>
    </row>
    <row r="2360" spans="1:30" s="831" customFormat="1" ht="15.75" customHeight="1">
      <c r="A2360" s="204" t="str">
        <f>IF(B2360&lt;&gt;"",IF(AND(B2360&gt;=_TM1,B2360&lt;=_TM2,OR(TH!L2360="1111",TH!M2360="1111")),TH!D2360,""),"")</f>
        <v/>
      </c>
      <c r="B2360" s="36">
        <f t="shared" si="185"/>
        <v>11</v>
      </c>
      <c r="C2360" s="184">
        <v>40868</v>
      </c>
      <c r="D2360" s="184" t="s">
        <v>334</v>
      </c>
      <c r="E2360" s="896">
        <v>40868</v>
      </c>
      <c r="F2360" s="189" t="s">
        <v>1433</v>
      </c>
      <c r="G2360" s="616" t="s">
        <v>330</v>
      </c>
      <c r="H2360" s="7"/>
      <c r="I2360" s="256"/>
      <c r="J2360" s="256"/>
      <c r="K2360" s="614">
        <v>909</v>
      </c>
      <c r="L2360" s="615" t="s">
        <v>9</v>
      </c>
      <c r="M2360" s="615" t="s">
        <v>23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94"/>
      <c r="AB2360" s="198">
        <v>11</v>
      </c>
      <c r="AC2360" s="198"/>
      <c r="AD2360" s="198"/>
    </row>
    <row r="2361" spans="1:30" s="831" customFormat="1" ht="15.75" customHeight="1">
      <c r="A2361" s="204" t="str">
        <f>IF(B2361&lt;&gt;"",IF(AND(B2361&gt;=_TM1,B2361&lt;=_TM2,OR(TH!L2361="1111",TH!M2361="1111")),TH!D2361,""),"")</f>
        <v/>
      </c>
      <c r="B2361" s="36">
        <f t="shared" si="185"/>
        <v>11</v>
      </c>
      <c r="C2361" s="184">
        <v>40868</v>
      </c>
      <c r="D2361" s="184" t="s">
        <v>334</v>
      </c>
      <c r="E2361" s="896">
        <v>40868</v>
      </c>
      <c r="F2361" s="189" t="s">
        <v>336</v>
      </c>
      <c r="G2361" s="616" t="s">
        <v>330</v>
      </c>
      <c r="H2361" s="7"/>
      <c r="I2361" s="256"/>
      <c r="J2361" s="256"/>
      <c r="K2361" s="614">
        <v>9091</v>
      </c>
      <c r="L2361" s="615" t="s">
        <v>75</v>
      </c>
      <c r="M2361" s="615" t="s">
        <v>23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>x</v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94"/>
      <c r="AB2361" s="198"/>
      <c r="AC2361" s="198"/>
      <c r="AD2361" s="198"/>
    </row>
    <row r="2362" spans="1:30" s="831" customFormat="1" ht="15.75" customHeight="1">
      <c r="A2362" s="204" t="str">
        <f>IF(B2362&lt;&gt;"",IF(AND(B2362&gt;=_TM1,B2362&lt;=_TM2,OR(TH!L2362="1111",TH!M2362="1111")),TH!D2362,""),"")</f>
        <v/>
      </c>
      <c r="B2362" s="36">
        <f t="shared" si="185"/>
        <v>11</v>
      </c>
      <c r="C2362" s="184">
        <v>40868</v>
      </c>
      <c r="D2362" s="184" t="s">
        <v>334</v>
      </c>
      <c r="E2362" s="896">
        <v>40868</v>
      </c>
      <c r="F2362" s="189" t="s">
        <v>1434</v>
      </c>
      <c r="G2362" s="616" t="s">
        <v>330</v>
      </c>
      <c r="H2362" s="7"/>
      <c r="I2362" s="256"/>
      <c r="J2362" s="256"/>
      <c r="K2362" s="614">
        <v>909</v>
      </c>
      <c r="L2362" s="615" t="s">
        <v>9</v>
      </c>
      <c r="M2362" s="615" t="s">
        <v>23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94"/>
      <c r="AB2362" s="198">
        <v>11</v>
      </c>
      <c r="AC2362" s="198"/>
      <c r="AD2362" s="198"/>
    </row>
    <row r="2363" spans="1:30" s="831" customFormat="1" ht="15.75" customHeight="1">
      <c r="A2363" s="204" t="str">
        <f>IF(B2363&lt;&gt;"",IF(AND(B2363&gt;=_TM1,B2363&lt;=_TM2,OR(TH!L2363="1111",TH!M2363="1111")),TH!D2363,""),"")</f>
        <v>C15</v>
      </c>
      <c r="B2363" s="36">
        <f t="shared" si="185"/>
        <v>11</v>
      </c>
      <c r="C2363" s="191">
        <v>40868</v>
      </c>
      <c r="D2363" s="191" t="s">
        <v>664</v>
      </c>
      <c r="E2363" s="883">
        <v>40868</v>
      </c>
      <c r="F2363" s="192" t="s">
        <v>504</v>
      </c>
      <c r="G2363" s="498" t="s">
        <v>1276</v>
      </c>
      <c r="H2363" s="7" t="s">
        <v>371</v>
      </c>
      <c r="I2363" s="256">
        <v>20</v>
      </c>
      <c r="J2363" s="256">
        <v>68000</v>
      </c>
      <c r="K2363" s="614">
        <v>1360000</v>
      </c>
      <c r="L2363" s="194" t="s">
        <v>157</v>
      </c>
      <c r="M2363" s="194" t="s">
        <v>46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94"/>
      <c r="AB2363" s="198"/>
      <c r="AC2363" s="198"/>
      <c r="AD2363" s="198"/>
    </row>
    <row r="2364" spans="1:30" s="831" customFormat="1" ht="15.75" customHeight="1">
      <c r="A2364" s="204" t="str">
        <f>IF(B2364&lt;&gt;"",IF(AND(B2364&gt;=_TM1,B2364&lt;=_TM2,OR(TH!L2364="1111",TH!M2364="1111")),TH!D2364,""),"")</f>
        <v>C15</v>
      </c>
      <c r="B2364" s="36">
        <f t="shared" si="185"/>
        <v>11</v>
      </c>
      <c r="C2364" s="191">
        <v>40868</v>
      </c>
      <c r="D2364" s="191" t="s">
        <v>664</v>
      </c>
      <c r="E2364" s="883">
        <v>40868</v>
      </c>
      <c r="F2364" s="192" t="s">
        <v>1165</v>
      </c>
      <c r="G2364" s="498" t="s">
        <v>1276</v>
      </c>
      <c r="H2364" s="7" t="s">
        <v>371</v>
      </c>
      <c r="I2364" s="256"/>
      <c r="J2364" s="256"/>
      <c r="K2364" s="38">
        <v>136000</v>
      </c>
      <c r="L2364" s="194" t="s">
        <v>9</v>
      </c>
      <c r="M2364" s="194" t="s">
        <v>46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94"/>
      <c r="AB2364" s="198">
        <v>11</v>
      </c>
      <c r="AC2364" s="198"/>
      <c r="AD2364" s="198"/>
    </row>
    <row r="2365" spans="1:30" s="831" customFormat="1" ht="15.75" customHeight="1">
      <c r="A2365" s="204" t="str">
        <f>IF(B2365&lt;&gt;"",IF(AND(B2365&gt;=_TM1,B2365&lt;=_TM2,OR(TH!L2365="1111",TH!M2365="1111")),TH!D2365,""),"")</f>
        <v/>
      </c>
      <c r="B2365" s="36">
        <f t="shared" si="185"/>
        <v>11</v>
      </c>
      <c r="C2365" s="191">
        <v>40870</v>
      </c>
      <c r="D2365" s="191" t="s">
        <v>697</v>
      </c>
      <c r="E2365" s="883">
        <v>40870</v>
      </c>
      <c r="F2365" s="192" t="s">
        <v>648</v>
      </c>
      <c r="G2365" s="498" t="s">
        <v>1277</v>
      </c>
      <c r="H2365" s="193" t="s">
        <v>559</v>
      </c>
      <c r="I2365" s="256">
        <v>740</v>
      </c>
      <c r="J2365" s="256">
        <v>19365</v>
      </c>
      <c r="K2365" s="614">
        <v>14330100</v>
      </c>
      <c r="L2365" s="194" t="s">
        <v>151</v>
      </c>
      <c r="M2365" s="194" t="s">
        <v>8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94"/>
      <c r="AB2365" s="198"/>
      <c r="AC2365" s="198"/>
      <c r="AD2365" s="198"/>
    </row>
    <row r="2366" spans="1:30" s="831" customFormat="1" ht="15.75" customHeight="1">
      <c r="A2366" s="204" t="str">
        <f>IF(B2366&lt;&gt;"",IF(AND(B2366&gt;=_TM1,B2366&lt;=_TM2,OR(TH!L2366="1111",TH!M2366="1111")),TH!D2366,""),"")</f>
        <v/>
      </c>
      <c r="B2366" s="36">
        <f t="shared" si="185"/>
        <v>11</v>
      </c>
      <c r="C2366" s="191">
        <v>40870</v>
      </c>
      <c r="D2366" s="191" t="s">
        <v>697</v>
      </c>
      <c r="E2366" s="883">
        <v>40870</v>
      </c>
      <c r="F2366" s="192" t="s">
        <v>560</v>
      </c>
      <c r="G2366" s="498" t="s">
        <v>1277</v>
      </c>
      <c r="H2366" s="193" t="s">
        <v>559</v>
      </c>
      <c r="I2366" s="256"/>
      <c r="J2366" s="256"/>
      <c r="K2366" s="38">
        <v>1433010</v>
      </c>
      <c r="L2366" s="194" t="s">
        <v>9</v>
      </c>
      <c r="M2366" s="194" t="s">
        <v>8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94"/>
      <c r="AB2366" s="198">
        <v>11</v>
      </c>
      <c r="AC2366" s="198"/>
      <c r="AD2366" s="198"/>
    </row>
    <row r="2367" spans="1:30" s="831" customFormat="1" ht="15.75" customHeight="1">
      <c r="A2367" s="204" t="str">
        <f>IF(B2367&lt;&gt;"",IF(AND(B2367&gt;=_TM1,B2367&lt;=_TM2,OR(TH!L2367="1111",TH!M2367="1111")),TH!D2367,""),"")</f>
        <v>NL/N01</v>
      </c>
      <c r="B2367" s="36">
        <f t="shared" ref="B2367" si="188">IF(C2367&lt;&gt;"",MONTH(C2367),"")</f>
        <v>11</v>
      </c>
      <c r="C2367" s="191">
        <v>40870</v>
      </c>
      <c r="D2367" s="191" t="s">
        <v>697</v>
      </c>
      <c r="E2367" s="883">
        <v>40870</v>
      </c>
      <c r="F2367" s="189" t="s">
        <v>367</v>
      </c>
      <c r="G2367" s="498" t="s">
        <v>1277</v>
      </c>
      <c r="H2367" s="7" t="s">
        <v>559</v>
      </c>
      <c r="I2367" s="256"/>
      <c r="J2367" s="256"/>
      <c r="K2367" s="614">
        <v>15763110</v>
      </c>
      <c r="L2367" s="615" t="s">
        <v>8</v>
      </c>
      <c r="M2367" s="615" t="s">
        <v>46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94"/>
      <c r="AB2367" s="198"/>
      <c r="AC2367" s="198"/>
      <c r="AD2367" s="198"/>
    </row>
    <row r="2368" spans="1:30" s="831" customFormat="1" ht="15.75" customHeight="1">
      <c r="A2368" s="204" t="str">
        <f>IF(B2368&lt;&gt;"",IF(AND(B2368&gt;=_TM1,B2368&lt;=_TM2,OR(TH!L2368="1111",TH!M2368="1111")),TH!D2368,""),"")</f>
        <v/>
      </c>
      <c r="B2368" s="36">
        <f t="shared" si="185"/>
        <v>11</v>
      </c>
      <c r="C2368" s="191">
        <v>40870</v>
      </c>
      <c r="D2368" s="191" t="s">
        <v>971</v>
      </c>
      <c r="E2368" s="883">
        <v>40870</v>
      </c>
      <c r="F2368" s="192" t="s">
        <v>1329</v>
      </c>
      <c r="G2368" s="498" t="s">
        <v>1330</v>
      </c>
      <c r="H2368" s="193" t="s">
        <v>735</v>
      </c>
      <c r="I2368" s="256">
        <v>121</v>
      </c>
      <c r="J2368" s="256">
        <v>18100</v>
      </c>
      <c r="K2368" s="614">
        <v>2190100</v>
      </c>
      <c r="L2368" s="194" t="s">
        <v>259</v>
      </c>
      <c r="M2368" s="194" t="s">
        <v>167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94"/>
      <c r="AB2368" s="198"/>
      <c r="AC2368" s="198"/>
      <c r="AD2368" s="198"/>
    </row>
    <row r="2369" spans="1:30" s="831" customFormat="1" ht="15.75" customHeight="1">
      <c r="A2369" s="204" t="str">
        <f>IF(B2369&lt;&gt;"",IF(AND(B2369&gt;=_TM1,B2369&lt;=_TM2,OR(TH!L2369="1111",TH!M2369="1111")),TH!D2369,""),"")</f>
        <v/>
      </c>
      <c r="B2369" s="36">
        <f t="shared" si="185"/>
        <v>11</v>
      </c>
      <c r="C2369" s="191">
        <v>40870</v>
      </c>
      <c r="D2369" s="191" t="s">
        <v>971</v>
      </c>
      <c r="E2369" s="883">
        <v>40870</v>
      </c>
      <c r="F2369" s="192" t="s">
        <v>1331</v>
      </c>
      <c r="G2369" s="498" t="s">
        <v>1330</v>
      </c>
      <c r="H2369" s="193" t="s">
        <v>735</v>
      </c>
      <c r="I2369" s="256">
        <v>101</v>
      </c>
      <c r="J2369" s="256">
        <v>23260</v>
      </c>
      <c r="K2369" s="614">
        <v>2349260</v>
      </c>
      <c r="L2369" s="194" t="s">
        <v>259</v>
      </c>
      <c r="M2369" s="194" t="s">
        <v>167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94"/>
      <c r="AB2369" s="198"/>
      <c r="AC2369" s="198"/>
      <c r="AD2369" s="198"/>
    </row>
    <row r="2370" spans="1:30" s="831" customFormat="1" ht="15.75" customHeight="1">
      <c r="A2370" s="204" t="str">
        <f>IF(B2370&lt;&gt;"",IF(AND(B2370&gt;=_TM1,B2370&lt;=_TM2,OR(TH!L2370="1111",TH!M2370="1111")),TH!D2370,""),"")</f>
        <v/>
      </c>
      <c r="B2370" s="36">
        <f t="shared" si="185"/>
        <v>11</v>
      </c>
      <c r="C2370" s="191">
        <v>40870</v>
      </c>
      <c r="D2370" s="191" t="s">
        <v>971</v>
      </c>
      <c r="E2370" s="883">
        <v>40870</v>
      </c>
      <c r="F2370" s="192" t="s">
        <v>1332</v>
      </c>
      <c r="G2370" s="498" t="s">
        <v>1330</v>
      </c>
      <c r="H2370" s="193" t="s">
        <v>735</v>
      </c>
      <c r="I2370" s="256">
        <v>121</v>
      </c>
      <c r="J2370" s="256">
        <v>20090</v>
      </c>
      <c r="K2370" s="614">
        <v>2430890</v>
      </c>
      <c r="L2370" s="194" t="s">
        <v>259</v>
      </c>
      <c r="M2370" s="194" t="s">
        <v>167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94"/>
      <c r="AB2370" s="198"/>
      <c r="AC2370" s="198"/>
      <c r="AD2370" s="198"/>
    </row>
    <row r="2371" spans="1:30" s="831" customFormat="1" ht="15.75" customHeight="1">
      <c r="A2371" s="204" t="str">
        <f>IF(B2371&lt;&gt;"",IF(AND(B2371&gt;=_TM1,B2371&lt;=_TM2,OR(TH!L2371="1111",TH!M2371="1111")),TH!D2371,""),"")</f>
        <v/>
      </c>
      <c r="B2371" s="36">
        <f t="shared" si="185"/>
        <v>11</v>
      </c>
      <c r="C2371" s="191">
        <v>40870</v>
      </c>
      <c r="D2371" s="191" t="s">
        <v>971</v>
      </c>
      <c r="E2371" s="883">
        <v>40870</v>
      </c>
      <c r="F2371" s="192" t="s">
        <v>1333</v>
      </c>
      <c r="G2371" s="498" t="s">
        <v>1330</v>
      </c>
      <c r="H2371" s="193" t="s">
        <v>735</v>
      </c>
      <c r="I2371" s="256">
        <v>222</v>
      </c>
      <c r="J2371" s="256">
        <v>18170</v>
      </c>
      <c r="K2371" s="614">
        <v>4033740</v>
      </c>
      <c r="L2371" s="194" t="s">
        <v>259</v>
      </c>
      <c r="M2371" s="194" t="s">
        <v>167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94"/>
      <c r="AB2371" s="198"/>
      <c r="AC2371" s="198"/>
      <c r="AD2371" s="198"/>
    </row>
    <row r="2372" spans="1:30" s="831" customFormat="1" ht="15.75" customHeight="1">
      <c r="A2372" s="204" t="str">
        <f>IF(B2372&lt;&gt;"",IF(AND(B2372&gt;=_TM1,B2372&lt;=_TM2,OR(TH!L2372="1111",TH!M2372="1111")),TH!D2372,""),"")</f>
        <v/>
      </c>
      <c r="B2372" s="36">
        <f t="shared" si="185"/>
        <v>11</v>
      </c>
      <c r="C2372" s="191">
        <v>40870</v>
      </c>
      <c r="D2372" s="191" t="s">
        <v>971</v>
      </c>
      <c r="E2372" s="883">
        <v>40870</v>
      </c>
      <c r="F2372" s="192" t="s">
        <v>1334</v>
      </c>
      <c r="G2372" s="498" t="s">
        <v>1330</v>
      </c>
      <c r="H2372" s="193" t="s">
        <v>735</v>
      </c>
      <c r="I2372" s="256">
        <v>121</v>
      </c>
      <c r="J2372" s="256">
        <v>19420</v>
      </c>
      <c r="K2372" s="614">
        <v>2349820</v>
      </c>
      <c r="L2372" s="194" t="s">
        <v>259</v>
      </c>
      <c r="M2372" s="194" t="s">
        <v>167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94"/>
      <c r="AB2372" s="198"/>
      <c r="AC2372" s="198"/>
      <c r="AD2372" s="198"/>
    </row>
    <row r="2373" spans="1:30" s="831" customFormat="1" ht="15.75" customHeight="1">
      <c r="A2373" s="204" t="str">
        <f>IF(B2373&lt;&gt;"",IF(AND(B2373&gt;=_TM1,B2373&lt;=_TM2,OR(TH!L2373="1111",TH!M2373="1111")),TH!D2373,""),"")</f>
        <v/>
      </c>
      <c r="B2373" s="36">
        <f t="shared" si="185"/>
        <v>11</v>
      </c>
      <c r="C2373" s="191">
        <v>40870</v>
      </c>
      <c r="D2373" s="191" t="s">
        <v>971</v>
      </c>
      <c r="E2373" s="883">
        <v>40870</v>
      </c>
      <c r="F2373" s="192" t="s">
        <v>1335</v>
      </c>
      <c r="G2373" s="498" t="s">
        <v>1330</v>
      </c>
      <c r="H2373" s="193" t="s">
        <v>735</v>
      </c>
      <c r="I2373" s="256">
        <v>101</v>
      </c>
      <c r="J2373" s="256">
        <v>19450</v>
      </c>
      <c r="K2373" s="614">
        <v>1964450</v>
      </c>
      <c r="L2373" s="194" t="s">
        <v>259</v>
      </c>
      <c r="M2373" s="194" t="s">
        <v>167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94"/>
      <c r="AB2373" s="198"/>
      <c r="AC2373" s="198"/>
      <c r="AD2373" s="198"/>
    </row>
    <row r="2374" spans="1:30" s="831" customFormat="1" ht="15.75" customHeight="1">
      <c r="A2374" s="204" t="str">
        <f>IF(B2374&lt;&gt;"",IF(AND(B2374&gt;=_TM1,B2374&lt;=_TM2,OR(TH!L2374="1111",TH!M2374="1111")),TH!D2374,""),"")</f>
        <v/>
      </c>
      <c r="B2374" s="36">
        <f t="shared" si="185"/>
        <v>11</v>
      </c>
      <c r="C2374" s="191">
        <v>40870</v>
      </c>
      <c r="D2374" s="191" t="s">
        <v>971</v>
      </c>
      <c r="E2374" s="883">
        <v>40870</v>
      </c>
      <c r="F2374" s="192" t="s">
        <v>1336</v>
      </c>
      <c r="G2374" s="498" t="s">
        <v>1330</v>
      </c>
      <c r="H2374" s="193" t="s">
        <v>735</v>
      </c>
      <c r="I2374" s="256">
        <v>442</v>
      </c>
      <c r="J2374" s="256">
        <v>1150</v>
      </c>
      <c r="K2374" s="614">
        <v>508300</v>
      </c>
      <c r="L2374" s="194" t="s">
        <v>259</v>
      </c>
      <c r="M2374" s="194" t="s">
        <v>167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94"/>
      <c r="AB2374" s="198"/>
      <c r="AC2374" s="198"/>
      <c r="AD2374" s="198"/>
    </row>
    <row r="2375" spans="1:30" s="831" customFormat="1" ht="15.75" customHeight="1">
      <c r="A2375" s="204" t="str">
        <f>IF(B2375&lt;&gt;"",IF(AND(B2375&gt;=_TM1,B2375&lt;=_TM2,OR(TH!L2375="1111",TH!M2375="1111")),TH!D2375,""),"")</f>
        <v/>
      </c>
      <c r="B2375" s="36">
        <f t="shared" si="185"/>
        <v>11</v>
      </c>
      <c r="C2375" s="191">
        <v>40870</v>
      </c>
      <c r="D2375" s="191" t="s">
        <v>971</v>
      </c>
      <c r="E2375" s="883">
        <v>40870</v>
      </c>
      <c r="F2375" s="192" t="s">
        <v>1337</v>
      </c>
      <c r="G2375" s="498" t="s">
        <v>1330</v>
      </c>
      <c r="H2375" s="193" t="s">
        <v>735</v>
      </c>
      <c r="I2375" s="256"/>
      <c r="J2375" s="256"/>
      <c r="K2375" s="614">
        <v>1582656</v>
      </c>
      <c r="L2375" s="194" t="s">
        <v>259</v>
      </c>
      <c r="M2375" s="194" t="s">
        <v>731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94"/>
      <c r="AB2375" s="198"/>
      <c r="AC2375" s="198"/>
      <c r="AD2375" s="198"/>
    </row>
    <row r="2376" spans="1:30" s="831" customFormat="1" ht="15.75" customHeight="1">
      <c r="A2376" s="204" t="str">
        <f>IF(B2376&lt;&gt;"",IF(AND(B2376&gt;=_TM1,B2376&lt;=_TM2,OR(TH!L2376="1111",TH!M2376="1111")),TH!D2376,""),"")</f>
        <v/>
      </c>
      <c r="B2376" s="712">
        <f t="shared" si="185"/>
        <v>11</v>
      </c>
      <c r="C2376" s="860">
        <f t="shared" ref="C2376:C2389" si="189">E2376</f>
        <v>40870</v>
      </c>
      <c r="D2376" s="48" t="s">
        <v>1211</v>
      </c>
      <c r="E2376" s="869">
        <v>40870</v>
      </c>
      <c r="F2376" s="49" t="s">
        <v>1329</v>
      </c>
      <c r="G2376" s="49"/>
      <c r="H2376" s="868" t="s">
        <v>1092</v>
      </c>
      <c r="I2376" s="254">
        <v>121</v>
      </c>
      <c r="J2376" s="254">
        <v>16502.119756093376</v>
      </c>
      <c r="K2376" s="716">
        <f t="shared" ref="K2376:K2389" si="190">ROUND(I2376*J2376,0)</f>
        <v>1996756</v>
      </c>
      <c r="L2376" s="52" t="s">
        <v>159</v>
      </c>
      <c r="M2376" s="52" t="s">
        <v>157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94"/>
    </row>
    <row r="2377" spans="1:30" s="831" customFormat="1" ht="15.75" customHeight="1">
      <c r="A2377" s="204" t="str">
        <f>IF(B2377&lt;&gt;"",IF(AND(B2377&gt;=_TM1,B2377&lt;=_TM2,OR(TH!L2377="1111",TH!M2377="1111")),TH!D2377,""),"")</f>
        <v/>
      </c>
      <c r="B2377" s="712">
        <f t="shared" si="185"/>
        <v>11</v>
      </c>
      <c r="C2377" s="860">
        <f t="shared" si="189"/>
        <v>40870</v>
      </c>
      <c r="D2377" s="48" t="s">
        <v>1211</v>
      </c>
      <c r="E2377" s="869">
        <v>40870</v>
      </c>
      <c r="F2377" s="49" t="s">
        <v>1331</v>
      </c>
      <c r="G2377" s="49"/>
      <c r="H2377" s="868" t="s">
        <v>1092</v>
      </c>
      <c r="I2377" s="254">
        <v>101</v>
      </c>
      <c r="J2377" s="254">
        <v>18453.448779904851</v>
      </c>
      <c r="K2377" s="716">
        <f t="shared" si="190"/>
        <v>1863798</v>
      </c>
      <c r="L2377" s="52" t="s">
        <v>159</v>
      </c>
      <c r="M2377" s="52" t="s">
        <v>157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94"/>
    </row>
    <row r="2378" spans="1:30" s="831" customFormat="1" ht="15.75" customHeight="1">
      <c r="A2378" s="204" t="str">
        <f>IF(B2378&lt;&gt;"",IF(AND(B2378&gt;=_TM1,B2378&lt;=_TM2,OR(TH!L2378="1111",TH!M2378="1111")),TH!D2378,""),"")</f>
        <v/>
      </c>
      <c r="B2378" s="712">
        <f t="shared" si="185"/>
        <v>11</v>
      </c>
      <c r="C2378" s="860">
        <f t="shared" si="189"/>
        <v>40870</v>
      </c>
      <c r="D2378" s="48" t="s">
        <v>1211</v>
      </c>
      <c r="E2378" s="869">
        <v>40870</v>
      </c>
      <c r="F2378" s="49" t="s">
        <v>1332</v>
      </c>
      <c r="G2378" s="49"/>
      <c r="H2378" s="868" t="s">
        <v>1092</v>
      </c>
      <c r="I2378" s="254">
        <v>121</v>
      </c>
      <c r="J2378" s="254">
        <v>18666.49992138263</v>
      </c>
      <c r="K2378" s="716">
        <f t="shared" si="190"/>
        <v>2258646</v>
      </c>
      <c r="L2378" s="52" t="s">
        <v>159</v>
      </c>
      <c r="M2378" s="52" t="s">
        <v>157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94"/>
    </row>
    <row r="2379" spans="1:30" s="831" customFormat="1" ht="15.75" customHeight="1">
      <c r="A2379" s="204" t="str">
        <f>IF(B2379&lt;&gt;"",IF(AND(B2379&gt;=_TM1,B2379&lt;=_TM2,OR(TH!L2379="1111",TH!M2379="1111")),TH!D2379,""),"")</f>
        <v/>
      </c>
      <c r="B2379" s="712">
        <f t="shared" si="185"/>
        <v>11</v>
      </c>
      <c r="C2379" s="860">
        <f t="shared" si="189"/>
        <v>40870</v>
      </c>
      <c r="D2379" s="48" t="s">
        <v>1211</v>
      </c>
      <c r="E2379" s="869">
        <v>40870</v>
      </c>
      <c r="F2379" s="49" t="s">
        <v>1333</v>
      </c>
      <c r="G2379" s="49"/>
      <c r="H2379" s="868" t="s">
        <v>1092</v>
      </c>
      <c r="I2379" s="254">
        <v>222</v>
      </c>
      <c r="J2379" s="254">
        <v>16377.503681340937</v>
      </c>
      <c r="K2379" s="716">
        <f t="shared" si="190"/>
        <v>3635806</v>
      </c>
      <c r="L2379" s="52" t="s">
        <v>159</v>
      </c>
      <c r="M2379" s="52" t="s">
        <v>157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94"/>
    </row>
    <row r="2380" spans="1:30" s="831" customFormat="1" ht="15.75" customHeight="1">
      <c r="A2380" s="204" t="str">
        <f>IF(B2380&lt;&gt;"",IF(AND(B2380&gt;=_TM1,B2380&lt;=_TM2,OR(TH!L2380="1111",TH!M2380="1111")),TH!D2380,""),"")</f>
        <v/>
      </c>
      <c r="B2380" s="712">
        <f t="shared" si="185"/>
        <v>11</v>
      </c>
      <c r="C2380" s="860">
        <f t="shared" si="189"/>
        <v>40870</v>
      </c>
      <c r="D2380" s="48" t="s">
        <v>1211</v>
      </c>
      <c r="E2380" s="869">
        <v>40870</v>
      </c>
      <c r="F2380" s="49" t="s">
        <v>1334</v>
      </c>
      <c r="G2380" s="49"/>
      <c r="H2380" s="868" t="s">
        <v>1092</v>
      </c>
      <c r="I2380" s="254">
        <v>121</v>
      </c>
      <c r="J2380" s="254">
        <v>17174.499921382634</v>
      </c>
      <c r="K2380" s="716">
        <f t="shared" si="190"/>
        <v>2078114</v>
      </c>
      <c r="L2380" s="52" t="s">
        <v>159</v>
      </c>
      <c r="M2380" s="52" t="s">
        <v>157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94"/>
    </row>
    <row r="2381" spans="1:30" s="831" customFormat="1" ht="15.75" customHeight="1">
      <c r="A2381" s="204" t="str">
        <f>IF(B2381&lt;&gt;"",IF(AND(B2381&gt;=_TM1,B2381&lt;=_TM2,OR(TH!L2381="1111",TH!M2381="1111")),TH!D2381,""),"")</f>
        <v/>
      </c>
      <c r="B2381" s="712">
        <f t="shared" si="185"/>
        <v>11</v>
      </c>
      <c r="C2381" s="860">
        <f t="shared" si="189"/>
        <v>40870</v>
      </c>
      <c r="D2381" s="48" t="s">
        <v>1211</v>
      </c>
      <c r="E2381" s="869">
        <v>40870</v>
      </c>
      <c r="F2381" s="49" t="s">
        <v>1335</v>
      </c>
      <c r="G2381" s="49"/>
      <c r="H2381" s="868" t="s">
        <v>1092</v>
      </c>
      <c r="I2381" s="254">
        <v>101</v>
      </c>
      <c r="J2381" s="254">
        <v>17174.498284855345</v>
      </c>
      <c r="K2381" s="716">
        <f t="shared" si="190"/>
        <v>1734624</v>
      </c>
      <c r="L2381" s="52" t="s">
        <v>159</v>
      </c>
      <c r="M2381" s="52" t="s">
        <v>157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94"/>
    </row>
    <row r="2382" spans="1:30" s="831" customFormat="1" ht="15.75" customHeight="1">
      <c r="A2382" s="204" t="str">
        <f>IF(B2382&lt;&gt;"",IF(AND(B2382&gt;=_TM1,B2382&lt;=_TM2,OR(TH!L2382="1111",TH!M2382="1111")),TH!D2382,""),"")</f>
        <v/>
      </c>
      <c r="B2382" s="712">
        <f t="shared" si="185"/>
        <v>11</v>
      </c>
      <c r="C2382" s="860">
        <f t="shared" si="189"/>
        <v>40870</v>
      </c>
      <c r="D2382" s="48" t="s">
        <v>1211</v>
      </c>
      <c r="E2382" s="869">
        <v>40870</v>
      </c>
      <c r="F2382" s="49" t="s">
        <v>1336</v>
      </c>
      <c r="G2382" s="49"/>
      <c r="H2382" s="868" t="s">
        <v>1092</v>
      </c>
      <c r="I2382" s="254">
        <v>442</v>
      </c>
      <c r="J2382" s="254">
        <v>1530.0149731757595</v>
      </c>
      <c r="K2382" s="716">
        <f t="shared" si="190"/>
        <v>676267</v>
      </c>
      <c r="L2382" s="52" t="s">
        <v>159</v>
      </c>
      <c r="M2382" s="52" t="s">
        <v>157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94"/>
    </row>
    <row r="2383" spans="1:30" s="831" customFormat="1" ht="15.75" customHeight="1">
      <c r="A2383" s="204" t="str">
        <f>IF(B2383&lt;&gt;"",IF(AND(B2383&gt;=_TM1,B2383&lt;=_TM2,OR(TH!L2383="1111",TH!M2383="1111")),TH!D2383,""),"")</f>
        <v/>
      </c>
      <c r="B2383" s="36">
        <f t="shared" si="185"/>
        <v>11</v>
      </c>
      <c r="C2383" s="191">
        <f t="shared" si="189"/>
        <v>40870</v>
      </c>
      <c r="D2383" s="37" t="s">
        <v>971</v>
      </c>
      <c r="E2383" s="792">
        <v>40870</v>
      </c>
      <c r="F2383" s="192" t="s">
        <v>1329</v>
      </c>
      <c r="G2383" s="498" t="s">
        <v>1330</v>
      </c>
      <c r="H2383" s="193" t="s">
        <v>735</v>
      </c>
      <c r="I2383" s="256">
        <v>121</v>
      </c>
      <c r="J2383" s="256">
        <v>16502.119756093376</v>
      </c>
      <c r="K2383" s="866">
        <f t="shared" si="190"/>
        <v>1996756</v>
      </c>
      <c r="L2383" s="854" t="s">
        <v>165</v>
      </c>
      <c r="M2383" s="854" t="s">
        <v>159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94"/>
      <c r="AB2383" s="198"/>
      <c r="AC2383" s="198"/>
      <c r="AD2383" s="198"/>
    </row>
    <row r="2384" spans="1:30" s="831" customFormat="1" ht="15.75" customHeight="1">
      <c r="A2384" s="204" t="str">
        <f>IF(B2384&lt;&gt;"",IF(AND(B2384&gt;=_TM1,B2384&lt;=_TM2,OR(TH!L2384="1111",TH!M2384="1111")),TH!D2384,""),"")</f>
        <v/>
      </c>
      <c r="B2384" s="36">
        <f t="shared" si="185"/>
        <v>11</v>
      </c>
      <c r="C2384" s="191">
        <f t="shared" si="189"/>
        <v>40870</v>
      </c>
      <c r="D2384" s="37" t="s">
        <v>971</v>
      </c>
      <c r="E2384" s="792">
        <v>40870</v>
      </c>
      <c r="F2384" s="192" t="s">
        <v>1331</v>
      </c>
      <c r="G2384" s="498" t="s">
        <v>1330</v>
      </c>
      <c r="H2384" s="193" t="s">
        <v>735</v>
      </c>
      <c r="I2384" s="256">
        <v>101</v>
      </c>
      <c r="J2384" s="256">
        <v>18453.448779904851</v>
      </c>
      <c r="K2384" s="866">
        <f t="shared" si="190"/>
        <v>1863798</v>
      </c>
      <c r="L2384" s="854" t="s">
        <v>165</v>
      </c>
      <c r="M2384" s="854" t="s">
        <v>159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94"/>
      <c r="AB2384" s="198"/>
      <c r="AC2384" s="198"/>
      <c r="AD2384" s="198"/>
    </row>
    <row r="2385" spans="1:30" s="831" customFormat="1" ht="15.75" customHeight="1">
      <c r="A2385" s="204" t="str">
        <f>IF(B2385&lt;&gt;"",IF(AND(B2385&gt;=_TM1,B2385&lt;=_TM2,OR(TH!L2385="1111",TH!M2385="1111")),TH!D2385,""),"")</f>
        <v/>
      </c>
      <c r="B2385" s="36">
        <f t="shared" si="185"/>
        <v>11</v>
      </c>
      <c r="C2385" s="191">
        <f t="shared" si="189"/>
        <v>40870</v>
      </c>
      <c r="D2385" s="37" t="s">
        <v>971</v>
      </c>
      <c r="E2385" s="792">
        <v>40870</v>
      </c>
      <c r="F2385" s="192" t="s">
        <v>1332</v>
      </c>
      <c r="G2385" s="498" t="s">
        <v>1330</v>
      </c>
      <c r="H2385" s="193" t="s">
        <v>735</v>
      </c>
      <c r="I2385" s="256">
        <v>121</v>
      </c>
      <c r="J2385" s="256">
        <v>18666.49992138263</v>
      </c>
      <c r="K2385" s="866">
        <f t="shared" si="190"/>
        <v>2258646</v>
      </c>
      <c r="L2385" s="854" t="s">
        <v>165</v>
      </c>
      <c r="M2385" s="854" t="s">
        <v>159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94"/>
      <c r="AB2385" s="198"/>
      <c r="AC2385" s="198"/>
      <c r="AD2385" s="198"/>
    </row>
    <row r="2386" spans="1:30" s="831" customFormat="1" ht="15.75" customHeight="1">
      <c r="A2386" s="204" t="str">
        <f>IF(B2386&lt;&gt;"",IF(AND(B2386&gt;=_TM1,B2386&lt;=_TM2,OR(TH!L2386="1111",TH!M2386="1111")),TH!D2386,""),"")</f>
        <v/>
      </c>
      <c r="B2386" s="36">
        <f t="shared" si="185"/>
        <v>11</v>
      </c>
      <c r="C2386" s="191">
        <f t="shared" si="189"/>
        <v>40870</v>
      </c>
      <c r="D2386" s="37" t="s">
        <v>971</v>
      </c>
      <c r="E2386" s="792">
        <v>40870</v>
      </c>
      <c r="F2386" s="192" t="s">
        <v>1333</v>
      </c>
      <c r="G2386" s="498" t="s">
        <v>1330</v>
      </c>
      <c r="H2386" s="193" t="s">
        <v>735</v>
      </c>
      <c r="I2386" s="256">
        <v>222</v>
      </c>
      <c r="J2386" s="256">
        <v>16377.503681340937</v>
      </c>
      <c r="K2386" s="866">
        <f t="shared" si="190"/>
        <v>3635806</v>
      </c>
      <c r="L2386" s="854" t="s">
        <v>165</v>
      </c>
      <c r="M2386" s="854" t="s">
        <v>159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94"/>
      <c r="AB2386" s="198"/>
      <c r="AC2386" s="198"/>
      <c r="AD2386" s="198"/>
    </row>
    <row r="2387" spans="1:30" s="831" customFormat="1" ht="15.75" customHeight="1">
      <c r="A2387" s="204" t="str">
        <f>IF(B2387&lt;&gt;"",IF(AND(B2387&gt;=_TM1,B2387&lt;=_TM2,OR(TH!L2387="1111",TH!M2387="1111")),TH!D2387,""),"")</f>
        <v/>
      </c>
      <c r="B2387" s="36">
        <f t="shared" si="185"/>
        <v>11</v>
      </c>
      <c r="C2387" s="191">
        <f t="shared" si="189"/>
        <v>40870</v>
      </c>
      <c r="D2387" s="37" t="s">
        <v>971</v>
      </c>
      <c r="E2387" s="792">
        <v>40870</v>
      </c>
      <c r="F2387" s="192" t="s">
        <v>1334</v>
      </c>
      <c r="G2387" s="498" t="s">
        <v>1330</v>
      </c>
      <c r="H2387" s="193" t="s">
        <v>735</v>
      </c>
      <c r="I2387" s="256">
        <v>121</v>
      </c>
      <c r="J2387" s="256">
        <v>17174.499921382634</v>
      </c>
      <c r="K2387" s="866">
        <f t="shared" si="190"/>
        <v>2078114</v>
      </c>
      <c r="L2387" s="854" t="s">
        <v>165</v>
      </c>
      <c r="M2387" s="854" t="s">
        <v>159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94"/>
      <c r="AB2387" s="198"/>
      <c r="AC2387" s="198"/>
      <c r="AD2387" s="198"/>
    </row>
    <row r="2388" spans="1:30" s="831" customFormat="1" ht="15.75" customHeight="1">
      <c r="A2388" s="204" t="str">
        <f>IF(B2388&lt;&gt;"",IF(AND(B2388&gt;=_TM1,B2388&lt;=_TM2,OR(TH!L2388="1111",TH!M2388="1111")),TH!D2388,""),"")</f>
        <v/>
      </c>
      <c r="B2388" s="36">
        <f t="shared" si="185"/>
        <v>11</v>
      </c>
      <c r="C2388" s="191">
        <f t="shared" si="189"/>
        <v>40870</v>
      </c>
      <c r="D2388" s="37" t="s">
        <v>971</v>
      </c>
      <c r="E2388" s="792">
        <v>40870</v>
      </c>
      <c r="F2388" s="192" t="s">
        <v>1335</v>
      </c>
      <c r="G2388" s="498" t="s">
        <v>1330</v>
      </c>
      <c r="H2388" s="193" t="s">
        <v>735</v>
      </c>
      <c r="I2388" s="256">
        <v>101</v>
      </c>
      <c r="J2388" s="256">
        <v>17174.498284855345</v>
      </c>
      <c r="K2388" s="866">
        <f t="shared" si="190"/>
        <v>1734624</v>
      </c>
      <c r="L2388" s="854" t="s">
        <v>165</v>
      </c>
      <c r="M2388" s="854" t="s">
        <v>159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94"/>
      <c r="AB2388" s="198"/>
      <c r="AC2388" s="198"/>
      <c r="AD2388" s="198"/>
    </row>
    <row r="2389" spans="1:30" s="831" customFormat="1" ht="15.75" customHeight="1">
      <c r="A2389" s="204" t="str">
        <f>IF(B2389&lt;&gt;"",IF(AND(B2389&gt;=_TM1,B2389&lt;=_TM2,OR(TH!L2389="1111",TH!M2389="1111")),TH!D2389,""),"")</f>
        <v/>
      </c>
      <c r="B2389" s="36">
        <f t="shared" si="185"/>
        <v>11</v>
      </c>
      <c r="C2389" s="191">
        <f t="shared" si="189"/>
        <v>40870</v>
      </c>
      <c r="D2389" s="37" t="s">
        <v>971</v>
      </c>
      <c r="E2389" s="792">
        <v>40870</v>
      </c>
      <c r="F2389" s="192" t="s">
        <v>1336</v>
      </c>
      <c r="G2389" s="498" t="s">
        <v>1330</v>
      </c>
      <c r="H2389" s="193" t="s">
        <v>735</v>
      </c>
      <c r="I2389" s="256">
        <v>442</v>
      </c>
      <c r="J2389" s="256">
        <v>1530.0149731757595</v>
      </c>
      <c r="K2389" s="866">
        <f t="shared" si="190"/>
        <v>676267</v>
      </c>
      <c r="L2389" s="854" t="s">
        <v>165</v>
      </c>
      <c r="M2389" s="854" t="s">
        <v>159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94"/>
      <c r="AB2389" s="198"/>
      <c r="AC2389" s="198"/>
      <c r="AD2389" s="198"/>
    </row>
    <row r="2390" spans="1:30" s="831" customFormat="1" ht="15.75" customHeight="1">
      <c r="A2390" s="204" t="str">
        <f>IF(B2390&lt;&gt;"",IF(AND(B2390&gt;=_TM1,B2390&lt;=_TM2,OR(TH!L2390="1111",TH!M2390="1111")),TH!D2390,""),"")</f>
        <v/>
      </c>
      <c r="B2390" s="36">
        <f t="shared" si="185"/>
        <v>11</v>
      </c>
      <c r="C2390" s="191">
        <v>40871</v>
      </c>
      <c r="D2390" s="191" t="s">
        <v>698</v>
      </c>
      <c r="E2390" s="883">
        <v>40871</v>
      </c>
      <c r="F2390" s="192" t="s">
        <v>648</v>
      </c>
      <c r="G2390" s="498" t="s">
        <v>1278</v>
      </c>
      <c r="H2390" s="193" t="s">
        <v>559</v>
      </c>
      <c r="I2390" s="256">
        <v>720</v>
      </c>
      <c r="J2390" s="256">
        <v>19365</v>
      </c>
      <c r="K2390" s="614">
        <v>13942800</v>
      </c>
      <c r="L2390" s="194" t="s">
        <v>151</v>
      </c>
      <c r="M2390" s="194" t="s">
        <v>8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94"/>
      <c r="AB2390" s="198"/>
      <c r="AC2390" s="198"/>
      <c r="AD2390" s="198"/>
    </row>
    <row r="2391" spans="1:30" s="831" customFormat="1" ht="15.75" customHeight="1">
      <c r="A2391" s="204" t="str">
        <f>IF(B2391&lt;&gt;"",IF(AND(B2391&gt;=_TM1,B2391&lt;=_TM2,OR(TH!L2391="1111",TH!M2391="1111")),TH!D2391,""),"")</f>
        <v/>
      </c>
      <c r="B2391" s="36">
        <f t="shared" si="185"/>
        <v>11</v>
      </c>
      <c r="C2391" s="191">
        <v>40871</v>
      </c>
      <c r="D2391" s="191" t="s">
        <v>698</v>
      </c>
      <c r="E2391" s="883">
        <v>40871</v>
      </c>
      <c r="F2391" s="192" t="s">
        <v>560</v>
      </c>
      <c r="G2391" s="498" t="s">
        <v>1278</v>
      </c>
      <c r="H2391" s="193" t="s">
        <v>559</v>
      </c>
      <c r="I2391" s="256"/>
      <c r="J2391" s="256"/>
      <c r="K2391" s="38">
        <v>1394280</v>
      </c>
      <c r="L2391" s="194" t="s">
        <v>9</v>
      </c>
      <c r="M2391" s="194" t="s">
        <v>8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94"/>
      <c r="AB2391" s="198">
        <v>11</v>
      </c>
      <c r="AC2391" s="198"/>
      <c r="AD2391" s="198"/>
    </row>
    <row r="2392" spans="1:30" s="831" customFormat="1" ht="15.75" customHeight="1">
      <c r="A2392" s="204" t="str">
        <f>IF(B2392&lt;&gt;"",IF(AND(B2392&gt;=_TM1,B2392&lt;=_TM2,OR(TH!L2392="1111",TH!M2392="1111")),TH!D2392,""),"")</f>
        <v>NL/N02</v>
      </c>
      <c r="B2392" s="36">
        <f t="shared" ref="B2392" si="191">IF(C2392&lt;&gt;"",MONTH(C2392),"")</f>
        <v>11</v>
      </c>
      <c r="C2392" s="191">
        <v>40871</v>
      </c>
      <c r="D2392" s="191" t="s">
        <v>698</v>
      </c>
      <c r="E2392" s="883">
        <v>40871</v>
      </c>
      <c r="F2392" s="189" t="s">
        <v>367</v>
      </c>
      <c r="G2392" s="498" t="s">
        <v>1278</v>
      </c>
      <c r="H2392" s="7" t="s">
        <v>559</v>
      </c>
      <c r="I2392" s="256"/>
      <c r="J2392" s="256"/>
      <c r="K2392" s="614">
        <v>15337080</v>
      </c>
      <c r="L2392" s="615" t="s">
        <v>8</v>
      </c>
      <c r="M2392" s="615" t="s">
        <v>46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94"/>
      <c r="AB2392" s="198"/>
      <c r="AC2392" s="198"/>
      <c r="AD2392" s="198"/>
    </row>
    <row r="2393" spans="1:30" s="831" customFormat="1" ht="15.75" customHeight="1">
      <c r="A2393" s="204" t="str">
        <f>IF(B2393&lt;&gt;"",IF(AND(B2393&gt;=_TM1,B2393&lt;=_TM2,OR(TH!L2393="1111",TH!M2393="1111")),TH!D2393,""),"")</f>
        <v>C16</v>
      </c>
      <c r="B2393" s="36">
        <f t="shared" si="185"/>
        <v>11</v>
      </c>
      <c r="C2393" s="191">
        <v>40871</v>
      </c>
      <c r="D2393" s="191" t="s">
        <v>665</v>
      </c>
      <c r="E2393" s="883">
        <v>40871</v>
      </c>
      <c r="F2393" s="192" t="s">
        <v>1279</v>
      </c>
      <c r="G2393" s="498" t="s">
        <v>1280</v>
      </c>
      <c r="H2393" s="7" t="s">
        <v>371</v>
      </c>
      <c r="I2393" s="258">
        <v>20</v>
      </c>
      <c r="J2393" s="258">
        <v>65000</v>
      </c>
      <c r="K2393" s="614">
        <v>1300000</v>
      </c>
      <c r="L2393" s="194" t="s">
        <v>157</v>
      </c>
      <c r="M2393" s="194" t="s">
        <v>46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94"/>
      <c r="AB2393" s="198"/>
      <c r="AC2393" s="198"/>
      <c r="AD2393" s="198"/>
    </row>
    <row r="2394" spans="1:30" s="831" customFormat="1" ht="15.75" customHeight="1">
      <c r="A2394" s="204" t="str">
        <f>IF(B2394&lt;&gt;"",IF(AND(B2394&gt;=_TM1,B2394&lt;=_TM2,OR(TH!L2394="1111",TH!M2394="1111")),TH!D2394,""),"")</f>
        <v>C16</v>
      </c>
      <c r="B2394" s="36">
        <f t="shared" si="185"/>
        <v>11</v>
      </c>
      <c r="C2394" s="191">
        <v>40871</v>
      </c>
      <c r="D2394" s="191" t="s">
        <v>665</v>
      </c>
      <c r="E2394" s="883">
        <v>40871</v>
      </c>
      <c r="F2394" s="192" t="s">
        <v>1165</v>
      </c>
      <c r="G2394" s="498" t="s">
        <v>1280</v>
      </c>
      <c r="H2394" s="7" t="s">
        <v>371</v>
      </c>
      <c r="I2394" s="258"/>
      <c r="J2394" s="258"/>
      <c r="K2394" s="38">
        <v>130000</v>
      </c>
      <c r="L2394" s="194" t="s">
        <v>9</v>
      </c>
      <c r="M2394" s="194" t="s">
        <v>46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94"/>
      <c r="AB2394" s="198">
        <v>11</v>
      </c>
      <c r="AC2394" s="198"/>
      <c r="AD2394" s="198"/>
    </row>
    <row r="2395" spans="1:30" s="831" customFormat="1" ht="15.75" customHeight="1">
      <c r="A2395" s="204" t="str">
        <f>IF(B2395&lt;&gt;"",IF(AND(B2395&gt;=_TM1,B2395&lt;=_TM2,OR(TH!L2395="1111",TH!M2395="1111")),TH!D2395,""),"")</f>
        <v/>
      </c>
      <c r="B2395" s="36">
        <f t="shared" si="185"/>
        <v>11</v>
      </c>
      <c r="C2395" s="184">
        <v>40872</v>
      </c>
      <c r="D2395" s="184" t="s">
        <v>333</v>
      </c>
      <c r="E2395" s="896">
        <v>40872</v>
      </c>
      <c r="F2395" s="189" t="s">
        <v>364</v>
      </c>
      <c r="G2395" s="616" t="s">
        <v>330</v>
      </c>
      <c r="H2395" s="7"/>
      <c r="I2395" s="256"/>
      <c r="J2395" s="256"/>
      <c r="K2395" s="614">
        <v>93736</v>
      </c>
      <c r="L2395" s="615" t="s">
        <v>23</v>
      </c>
      <c r="M2395" s="615" t="s">
        <v>39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94"/>
      <c r="AB2395" s="198"/>
      <c r="AC2395" s="198"/>
      <c r="AD2395" s="198"/>
    </row>
    <row r="2396" spans="1:30" s="831" customFormat="1" ht="15.75" customHeight="1">
      <c r="A2396" s="204" t="str">
        <f>IF(B2396&lt;&gt;"",IF(AND(B2396&gt;=_TM1,B2396&lt;=_TM2,OR(TH!L2396="1111",TH!M2396="1111")),TH!D2396,""),"")</f>
        <v/>
      </c>
      <c r="B2396" s="36">
        <f t="shared" ref="B2396:B2463" si="192">IF(C2396&lt;&gt;"",MONTH(C2396),"")</f>
        <v>11</v>
      </c>
      <c r="C2396" s="191">
        <v>40872</v>
      </c>
      <c r="D2396" s="191" t="s">
        <v>699</v>
      </c>
      <c r="E2396" s="883">
        <v>40872</v>
      </c>
      <c r="F2396" s="192" t="s">
        <v>649</v>
      </c>
      <c r="G2396" s="498" t="s">
        <v>1281</v>
      </c>
      <c r="H2396" s="193" t="s">
        <v>559</v>
      </c>
      <c r="I2396" s="256">
        <v>720</v>
      </c>
      <c r="J2396" s="256">
        <v>16502</v>
      </c>
      <c r="K2396" s="614">
        <v>11881440</v>
      </c>
      <c r="L2396" s="194" t="s">
        <v>151</v>
      </c>
      <c r="M2396" s="194" t="s">
        <v>8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94"/>
      <c r="AB2396" s="198"/>
      <c r="AC2396" s="198"/>
      <c r="AD2396" s="198"/>
    </row>
    <row r="2397" spans="1:30" s="831" customFormat="1" ht="15.75" customHeight="1">
      <c r="A2397" s="204" t="str">
        <f>IF(B2397&lt;&gt;"",IF(AND(B2397&gt;=_TM1,B2397&lt;=_TM2,OR(TH!L2397="1111",TH!M2397="1111")),TH!D2397,""),"")</f>
        <v/>
      </c>
      <c r="B2397" s="36">
        <f t="shared" si="192"/>
        <v>11</v>
      </c>
      <c r="C2397" s="191">
        <v>40872</v>
      </c>
      <c r="D2397" s="191" t="s">
        <v>699</v>
      </c>
      <c r="E2397" s="883">
        <v>40872</v>
      </c>
      <c r="F2397" s="192" t="s">
        <v>650</v>
      </c>
      <c r="G2397" s="498" t="s">
        <v>1281</v>
      </c>
      <c r="H2397" s="193" t="s">
        <v>559</v>
      </c>
      <c r="I2397" s="256">
        <v>100</v>
      </c>
      <c r="J2397" s="256">
        <v>15443</v>
      </c>
      <c r="K2397" s="614">
        <v>1544300</v>
      </c>
      <c r="L2397" s="194" t="s">
        <v>151</v>
      </c>
      <c r="M2397" s="194" t="s">
        <v>8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94"/>
      <c r="AB2397" s="198"/>
      <c r="AC2397" s="198"/>
      <c r="AD2397" s="198"/>
    </row>
    <row r="2398" spans="1:30" s="831" customFormat="1" ht="15.75" customHeight="1">
      <c r="A2398" s="204" t="str">
        <f>IF(B2398&lt;&gt;"",IF(AND(B2398&gt;=_TM1,B2398&lt;=_TM2,OR(TH!L2398="1111",TH!M2398="1111")),TH!D2398,""),"")</f>
        <v/>
      </c>
      <c r="B2398" s="36">
        <f t="shared" si="192"/>
        <v>11</v>
      </c>
      <c r="C2398" s="191">
        <v>40872</v>
      </c>
      <c r="D2398" s="191" t="s">
        <v>699</v>
      </c>
      <c r="E2398" s="883">
        <v>40872</v>
      </c>
      <c r="F2398" s="192" t="s">
        <v>651</v>
      </c>
      <c r="G2398" s="498" t="s">
        <v>1281</v>
      </c>
      <c r="H2398" s="193" t="s">
        <v>559</v>
      </c>
      <c r="I2398" s="256">
        <v>255</v>
      </c>
      <c r="J2398" s="256">
        <v>14105</v>
      </c>
      <c r="K2398" s="614">
        <v>3596775</v>
      </c>
      <c r="L2398" s="194" t="s">
        <v>151</v>
      </c>
      <c r="M2398" s="194" t="s">
        <v>8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94"/>
      <c r="AB2398" s="198"/>
      <c r="AC2398" s="198"/>
      <c r="AD2398" s="198"/>
    </row>
    <row r="2399" spans="1:30" s="831" customFormat="1" ht="15.75" customHeight="1">
      <c r="A2399" s="204" t="str">
        <f>IF(B2399&lt;&gt;"",IF(AND(B2399&gt;=_TM1,B2399&lt;=_TM2,OR(TH!L2399="1111",TH!M2399="1111")),TH!D2399,""),"")</f>
        <v/>
      </c>
      <c r="B2399" s="36">
        <f t="shared" si="192"/>
        <v>11</v>
      </c>
      <c r="C2399" s="191">
        <v>40872</v>
      </c>
      <c r="D2399" s="191" t="s">
        <v>699</v>
      </c>
      <c r="E2399" s="883">
        <v>40872</v>
      </c>
      <c r="F2399" s="192" t="s">
        <v>560</v>
      </c>
      <c r="G2399" s="498" t="s">
        <v>1281</v>
      </c>
      <c r="H2399" s="193" t="s">
        <v>559</v>
      </c>
      <c r="I2399" s="256"/>
      <c r="J2399" s="256"/>
      <c r="K2399" s="38">
        <v>1702252</v>
      </c>
      <c r="L2399" s="194" t="s">
        <v>9</v>
      </c>
      <c r="M2399" s="194" t="s">
        <v>8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94"/>
      <c r="AB2399" s="198">
        <v>11</v>
      </c>
      <c r="AC2399" s="198"/>
      <c r="AD2399" s="198"/>
    </row>
    <row r="2400" spans="1:30" s="831" customFormat="1" ht="15.75" customHeight="1">
      <c r="A2400" s="204" t="str">
        <f>IF(B2400&lt;&gt;"",IF(AND(B2400&gt;=_TM1,B2400&lt;=_TM2,OR(TH!L2400="1111",TH!M2400="1111")),TH!D2400,""),"")</f>
        <v>NL/N03</v>
      </c>
      <c r="B2400" s="36">
        <f t="shared" ref="B2400" si="193">IF(C2400&lt;&gt;"",MONTH(C2400),"")</f>
        <v>11</v>
      </c>
      <c r="C2400" s="191">
        <v>40872</v>
      </c>
      <c r="D2400" s="191" t="s">
        <v>699</v>
      </c>
      <c r="E2400" s="883">
        <v>40872</v>
      </c>
      <c r="F2400" s="189" t="s">
        <v>367</v>
      </c>
      <c r="G2400" s="498" t="s">
        <v>1281</v>
      </c>
      <c r="H2400" s="193" t="s">
        <v>559</v>
      </c>
      <c r="I2400" s="256"/>
      <c r="J2400" s="256"/>
      <c r="K2400" s="38">
        <v>18724767</v>
      </c>
      <c r="L2400" s="615" t="s">
        <v>8</v>
      </c>
      <c r="M2400" s="615" t="s">
        <v>46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94"/>
      <c r="AB2400" s="198"/>
      <c r="AC2400" s="198"/>
      <c r="AD2400" s="198"/>
    </row>
    <row r="2401" spans="1:30" s="831" customFormat="1" ht="15.75" customHeight="1">
      <c r="A2401" s="204" t="str">
        <f>IF(B2401&lt;&gt;"",IF(AND(B2401&gt;=_TM1,B2401&lt;=_TM2,OR(TH!L2401="1111",TH!M2401="1111")),TH!D2401,""),"")</f>
        <v/>
      </c>
      <c r="B2401" s="36">
        <f t="shared" si="192"/>
        <v>11</v>
      </c>
      <c r="C2401" s="191">
        <f>E2401</f>
        <v>40872</v>
      </c>
      <c r="D2401" s="860" t="s">
        <v>1111</v>
      </c>
      <c r="E2401" s="792">
        <v>40872</v>
      </c>
      <c r="F2401" s="189" t="s">
        <v>387</v>
      </c>
      <c r="G2401" s="40"/>
      <c r="H2401" s="628" t="s">
        <v>1092</v>
      </c>
      <c r="I2401" s="839">
        <v>13</v>
      </c>
      <c r="J2401" s="256">
        <v>4449</v>
      </c>
      <c r="K2401" s="614">
        <f>ROUND(I2401*J2401,0)</f>
        <v>57837</v>
      </c>
      <c r="L2401" s="52" t="s">
        <v>157</v>
      </c>
      <c r="M2401" s="52" t="s">
        <v>151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>x</v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94"/>
      <c r="AB2401" s="198"/>
      <c r="AC2401" s="198"/>
      <c r="AD2401" s="198"/>
    </row>
    <row r="2402" spans="1:30" s="831" customFormat="1" ht="15.75" customHeight="1">
      <c r="A2402" s="204" t="str">
        <f>IF(B2402&lt;&gt;"",IF(AND(B2402&gt;=_TM1,B2402&lt;=_TM2,OR(TH!L2402="1111",TH!M2402="1111")),TH!D2402,""),"")</f>
        <v/>
      </c>
      <c r="B2402" s="36">
        <f t="shared" si="192"/>
        <v>11</v>
      </c>
      <c r="C2402" s="191">
        <f>E2402</f>
        <v>40872</v>
      </c>
      <c r="D2402" s="860" t="s">
        <v>1111</v>
      </c>
      <c r="E2402" s="792">
        <v>40872</v>
      </c>
      <c r="F2402" s="189" t="s">
        <v>387</v>
      </c>
      <c r="G2402" s="40"/>
      <c r="H2402" s="628" t="s">
        <v>1092</v>
      </c>
      <c r="I2402" s="839">
        <v>15</v>
      </c>
      <c r="J2402" s="256">
        <v>4449</v>
      </c>
      <c r="K2402" s="614">
        <f>ROUND(I2402*J2402,0)</f>
        <v>66735</v>
      </c>
      <c r="L2402" s="52" t="s">
        <v>157</v>
      </c>
      <c r="M2402" s="52" t="s">
        <v>151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>x</v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94"/>
      <c r="AB2402" s="198"/>
      <c r="AC2402" s="198"/>
      <c r="AD2402" s="198"/>
    </row>
    <row r="2403" spans="1:30" s="831" customFormat="1" ht="15.75" customHeight="1">
      <c r="A2403" s="204" t="str">
        <f>IF(B2403&lt;&gt;"",IF(AND(B2403&gt;=_TM1,B2403&lt;=_TM2,OR(TH!L2403="1111",TH!M2403="1111")),TH!D2403,""),"")</f>
        <v/>
      </c>
      <c r="B2403" s="36">
        <f t="shared" si="192"/>
        <v>11</v>
      </c>
      <c r="C2403" s="191">
        <f>E2403</f>
        <v>40872</v>
      </c>
      <c r="D2403" s="860" t="s">
        <v>1111</v>
      </c>
      <c r="E2403" s="792">
        <v>40872</v>
      </c>
      <c r="F2403" s="189" t="s">
        <v>638</v>
      </c>
      <c r="G2403" s="40"/>
      <c r="H2403" s="628" t="s">
        <v>1092</v>
      </c>
      <c r="I2403" s="256">
        <v>2</v>
      </c>
      <c r="J2403" s="256">
        <v>24594.5</v>
      </c>
      <c r="K2403" s="614">
        <f>ROUND(I2403*J2403,0)</f>
        <v>49189</v>
      </c>
      <c r="L2403" s="52" t="s">
        <v>157</v>
      </c>
      <c r="M2403" s="52" t="s">
        <v>151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94"/>
      <c r="AB2403" s="198"/>
      <c r="AC2403" s="198"/>
      <c r="AD2403" s="198"/>
    </row>
    <row r="2404" spans="1:30" s="831" customFormat="1" ht="15.75" customHeight="1">
      <c r="A2404" s="204" t="str">
        <f>IF(B2404&lt;&gt;"",IF(AND(B2404&gt;=_TM1,B2404&lt;=_TM2,OR(TH!L2404="1111",TH!M2404="1111")),TH!D2404,""),"")</f>
        <v/>
      </c>
      <c r="B2404" s="36">
        <f t="shared" si="192"/>
        <v>11</v>
      </c>
      <c r="C2404" s="191">
        <f>E2404</f>
        <v>40872</v>
      </c>
      <c r="D2404" s="860" t="s">
        <v>1111</v>
      </c>
      <c r="E2404" s="792">
        <v>40872</v>
      </c>
      <c r="F2404" s="40" t="s">
        <v>644</v>
      </c>
      <c r="G2404" s="40"/>
      <c r="H2404" s="628" t="s">
        <v>1092</v>
      </c>
      <c r="I2404" s="256">
        <v>490</v>
      </c>
      <c r="J2404" s="256">
        <v>30158</v>
      </c>
      <c r="K2404" s="614">
        <f>ROUND(I2404*J2404,0)</f>
        <v>14777420</v>
      </c>
      <c r="L2404" s="52" t="s">
        <v>157</v>
      </c>
      <c r="M2404" s="52" t="s">
        <v>151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94"/>
      <c r="AB2404" s="198"/>
      <c r="AC2404" s="198"/>
      <c r="AD2404" s="198"/>
    </row>
    <row r="2405" spans="1:30" s="831" customFormat="1" ht="15.75" customHeight="1">
      <c r="A2405" s="204" t="str">
        <f>IF(B2405&lt;&gt;"",IF(AND(B2405&gt;=_TM1,B2405&lt;=_TM2,OR(TH!L2405="1111",TH!M2405="1111")),TH!D2405,""),"")</f>
        <v/>
      </c>
      <c r="B2405" s="36">
        <f t="shared" si="192"/>
        <v>11</v>
      </c>
      <c r="C2405" s="191">
        <f>E2405</f>
        <v>40872</v>
      </c>
      <c r="D2405" s="860" t="s">
        <v>1111</v>
      </c>
      <c r="E2405" s="792">
        <v>40872</v>
      </c>
      <c r="F2405" s="40" t="s">
        <v>654</v>
      </c>
      <c r="G2405" s="40"/>
      <c r="H2405" s="628" t="s">
        <v>1092</v>
      </c>
      <c r="I2405" s="256">
        <v>1050</v>
      </c>
      <c r="J2405" s="256">
        <v>12992</v>
      </c>
      <c r="K2405" s="614">
        <f>ROUND(I2405*J2405,0)</f>
        <v>13641600</v>
      </c>
      <c r="L2405" s="52" t="s">
        <v>157</v>
      </c>
      <c r="M2405" s="52" t="s">
        <v>151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94"/>
      <c r="AB2405" s="198"/>
      <c r="AC2405" s="198"/>
      <c r="AD2405" s="198"/>
    </row>
    <row r="2406" spans="1:30" s="831" customFormat="1" ht="15.75" customHeight="1">
      <c r="A2406" s="204" t="str">
        <f>IF(B2406&lt;&gt;"",IF(AND(B2406&gt;=_TM1,B2406&lt;=_TM2,OR(TH!L2406="1111",TH!M2406="1111")),TH!D2406,""),"")</f>
        <v/>
      </c>
      <c r="B2406" s="36">
        <f t="shared" si="192"/>
        <v>11</v>
      </c>
      <c r="C2406" s="191">
        <v>40875</v>
      </c>
      <c r="D2406" s="191" t="s">
        <v>700</v>
      </c>
      <c r="E2406" s="883">
        <v>40875</v>
      </c>
      <c r="F2406" s="192" t="s">
        <v>652</v>
      </c>
      <c r="G2406" s="498" t="s">
        <v>1282</v>
      </c>
      <c r="H2406" s="193" t="s">
        <v>559</v>
      </c>
      <c r="I2406" s="256">
        <v>950</v>
      </c>
      <c r="J2406" s="256">
        <v>18995</v>
      </c>
      <c r="K2406" s="614">
        <v>18045250</v>
      </c>
      <c r="L2406" s="194" t="s">
        <v>151</v>
      </c>
      <c r="M2406" s="194" t="s">
        <v>8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94"/>
      <c r="AB2406" s="198"/>
      <c r="AC2406" s="198"/>
      <c r="AD2406" s="198"/>
    </row>
    <row r="2407" spans="1:30" s="831" customFormat="1" ht="15.75" customHeight="1">
      <c r="A2407" s="204" t="str">
        <f>IF(B2407&lt;&gt;"",IF(AND(B2407&gt;=_TM1,B2407&lt;=_TM2,OR(TH!L2407="1111",TH!M2407="1111")),TH!D2407,""),"")</f>
        <v/>
      </c>
      <c r="B2407" s="36">
        <f t="shared" si="192"/>
        <v>11</v>
      </c>
      <c r="C2407" s="191">
        <v>40875</v>
      </c>
      <c r="D2407" s="191" t="s">
        <v>700</v>
      </c>
      <c r="E2407" s="883">
        <v>40875</v>
      </c>
      <c r="F2407" s="192" t="s">
        <v>560</v>
      </c>
      <c r="G2407" s="498" t="s">
        <v>1282</v>
      </c>
      <c r="H2407" s="193" t="s">
        <v>559</v>
      </c>
      <c r="I2407" s="256"/>
      <c r="J2407" s="256"/>
      <c r="K2407" s="38">
        <v>1804525</v>
      </c>
      <c r="L2407" s="194" t="s">
        <v>9</v>
      </c>
      <c r="M2407" s="194" t="s">
        <v>8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94"/>
      <c r="AB2407" s="198">
        <v>11</v>
      </c>
      <c r="AC2407" s="198"/>
      <c r="AD2407" s="198"/>
    </row>
    <row r="2408" spans="1:30" s="831" customFormat="1" ht="15.75" customHeight="1">
      <c r="A2408" s="204" t="str">
        <f>IF(B2408&lt;&gt;"",IF(AND(B2408&gt;=_TM1,B2408&lt;=_TM2,OR(TH!L2408="1111",TH!M2408="1111")),TH!D2408,""),"")</f>
        <v>NL/N04</v>
      </c>
      <c r="B2408" s="36">
        <f t="shared" ref="B2408" si="194">IF(C2408&lt;&gt;"",MONTH(C2408),"")</f>
        <v>11</v>
      </c>
      <c r="C2408" s="191">
        <v>40875</v>
      </c>
      <c r="D2408" s="191" t="s">
        <v>700</v>
      </c>
      <c r="E2408" s="883">
        <v>40875</v>
      </c>
      <c r="F2408" s="189" t="s">
        <v>367</v>
      </c>
      <c r="G2408" s="498" t="s">
        <v>1282</v>
      </c>
      <c r="H2408" s="193" t="s">
        <v>559</v>
      </c>
      <c r="I2408" s="256"/>
      <c r="J2408" s="256"/>
      <c r="K2408" s="38">
        <v>19849775</v>
      </c>
      <c r="L2408" s="615" t="s">
        <v>8</v>
      </c>
      <c r="M2408" s="615" t="s">
        <v>46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94"/>
      <c r="AB2408" s="198"/>
      <c r="AC2408" s="198"/>
      <c r="AD2408" s="198"/>
    </row>
    <row r="2409" spans="1:30" s="831" customFormat="1" ht="15.75" customHeight="1">
      <c r="A2409" s="204" t="str">
        <f>IF(B2409&lt;&gt;"",IF(AND(B2409&gt;=_TM1,B2409&lt;=_TM2,OR(TH!L2409="1111",TH!M2409="1111")),TH!D2409,""),"")</f>
        <v>C17</v>
      </c>
      <c r="B2409" s="36">
        <f t="shared" si="192"/>
        <v>11</v>
      </c>
      <c r="C2409" s="191">
        <v>40876</v>
      </c>
      <c r="D2409" s="191" t="s">
        <v>667</v>
      </c>
      <c r="E2409" s="883">
        <v>40876</v>
      </c>
      <c r="F2409" s="192" t="s">
        <v>343</v>
      </c>
      <c r="G2409" s="498" t="s">
        <v>1283</v>
      </c>
      <c r="H2409" s="45" t="s">
        <v>467</v>
      </c>
      <c r="I2409" s="256"/>
      <c r="J2409" s="256"/>
      <c r="K2409" s="38">
        <v>186000</v>
      </c>
      <c r="L2409" s="194" t="s">
        <v>75</v>
      </c>
      <c r="M2409" s="615" t="s">
        <v>46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>x</v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94"/>
      <c r="AB2409" s="198"/>
      <c r="AC2409" s="198"/>
      <c r="AD2409" s="198"/>
    </row>
    <row r="2410" spans="1:30" s="831" customFormat="1" ht="15.75" customHeight="1">
      <c r="A2410" s="204" t="str">
        <f>IF(B2410&lt;&gt;"",IF(AND(B2410&gt;=_TM1,B2410&lt;=_TM2,OR(TH!L2410="1111",TH!M2410="1111")),TH!D2410,""),"")</f>
        <v/>
      </c>
      <c r="B2410" s="36">
        <f t="shared" si="192"/>
        <v>11</v>
      </c>
      <c r="C2410" s="191">
        <v>40876</v>
      </c>
      <c r="D2410" s="191" t="s">
        <v>701</v>
      </c>
      <c r="E2410" s="883">
        <v>40876</v>
      </c>
      <c r="F2410" s="192" t="s">
        <v>652</v>
      </c>
      <c r="G2410" s="498" t="s">
        <v>1284</v>
      </c>
      <c r="H2410" s="193" t="s">
        <v>559</v>
      </c>
      <c r="I2410" s="256">
        <v>250</v>
      </c>
      <c r="J2410" s="256">
        <v>18995</v>
      </c>
      <c r="K2410" s="614">
        <v>4748750</v>
      </c>
      <c r="L2410" s="194" t="s">
        <v>151</v>
      </c>
      <c r="M2410" s="194" t="s">
        <v>8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94"/>
      <c r="AB2410" s="198"/>
      <c r="AC2410" s="198"/>
      <c r="AD2410" s="198"/>
    </row>
    <row r="2411" spans="1:30" s="831" customFormat="1" ht="15.75" customHeight="1">
      <c r="A2411" s="204" t="str">
        <f>IF(B2411&lt;&gt;"",IF(AND(B2411&gt;=_TM1,B2411&lt;=_TM2,OR(TH!L2411="1111",TH!M2411="1111")),TH!D2411,""),"")</f>
        <v/>
      </c>
      <c r="B2411" s="36">
        <f t="shared" si="192"/>
        <v>11</v>
      </c>
      <c r="C2411" s="191">
        <v>40876</v>
      </c>
      <c r="D2411" s="191" t="s">
        <v>701</v>
      </c>
      <c r="E2411" s="883">
        <v>40876</v>
      </c>
      <c r="F2411" s="192" t="s">
        <v>653</v>
      </c>
      <c r="G2411" s="498" t="s">
        <v>1284</v>
      </c>
      <c r="H2411" s="193" t="s">
        <v>559</v>
      </c>
      <c r="I2411" s="256">
        <v>1000</v>
      </c>
      <c r="J2411" s="256">
        <v>13350</v>
      </c>
      <c r="K2411" s="614">
        <v>13350000</v>
      </c>
      <c r="L2411" s="194" t="s">
        <v>151</v>
      </c>
      <c r="M2411" s="194" t="s">
        <v>8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94"/>
      <c r="AB2411" s="198"/>
      <c r="AC2411" s="198"/>
      <c r="AD2411" s="198"/>
    </row>
    <row r="2412" spans="1:30" s="831" customFormat="1" ht="15.75" customHeight="1">
      <c r="A2412" s="204" t="str">
        <f>IF(B2412&lt;&gt;"",IF(AND(B2412&gt;=_TM1,B2412&lt;=_TM2,OR(TH!L2412="1111",TH!M2412="1111")),TH!D2412,""),"")</f>
        <v/>
      </c>
      <c r="B2412" s="36">
        <f t="shared" si="192"/>
        <v>11</v>
      </c>
      <c r="C2412" s="191">
        <v>40876</v>
      </c>
      <c r="D2412" s="191" t="s">
        <v>701</v>
      </c>
      <c r="E2412" s="883">
        <v>40876</v>
      </c>
      <c r="F2412" s="192" t="s">
        <v>560</v>
      </c>
      <c r="G2412" s="498" t="s">
        <v>1284</v>
      </c>
      <c r="H2412" s="193" t="s">
        <v>559</v>
      </c>
      <c r="I2412" s="256"/>
      <c r="J2412" s="256"/>
      <c r="K2412" s="38">
        <v>1809875</v>
      </c>
      <c r="L2412" s="194" t="s">
        <v>9</v>
      </c>
      <c r="M2412" s="194" t="s">
        <v>8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94"/>
      <c r="AB2412" s="198">
        <v>11</v>
      </c>
      <c r="AC2412" s="198"/>
      <c r="AD2412" s="198"/>
    </row>
    <row r="2413" spans="1:30" s="831" customFormat="1" ht="15.75" customHeight="1">
      <c r="A2413" s="204" t="str">
        <f>IF(B2413&lt;&gt;"",IF(AND(B2413&gt;=_TM1,B2413&lt;=_TM2,OR(TH!L2413="1111",TH!M2413="1111")),TH!D2413,""),"")</f>
        <v>NL/N05</v>
      </c>
      <c r="B2413" s="36">
        <f t="shared" ref="B2413" si="195">IF(C2413&lt;&gt;"",MONTH(C2413),"")</f>
        <v>11</v>
      </c>
      <c r="C2413" s="191">
        <v>40876</v>
      </c>
      <c r="D2413" s="191" t="s">
        <v>701</v>
      </c>
      <c r="E2413" s="883">
        <v>40876</v>
      </c>
      <c r="F2413" s="189" t="s">
        <v>367</v>
      </c>
      <c r="G2413" s="498" t="s">
        <v>1284</v>
      </c>
      <c r="H2413" s="193" t="s">
        <v>559</v>
      </c>
      <c r="I2413" s="256"/>
      <c r="J2413" s="256"/>
      <c r="K2413" s="38">
        <v>19908625</v>
      </c>
      <c r="L2413" s="615" t="s">
        <v>8</v>
      </c>
      <c r="M2413" s="615" t="s">
        <v>46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94"/>
      <c r="AB2413" s="198"/>
      <c r="AC2413" s="198"/>
      <c r="AD2413" s="198"/>
    </row>
    <row r="2414" spans="1:30" s="831" customFormat="1" ht="15.75" customHeight="1">
      <c r="A2414" s="204" t="str">
        <f>IF(B2414&lt;&gt;"",IF(AND(B2414&gt;=_TM1,B2414&lt;=_TM2,OR(TH!L2414="1111",TH!M2414="1111")),TH!D2414,""),"")</f>
        <v/>
      </c>
      <c r="B2414" s="36">
        <f t="shared" si="192"/>
        <v>11</v>
      </c>
      <c r="C2414" s="720">
        <v>40877</v>
      </c>
      <c r="D2414" s="720" t="s">
        <v>337</v>
      </c>
      <c r="E2414" s="897">
        <v>40877</v>
      </c>
      <c r="F2414" s="721" t="s">
        <v>947</v>
      </c>
      <c r="G2414" s="722"/>
      <c r="H2414" s="628"/>
      <c r="I2414" s="494"/>
      <c r="J2414" s="494"/>
      <c r="K2414" s="723">
        <v>7070000</v>
      </c>
      <c r="L2414" s="724" t="s">
        <v>75</v>
      </c>
      <c r="M2414" s="724" t="s">
        <v>262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>x</v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94"/>
      <c r="AB2414" s="198"/>
      <c r="AC2414" s="198"/>
      <c r="AD2414" s="198"/>
    </row>
    <row r="2415" spans="1:30" s="831" customFormat="1" ht="15.75" customHeight="1">
      <c r="A2415" s="204" t="str">
        <f>IF(B2415&lt;&gt;"",IF(AND(B2415&gt;=_TM1,B2415&lt;=_TM2,OR(TH!L2415="1111",TH!M2415="1111")),TH!D2415,""),"")</f>
        <v/>
      </c>
      <c r="B2415" s="36">
        <f t="shared" si="192"/>
        <v>11</v>
      </c>
      <c r="C2415" s="720">
        <v>40877</v>
      </c>
      <c r="D2415" s="720" t="s">
        <v>337</v>
      </c>
      <c r="E2415" s="897">
        <v>40877</v>
      </c>
      <c r="F2415" s="721" t="s">
        <v>785</v>
      </c>
      <c r="G2415" s="722"/>
      <c r="H2415" s="628"/>
      <c r="I2415" s="494"/>
      <c r="J2415" s="494"/>
      <c r="K2415" s="614">
        <v>6270000</v>
      </c>
      <c r="L2415" s="724" t="s">
        <v>157</v>
      </c>
      <c r="M2415" s="724" t="s">
        <v>262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94"/>
      <c r="AB2415" s="198"/>
      <c r="AC2415" s="198"/>
      <c r="AD2415" s="198"/>
    </row>
    <row r="2416" spans="1:30" s="831" customFormat="1" ht="15.75" customHeight="1">
      <c r="A2416" s="204" t="str">
        <f>IF(B2416&lt;&gt;"",IF(AND(B2416&gt;=_TM1,B2416&lt;=_TM2,OR(TH!L2416="1111",TH!M2416="1111")),TH!D2416,""),"")</f>
        <v>C18</v>
      </c>
      <c r="B2416" s="36">
        <f t="shared" si="192"/>
        <v>11</v>
      </c>
      <c r="C2416" s="720">
        <v>40877</v>
      </c>
      <c r="D2416" s="720" t="s">
        <v>668</v>
      </c>
      <c r="E2416" s="897">
        <v>40877</v>
      </c>
      <c r="F2416" s="721" t="s">
        <v>1219</v>
      </c>
      <c r="G2416" s="722"/>
      <c r="H2416" s="628" t="s">
        <v>363</v>
      </c>
      <c r="I2416" s="494"/>
      <c r="J2416" s="494"/>
      <c r="K2416" s="723">
        <v>13340000</v>
      </c>
      <c r="L2416" s="724" t="s">
        <v>262</v>
      </c>
      <c r="M2416" s="724" t="s">
        <v>46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94"/>
      <c r="AB2416" s="198"/>
      <c r="AC2416" s="198"/>
      <c r="AD2416" s="198"/>
    </row>
    <row r="2417" spans="1:30" s="831" customFormat="1" ht="15.75" customHeight="1">
      <c r="A2417" s="204" t="str">
        <f>IF(B2417&lt;&gt;"",IF(AND(B2417&gt;=_TM1,B2417&lt;=_TM2,OR(TH!L2417="1111",TH!M2417="1111")),TH!D2417,""),"")</f>
        <v/>
      </c>
      <c r="B2417" s="36">
        <f t="shared" si="192"/>
        <v>11</v>
      </c>
      <c r="C2417" s="191">
        <v>40877</v>
      </c>
      <c r="D2417" s="191" t="s">
        <v>702</v>
      </c>
      <c r="E2417" s="883">
        <v>40877</v>
      </c>
      <c r="F2417" s="192" t="s">
        <v>638</v>
      </c>
      <c r="G2417" s="498" t="s">
        <v>1285</v>
      </c>
      <c r="H2417" s="193" t="s">
        <v>647</v>
      </c>
      <c r="I2417" s="256">
        <v>120</v>
      </c>
      <c r="J2417" s="256">
        <v>24595</v>
      </c>
      <c r="K2417" s="614">
        <v>2951400</v>
      </c>
      <c r="L2417" s="194" t="s">
        <v>151</v>
      </c>
      <c r="M2417" s="194" t="s">
        <v>8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94"/>
      <c r="AB2417" s="198"/>
      <c r="AC2417" s="198"/>
      <c r="AD2417" s="198"/>
    </row>
    <row r="2418" spans="1:30" s="831" customFormat="1" ht="15.75" customHeight="1">
      <c r="A2418" s="204" t="str">
        <f>IF(B2418&lt;&gt;"",IF(AND(B2418&gt;=_TM1,B2418&lt;=_TM2,OR(TH!L2418="1111",TH!M2418="1111")),TH!D2418,""),"")</f>
        <v/>
      </c>
      <c r="B2418" s="36">
        <f t="shared" si="192"/>
        <v>11</v>
      </c>
      <c r="C2418" s="191">
        <v>40877</v>
      </c>
      <c r="D2418" s="191" t="s">
        <v>702</v>
      </c>
      <c r="E2418" s="883">
        <v>40877</v>
      </c>
      <c r="F2418" s="192" t="s">
        <v>639</v>
      </c>
      <c r="G2418" s="498" t="s">
        <v>1285</v>
      </c>
      <c r="H2418" s="193" t="s">
        <v>647</v>
      </c>
      <c r="I2418" s="256">
        <v>113</v>
      </c>
      <c r="J2418" s="256">
        <v>27283</v>
      </c>
      <c r="K2418" s="614">
        <v>3082979</v>
      </c>
      <c r="L2418" s="194" t="s">
        <v>151</v>
      </c>
      <c r="M2418" s="194" t="s">
        <v>8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94"/>
      <c r="AB2418" s="198"/>
      <c r="AC2418" s="198"/>
      <c r="AD2418" s="198"/>
    </row>
    <row r="2419" spans="1:30" s="831" customFormat="1" ht="15.75" customHeight="1">
      <c r="A2419" s="204" t="str">
        <f>IF(B2419&lt;&gt;"",IF(AND(B2419&gt;=_TM1,B2419&lt;=_TM2,OR(TH!L2419="1111",TH!M2419="1111")),TH!D2419,""),"")</f>
        <v/>
      </c>
      <c r="B2419" s="36">
        <f t="shared" si="192"/>
        <v>11</v>
      </c>
      <c r="C2419" s="191">
        <v>40877</v>
      </c>
      <c r="D2419" s="191" t="s">
        <v>702</v>
      </c>
      <c r="E2419" s="883">
        <v>40877</v>
      </c>
      <c r="F2419" s="192" t="s">
        <v>640</v>
      </c>
      <c r="G2419" s="498" t="s">
        <v>1285</v>
      </c>
      <c r="H2419" s="193" t="s">
        <v>647</v>
      </c>
      <c r="I2419" s="256">
        <v>125</v>
      </c>
      <c r="J2419" s="256">
        <v>31752</v>
      </c>
      <c r="K2419" s="614">
        <v>3969000</v>
      </c>
      <c r="L2419" s="194" t="s">
        <v>151</v>
      </c>
      <c r="M2419" s="194" t="s">
        <v>8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94"/>
      <c r="AB2419" s="198"/>
      <c r="AC2419" s="198"/>
      <c r="AD2419" s="198"/>
    </row>
    <row r="2420" spans="1:30" s="831" customFormat="1" ht="15.75" customHeight="1">
      <c r="A2420" s="204" t="str">
        <f>IF(B2420&lt;&gt;"",IF(AND(B2420&gt;=_TM1,B2420&lt;=_TM2,OR(TH!L2420="1111",TH!M2420="1111")),TH!D2420,""),"")</f>
        <v/>
      </c>
      <c r="B2420" s="36">
        <f t="shared" si="192"/>
        <v>11</v>
      </c>
      <c r="C2420" s="191">
        <v>40877</v>
      </c>
      <c r="D2420" s="191" t="s">
        <v>702</v>
      </c>
      <c r="E2420" s="883">
        <v>40877</v>
      </c>
      <c r="F2420" s="192" t="s">
        <v>641</v>
      </c>
      <c r="G2420" s="498" t="s">
        <v>1285</v>
      </c>
      <c r="H2420" s="193" t="s">
        <v>647</v>
      </c>
      <c r="I2420" s="256">
        <v>120</v>
      </c>
      <c r="J2420" s="256">
        <v>34653</v>
      </c>
      <c r="K2420" s="614">
        <v>4158360</v>
      </c>
      <c r="L2420" s="194" t="s">
        <v>151</v>
      </c>
      <c r="M2420" s="194" t="s">
        <v>8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94"/>
      <c r="AB2420" s="198"/>
      <c r="AC2420" s="198"/>
      <c r="AD2420" s="198"/>
    </row>
    <row r="2421" spans="1:30" s="831" customFormat="1" ht="15.75" customHeight="1">
      <c r="A2421" s="204" t="str">
        <f>IF(B2421&lt;&gt;"",IF(AND(B2421&gt;=_TM1,B2421&lt;=_TM2,OR(TH!L2421="1111",TH!M2421="1111")),TH!D2421,""),"")</f>
        <v/>
      </c>
      <c r="B2421" s="36">
        <f t="shared" si="192"/>
        <v>11</v>
      </c>
      <c r="C2421" s="191">
        <v>40877</v>
      </c>
      <c r="D2421" s="191" t="s">
        <v>702</v>
      </c>
      <c r="E2421" s="883">
        <v>40877</v>
      </c>
      <c r="F2421" s="192" t="s">
        <v>642</v>
      </c>
      <c r="G2421" s="498" t="s">
        <v>1285</v>
      </c>
      <c r="H2421" s="193" t="s">
        <v>647</v>
      </c>
      <c r="I2421" s="256">
        <v>476</v>
      </c>
      <c r="J2421" s="256">
        <v>20278</v>
      </c>
      <c r="K2421" s="614">
        <v>9652328</v>
      </c>
      <c r="L2421" s="194" t="s">
        <v>151</v>
      </c>
      <c r="M2421" s="194" t="s">
        <v>8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94"/>
      <c r="AB2421" s="198"/>
      <c r="AC2421" s="198"/>
      <c r="AD2421" s="198"/>
    </row>
    <row r="2422" spans="1:30" s="831" customFormat="1" ht="15.75" customHeight="1">
      <c r="A2422" s="204" t="str">
        <f>IF(B2422&lt;&gt;"",IF(AND(B2422&gt;=_TM1,B2422&lt;=_TM2,OR(TH!L2422="1111",TH!M2422="1111")),TH!D2422,""),"")</f>
        <v/>
      </c>
      <c r="B2422" s="36">
        <f t="shared" si="192"/>
        <v>11</v>
      </c>
      <c r="C2422" s="191">
        <v>40877</v>
      </c>
      <c r="D2422" s="191" t="s">
        <v>702</v>
      </c>
      <c r="E2422" s="883">
        <v>40877</v>
      </c>
      <c r="F2422" s="192" t="s">
        <v>643</v>
      </c>
      <c r="G2422" s="498" t="s">
        <v>1285</v>
      </c>
      <c r="H2422" s="193" t="s">
        <v>647</v>
      </c>
      <c r="I2422" s="256">
        <v>120</v>
      </c>
      <c r="J2422" s="256">
        <v>25631</v>
      </c>
      <c r="K2422" s="614">
        <v>3075720</v>
      </c>
      <c r="L2422" s="194" t="s">
        <v>151</v>
      </c>
      <c r="M2422" s="194" t="s">
        <v>8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94"/>
      <c r="AB2422" s="198"/>
      <c r="AC2422" s="198"/>
      <c r="AD2422" s="198"/>
    </row>
    <row r="2423" spans="1:30" s="831" customFormat="1" ht="15.75" customHeight="1">
      <c r="A2423" s="204" t="str">
        <f>IF(B2423&lt;&gt;"",IF(AND(B2423&gt;=_TM1,B2423&lt;=_TM2,OR(TH!L2423="1111",TH!M2423="1111")),TH!D2423,""),"")</f>
        <v/>
      </c>
      <c r="B2423" s="36">
        <f t="shared" si="192"/>
        <v>11</v>
      </c>
      <c r="C2423" s="191">
        <v>40877</v>
      </c>
      <c r="D2423" s="191" t="s">
        <v>702</v>
      </c>
      <c r="E2423" s="883">
        <v>40877</v>
      </c>
      <c r="F2423" s="192" t="s">
        <v>644</v>
      </c>
      <c r="G2423" s="498" t="s">
        <v>1285</v>
      </c>
      <c r="H2423" s="193" t="s">
        <v>647</v>
      </c>
      <c r="I2423" s="256">
        <v>662</v>
      </c>
      <c r="J2423" s="256">
        <v>30158</v>
      </c>
      <c r="K2423" s="614">
        <v>19964596</v>
      </c>
      <c r="L2423" s="194" t="s">
        <v>151</v>
      </c>
      <c r="M2423" s="194" t="s">
        <v>8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94"/>
      <c r="AB2423" s="198"/>
      <c r="AC2423" s="198"/>
      <c r="AD2423" s="198"/>
    </row>
    <row r="2424" spans="1:30" s="831" customFormat="1" ht="15.75" customHeight="1">
      <c r="A2424" s="204" t="str">
        <f>IF(B2424&lt;&gt;"",IF(AND(B2424&gt;=_TM1,B2424&lt;=_TM2,OR(TH!L2424="1111",TH!M2424="1111")),TH!D2424,""),"")</f>
        <v/>
      </c>
      <c r="B2424" s="36">
        <f t="shared" si="192"/>
        <v>11</v>
      </c>
      <c r="C2424" s="191">
        <v>40877</v>
      </c>
      <c r="D2424" s="191" t="s">
        <v>702</v>
      </c>
      <c r="E2424" s="883">
        <v>40877</v>
      </c>
      <c r="F2424" s="192" t="s">
        <v>645</v>
      </c>
      <c r="G2424" s="498" t="s">
        <v>1285</v>
      </c>
      <c r="H2424" s="193" t="s">
        <v>647</v>
      </c>
      <c r="I2424" s="256">
        <v>500</v>
      </c>
      <c r="J2424" s="256">
        <v>32878</v>
      </c>
      <c r="K2424" s="614">
        <v>16439000</v>
      </c>
      <c r="L2424" s="194" t="s">
        <v>151</v>
      </c>
      <c r="M2424" s="194" t="s">
        <v>8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94"/>
      <c r="AB2424" s="198"/>
      <c r="AC2424" s="198"/>
      <c r="AD2424" s="198"/>
    </row>
    <row r="2425" spans="1:30" s="831" customFormat="1" ht="15.75" customHeight="1">
      <c r="A2425" s="204" t="str">
        <f>IF(B2425&lt;&gt;"",IF(AND(B2425&gt;=_TM1,B2425&lt;=_TM2,OR(TH!L2425="1111",TH!M2425="1111")),TH!D2425,""),"")</f>
        <v/>
      </c>
      <c r="B2425" s="36">
        <f t="shared" si="192"/>
        <v>11</v>
      </c>
      <c r="C2425" s="191">
        <v>40877</v>
      </c>
      <c r="D2425" s="191" t="s">
        <v>702</v>
      </c>
      <c r="E2425" s="883">
        <v>40877</v>
      </c>
      <c r="F2425" s="192" t="s">
        <v>1286</v>
      </c>
      <c r="G2425" s="498" t="s">
        <v>1285</v>
      </c>
      <c r="H2425" s="193" t="s">
        <v>647</v>
      </c>
      <c r="I2425" s="256"/>
      <c r="J2425" s="256"/>
      <c r="K2425" s="38">
        <v>6329338</v>
      </c>
      <c r="L2425" s="194" t="s">
        <v>9</v>
      </c>
      <c r="M2425" s="194" t="s">
        <v>8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94"/>
      <c r="AB2425" s="198">
        <v>11</v>
      </c>
      <c r="AC2425" s="198"/>
      <c r="AD2425" s="198"/>
    </row>
    <row r="2426" spans="1:30" s="831" customFormat="1" ht="15.75" customHeight="1">
      <c r="A2426" s="204" t="str">
        <f>IF(B2426&lt;&gt;"",IF(AND(B2426&gt;=_TM1,B2426&lt;=_TM2,OR(TH!L2426="1111",TH!M2426="1111")),TH!D2426,""),"")</f>
        <v/>
      </c>
      <c r="B2426" s="36">
        <f t="shared" si="192"/>
        <v>11</v>
      </c>
      <c r="C2426" s="191">
        <v>40877</v>
      </c>
      <c r="D2426" s="191" t="s">
        <v>703</v>
      </c>
      <c r="E2426" s="883">
        <v>40877</v>
      </c>
      <c r="F2426" s="192" t="s">
        <v>653</v>
      </c>
      <c r="G2426" s="498" t="s">
        <v>1287</v>
      </c>
      <c r="H2426" s="193" t="s">
        <v>559</v>
      </c>
      <c r="I2426" s="256">
        <v>320</v>
      </c>
      <c r="J2426" s="256">
        <v>13350</v>
      </c>
      <c r="K2426" s="614">
        <v>4272000</v>
      </c>
      <c r="L2426" s="194" t="s">
        <v>151</v>
      </c>
      <c r="M2426" s="194" t="s">
        <v>8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94"/>
      <c r="AB2426" s="198"/>
      <c r="AC2426" s="198"/>
      <c r="AD2426" s="198"/>
    </row>
    <row r="2427" spans="1:30" s="831" customFormat="1" ht="15.75" customHeight="1">
      <c r="A2427" s="204" t="str">
        <f>IF(B2427&lt;&gt;"",IF(AND(B2427&gt;=_TM1,B2427&lt;=_TM2,OR(TH!L2427="1111",TH!M2427="1111")),TH!D2427,""),"")</f>
        <v/>
      </c>
      <c r="B2427" s="36">
        <f t="shared" si="192"/>
        <v>11</v>
      </c>
      <c r="C2427" s="191">
        <v>40877</v>
      </c>
      <c r="D2427" s="191" t="s">
        <v>703</v>
      </c>
      <c r="E2427" s="883">
        <v>40877</v>
      </c>
      <c r="F2427" s="192" t="s">
        <v>654</v>
      </c>
      <c r="G2427" s="498" t="s">
        <v>1287</v>
      </c>
      <c r="H2427" s="193" t="s">
        <v>559</v>
      </c>
      <c r="I2427" s="256">
        <v>1050</v>
      </c>
      <c r="J2427" s="256">
        <v>12992</v>
      </c>
      <c r="K2427" s="614">
        <v>13641600</v>
      </c>
      <c r="L2427" s="194" t="s">
        <v>151</v>
      </c>
      <c r="M2427" s="194" t="s">
        <v>8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94"/>
      <c r="AB2427" s="198"/>
      <c r="AC2427" s="198"/>
      <c r="AD2427" s="198"/>
    </row>
    <row r="2428" spans="1:30" s="831" customFormat="1" ht="15.75" customHeight="1">
      <c r="A2428" s="204" t="str">
        <f>IF(B2428&lt;&gt;"",IF(AND(B2428&gt;=_TM1,B2428&lt;=_TM2,OR(TH!L2428="1111",TH!M2428="1111")),TH!D2428,""),"")</f>
        <v/>
      </c>
      <c r="B2428" s="36">
        <f t="shared" si="192"/>
        <v>11</v>
      </c>
      <c r="C2428" s="191">
        <v>40877</v>
      </c>
      <c r="D2428" s="191" t="s">
        <v>703</v>
      </c>
      <c r="E2428" s="883">
        <v>40877</v>
      </c>
      <c r="F2428" s="192" t="s">
        <v>560</v>
      </c>
      <c r="G2428" s="498" t="s">
        <v>1287</v>
      </c>
      <c r="H2428" s="193" t="s">
        <v>559</v>
      </c>
      <c r="I2428" s="256"/>
      <c r="J2428" s="256"/>
      <c r="K2428" s="38">
        <v>1791360</v>
      </c>
      <c r="L2428" s="194" t="s">
        <v>9</v>
      </c>
      <c r="M2428" s="194" t="s">
        <v>8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94"/>
      <c r="AB2428" s="198">
        <v>11</v>
      </c>
      <c r="AC2428" s="198"/>
      <c r="AD2428" s="198"/>
    </row>
    <row r="2429" spans="1:30" s="831" customFormat="1" ht="15.75" customHeight="1">
      <c r="A2429" s="204" t="str">
        <f>IF(B2429&lt;&gt;"",IF(AND(B2429&gt;=_TM1,B2429&lt;=_TM2,OR(TH!L2429="1111",TH!M2429="1111")),TH!D2429,""),"")</f>
        <v>NL/N07</v>
      </c>
      <c r="B2429" s="36">
        <f t="shared" ref="B2429" si="196">IF(C2429&lt;&gt;"",MONTH(C2429),"")</f>
        <v>11</v>
      </c>
      <c r="C2429" s="191">
        <v>40877</v>
      </c>
      <c r="D2429" s="191" t="s">
        <v>703</v>
      </c>
      <c r="E2429" s="883">
        <v>40877</v>
      </c>
      <c r="F2429" s="189" t="s">
        <v>367</v>
      </c>
      <c r="G2429" s="498" t="s">
        <v>1287</v>
      </c>
      <c r="H2429" s="193" t="s">
        <v>559</v>
      </c>
      <c r="I2429" s="256"/>
      <c r="J2429" s="256"/>
      <c r="K2429" s="38">
        <v>19704960</v>
      </c>
      <c r="L2429" s="615" t="s">
        <v>8</v>
      </c>
      <c r="M2429" s="615" t="s">
        <v>46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94"/>
      <c r="AB2429" s="198"/>
      <c r="AC2429" s="198"/>
      <c r="AD2429" s="198"/>
    </row>
    <row r="2430" spans="1:30" s="831" customFormat="1" ht="15.75" customHeight="1">
      <c r="A2430" s="204" t="str">
        <f>IF(B2430&lt;&gt;"",IF(AND(B2430&gt;=_TM1,B2430&lt;=_TM2,OR(TH!L2430="1111",TH!M2430="1111")),TH!D2430,""),"")</f>
        <v/>
      </c>
      <c r="B2430" s="36">
        <f t="shared" si="192"/>
        <v>11</v>
      </c>
      <c r="C2430" s="191">
        <v>40877</v>
      </c>
      <c r="D2430" s="191" t="s">
        <v>972</v>
      </c>
      <c r="E2430" s="883">
        <v>40877</v>
      </c>
      <c r="F2430" s="192" t="s">
        <v>1338</v>
      </c>
      <c r="G2430" s="498" t="s">
        <v>633</v>
      </c>
      <c r="H2430" s="193" t="s">
        <v>735</v>
      </c>
      <c r="I2430" s="256">
        <v>242</v>
      </c>
      <c r="J2430" s="256">
        <v>1360</v>
      </c>
      <c r="K2430" s="614">
        <v>329120</v>
      </c>
      <c r="L2430" s="194" t="s">
        <v>259</v>
      </c>
      <c r="M2430" s="194" t="s">
        <v>167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94"/>
      <c r="AB2430" s="198"/>
      <c r="AC2430" s="198"/>
      <c r="AD2430" s="198"/>
    </row>
    <row r="2431" spans="1:30" s="831" customFormat="1" ht="15.75" customHeight="1">
      <c r="A2431" s="204" t="str">
        <f>IF(B2431&lt;&gt;"",IF(AND(B2431&gt;=_TM1,B2431&lt;=_TM2,OR(TH!L2431="1111",TH!M2431="1111")),TH!D2431,""),"")</f>
        <v/>
      </c>
      <c r="B2431" s="36">
        <f t="shared" si="192"/>
        <v>11</v>
      </c>
      <c r="C2431" s="191">
        <v>40877</v>
      </c>
      <c r="D2431" s="191" t="s">
        <v>972</v>
      </c>
      <c r="E2431" s="883">
        <v>40877</v>
      </c>
      <c r="F2431" s="192" t="s">
        <v>1339</v>
      </c>
      <c r="G2431" s="498" t="s">
        <v>633</v>
      </c>
      <c r="H2431" s="193" t="s">
        <v>735</v>
      </c>
      <c r="I2431" s="256">
        <v>442</v>
      </c>
      <c r="J2431" s="256">
        <v>1090</v>
      </c>
      <c r="K2431" s="614">
        <v>481780</v>
      </c>
      <c r="L2431" s="194" t="s">
        <v>259</v>
      </c>
      <c r="M2431" s="194" t="s">
        <v>167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94"/>
      <c r="AB2431" s="198"/>
      <c r="AC2431" s="198"/>
      <c r="AD2431" s="198"/>
    </row>
    <row r="2432" spans="1:30" s="831" customFormat="1" ht="15.75" customHeight="1">
      <c r="A2432" s="204" t="str">
        <f>IF(B2432&lt;&gt;"",IF(AND(B2432&gt;=_TM1,B2432&lt;=_TM2,OR(TH!L2432="1111",TH!M2432="1111")),TH!D2432,""),"")</f>
        <v/>
      </c>
      <c r="B2432" s="36">
        <f t="shared" si="192"/>
        <v>11</v>
      </c>
      <c r="C2432" s="191">
        <v>40877</v>
      </c>
      <c r="D2432" s="191" t="s">
        <v>972</v>
      </c>
      <c r="E2432" s="883">
        <v>40877</v>
      </c>
      <c r="F2432" s="192" t="s">
        <v>1340</v>
      </c>
      <c r="G2432" s="498" t="s">
        <v>633</v>
      </c>
      <c r="H2432" s="193" t="s">
        <v>735</v>
      </c>
      <c r="I2432" s="256">
        <v>5000</v>
      </c>
      <c r="J2432" s="256">
        <v>123</v>
      </c>
      <c r="K2432" s="614">
        <v>615000</v>
      </c>
      <c r="L2432" s="194" t="s">
        <v>259</v>
      </c>
      <c r="M2432" s="194" t="s">
        <v>167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94"/>
      <c r="AB2432" s="198"/>
      <c r="AC2432" s="198"/>
      <c r="AD2432" s="198"/>
    </row>
    <row r="2433" spans="1:30" s="831" customFormat="1" ht="15.75" customHeight="1">
      <c r="A2433" s="204" t="str">
        <f>IF(B2433&lt;&gt;"",IF(AND(B2433&gt;=_TM1,B2433&lt;=_TM2,OR(TH!L2433="1111",TH!M2433="1111")),TH!D2433,""),"")</f>
        <v/>
      </c>
      <c r="B2433" s="36">
        <f t="shared" si="192"/>
        <v>11</v>
      </c>
      <c r="C2433" s="191">
        <v>40877</v>
      </c>
      <c r="D2433" s="191" t="s">
        <v>972</v>
      </c>
      <c r="E2433" s="883">
        <v>40877</v>
      </c>
      <c r="F2433" s="192" t="s">
        <v>1337</v>
      </c>
      <c r="G2433" s="498" t="s">
        <v>633</v>
      </c>
      <c r="H2433" s="193" t="s">
        <v>735</v>
      </c>
      <c r="I2433" s="258"/>
      <c r="J2433" s="258"/>
      <c r="K2433" s="614">
        <f>142590+1</f>
        <v>142591</v>
      </c>
      <c r="L2433" s="194" t="s">
        <v>259</v>
      </c>
      <c r="M2433" s="194" t="s">
        <v>731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94"/>
      <c r="AB2433" s="198"/>
      <c r="AC2433" s="198"/>
      <c r="AD2433" s="198"/>
    </row>
    <row r="2434" spans="1:30" s="831" customFormat="1" ht="15.75" customHeight="1">
      <c r="A2434" s="204" t="str">
        <f>IF(B2434&lt;&gt;"",IF(AND(B2434&gt;=_TM1,B2434&lt;=_TM2,OR(TH!L2434="1111",TH!M2434="1111")),TH!D2434,""),"")</f>
        <v/>
      </c>
      <c r="B2434" s="36">
        <f t="shared" si="192"/>
        <v>11</v>
      </c>
      <c r="C2434" s="191">
        <v>40877</v>
      </c>
      <c r="D2434" s="191" t="s">
        <v>973</v>
      </c>
      <c r="E2434" s="883">
        <v>40877</v>
      </c>
      <c r="F2434" s="192" t="s">
        <v>1341</v>
      </c>
      <c r="G2434" s="498" t="s">
        <v>1342</v>
      </c>
      <c r="H2434" s="7" t="s">
        <v>767</v>
      </c>
      <c r="I2434" s="256">
        <v>980</v>
      </c>
      <c r="J2434" s="256">
        <v>17900</v>
      </c>
      <c r="K2434" s="614">
        <v>17542000</v>
      </c>
      <c r="L2434" s="194" t="s">
        <v>259</v>
      </c>
      <c r="M2434" s="194" t="s">
        <v>167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94"/>
      <c r="AB2434" s="198"/>
      <c r="AC2434" s="198"/>
      <c r="AD2434" s="198"/>
    </row>
    <row r="2435" spans="1:30" s="831" customFormat="1" ht="15.75" customHeight="1">
      <c r="A2435" s="204" t="str">
        <f>IF(B2435&lt;&gt;"",IF(AND(B2435&gt;=_TM1,B2435&lt;=_TM2,OR(TH!L2435="1111",TH!M2435="1111")),TH!D2435,""),"")</f>
        <v/>
      </c>
      <c r="B2435" s="36">
        <f t="shared" si="192"/>
        <v>11</v>
      </c>
      <c r="C2435" s="191">
        <v>40877</v>
      </c>
      <c r="D2435" s="191" t="s">
        <v>973</v>
      </c>
      <c r="E2435" s="883">
        <v>40877</v>
      </c>
      <c r="F2435" s="192" t="s">
        <v>1343</v>
      </c>
      <c r="G2435" s="498" t="s">
        <v>1342</v>
      </c>
      <c r="H2435" s="7" t="s">
        <v>767</v>
      </c>
      <c r="I2435" s="256">
        <v>1990</v>
      </c>
      <c r="J2435" s="256">
        <v>10900</v>
      </c>
      <c r="K2435" s="614">
        <v>21691000</v>
      </c>
      <c r="L2435" s="194" t="s">
        <v>259</v>
      </c>
      <c r="M2435" s="194" t="s">
        <v>167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94"/>
      <c r="AB2435" s="198"/>
      <c r="AC2435" s="198"/>
      <c r="AD2435" s="198"/>
    </row>
    <row r="2436" spans="1:30" s="831" customFormat="1" ht="15.75" customHeight="1">
      <c r="A2436" s="204" t="str">
        <f>IF(B2436&lt;&gt;"",IF(AND(B2436&gt;=_TM1,B2436&lt;=_TM2,OR(TH!L2436="1111",TH!M2436="1111")),TH!D2436,""),"")</f>
        <v/>
      </c>
      <c r="B2436" s="36">
        <f t="shared" si="192"/>
        <v>11</v>
      </c>
      <c r="C2436" s="191">
        <v>40877</v>
      </c>
      <c r="D2436" s="191" t="s">
        <v>973</v>
      </c>
      <c r="E2436" s="883">
        <v>40877</v>
      </c>
      <c r="F2436" s="192" t="s">
        <v>1344</v>
      </c>
      <c r="G2436" s="498" t="s">
        <v>1342</v>
      </c>
      <c r="H2436" s="7" t="s">
        <v>767</v>
      </c>
      <c r="I2436" s="256"/>
      <c r="J2436" s="256"/>
      <c r="K2436" s="614">
        <v>3923300</v>
      </c>
      <c r="L2436" s="194" t="s">
        <v>259</v>
      </c>
      <c r="M2436" s="194" t="s">
        <v>731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94"/>
      <c r="AB2436" s="198"/>
      <c r="AC2436" s="198"/>
      <c r="AD2436" s="198"/>
    </row>
    <row r="2437" spans="1:30" s="831" customFormat="1" ht="15.75" customHeight="1">
      <c r="A2437" s="204" t="str">
        <f>IF(B2437&lt;&gt;"",IF(AND(B2437&gt;=_TM1,B2437&lt;=_TM2,OR(TH!L2437="1111",TH!M2437="1111")),TH!D2437,""),"")</f>
        <v/>
      </c>
      <c r="B2437" s="712">
        <f t="shared" si="192"/>
        <v>11</v>
      </c>
      <c r="C2437" s="860">
        <f t="shared" ref="C2437:C2446" si="197">E2437</f>
        <v>40877</v>
      </c>
      <c r="D2437" s="48" t="s">
        <v>1212</v>
      </c>
      <c r="E2437" s="869">
        <v>40877</v>
      </c>
      <c r="F2437" s="49" t="s">
        <v>1338</v>
      </c>
      <c r="G2437" s="49"/>
      <c r="H2437" s="868" t="s">
        <v>1092</v>
      </c>
      <c r="I2437" s="254">
        <v>242</v>
      </c>
      <c r="J2437" s="254">
        <v>1537.4999213826327</v>
      </c>
      <c r="K2437" s="716">
        <f t="shared" ref="K2437:K2446" si="198">ROUND(I2437*J2437,0)</f>
        <v>372075</v>
      </c>
      <c r="L2437" s="52" t="s">
        <v>159</v>
      </c>
      <c r="M2437" s="52" t="s">
        <v>157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94"/>
    </row>
    <row r="2438" spans="1:30" s="831" customFormat="1" ht="15.75" customHeight="1">
      <c r="A2438" s="204" t="str">
        <f>IF(B2438&lt;&gt;"",IF(AND(B2438&gt;=_TM1,B2438&lt;=_TM2,OR(TH!L2438="1111",TH!M2438="1111")),TH!D2438,""),"")</f>
        <v/>
      </c>
      <c r="B2438" s="712">
        <f t="shared" si="192"/>
        <v>11</v>
      </c>
      <c r="C2438" s="860">
        <f t="shared" si="197"/>
        <v>40877</v>
      </c>
      <c r="D2438" s="48" t="s">
        <v>1212</v>
      </c>
      <c r="E2438" s="869">
        <v>40877</v>
      </c>
      <c r="F2438" s="49" t="s">
        <v>1339</v>
      </c>
      <c r="G2438" s="49"/>
      <c r="H2438" s="868" t="s">
        <v>1092</v>
      </c>
      <c r="I2438" s="254">
        <v>442</v>
      </c>
      <c r="J2438" s="254">
        <v>1449.4900862979314</v>
      </c>
      <c r="K2438" s="716">
        <f t="shared" si="198"/>
        <v>640675</v>
      </c>
      <c r="L2438" s="52" t="s">
        <v>159</v>
      </c>
      <c r="M2438" s="52" t="s">
        <v>157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94"/>
    </row>
    <row r="2439" spans="1:30" s="831" customFormat="1" ht="15.75" customHeight="1">
      <c r="A2439" s="204" t="str">
        <f>IF(B2439&lt;&gt;"",IF(AND(B2439&gt;=_TM1,B2439&lt;=_TM2,OR(TH!L2439="1111",TH!M2439="1111")),TH!D2439,""),"")</f>
        <v/>
      </c>
      <c r="B2439" s="712">
        <f t="shared" si="192"/>
        <v>11</v>
      </c>
      <c r="C2439" s="860">
        <f t="shared" si="197"/>
        <v>40877</v>
      </c>
      <c r="D2439" s="48" t="s">
        <v>1212</v>
      </c>
      <c r="E2439" s="869">
        <v>40877</v>
      </c>
      <c r="F2439" s="49" t="s">
        <v>1340</v>
      </c>
      <c r="G2439" s="49"/>
      <c r="H2439" s="868" t="s">
        <v>1092</v>
      </c>
      <c r="I2439" s="254">
        <v>5000</v>
      </c>
      <c r="J2439" s="254">
        <v>1308.3457858454426</v>
      </c>
      <c r="K2439" s="716">
        <f t="shared" si="198"/>
        <v>6541729</v>
      </c>
      <c r="L2439" s="52" t="s">
        <v>159</v>
      </c>
      <c r="M2439" s="52" t="s">
        <v>157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94"/>
    </row>
    <row r="2440" spans="1:30" s="831" customFormat="1" ht="15.75" customHeight="1">
      <c r="A2440" s="204" t="str">
        <f>IF(B2440&lt;&gt;"",IF(AND(B2440&gt;=_TM1,B2440&lt;=_TM2,OR(TH!L2440="1111",TH!M2440="1111")),TH!D2440,""),"")</f>
        <v/>
      </c>
      <c r="B2440" s="712">
        <f t="shared" si="192"/>
        <v>11</v>
      </c>
      <c r="C2440" s="860">
        <f t="shared" si="197"/>
        <v>40877</v>
      </c>
      <c r="D2440" s="48" t="s">
        <v>1212</v>
      </c>
      <c r="E2440" s="869">
        <v>40877</v>
      </c>
      <c r="F2440" s="49" t="s">
        <v>1341</v>
      </c>
      <c r="G2440" s="49"/>
      <c r="H2440" s="868" t="s">
        <v>1092</v>
      </c>
      <c r="I2440" s="254">
        <v>980</v>
      </c>
      <c r="J2440" s="254">
        <v>16377.50716543728</v>
      </c>
      <c r="K2440" s="716">
        <f t="shared" si="198"/>
        <v>16049957</v>
      </c>
      <c r="L2440" s="52" t="s">
        <v>159</v>
      </c>
      <c r="M2440" s="52" t="s">
        <v>157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94"/>
    </row>
    <row r="2441" spans="1:30" s="831" customFormat="1" ht="15.75" customHeight="1">
      <c r="A2441" s="204" t="str">
        <f>IF(B2441&lt;&gt;"",IF(AND(B2441&gt;=_TM1,B2441&lt;=_TM2,OR(TH!L2441="1111",TH!M2441="1111")),TH!D2441,""),"")</f>
        <v/>
      </c>
      <c r="B2441" s="712">
        <f t="shared" si="192"/>
        <v>11</v>
      </c>
      <c r="C2441" s="860">
        <f t="shared" si="197"/>
        <v>40877</v>
      </c>
      <c r="D2441" s="48" t="s">
        <v>1212</v>
      </c>
      <c r="E2441" s="869">
        <v>40877</v>
      </c>
      <c r="F2441" s="49" t="s">
        <v>1343</v>
      </c>
      <c r="G2441" s="49"/>
      <c r="H2441" s="868" t="s">
        <v>1092</v>
      </c>
      <c r="I2441" s="254">
        <v>1990</v>
      </c>
      <c r="J2441" s="254">
        <v>8153.583060217301</v>
      </c>
      <c r="K2441" s="716">
        <f t="shared" si="198"/>
        <v>16225630</v>
      </c>
      <c r="L2441" s="52" t="s">
        <v>159</v>
      </c>
      <c r="M2441" s="52" t="s">
        <v>157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94"/>
    </row>
    <row r="2442" spans="1:30" s="831" customFormat="1" ht="15.75" customHeight="1">
      <c r="A2442" s="204" t="str">
        <f>IF(B2442&lt;&gt;"",IF(AND(B2442&gt;=_TM1,B2442&lt;=_TM2,OR(TH!L2442="1111",TH!M2442="1111")),TH!D2442,""),"")</f>
        <v/>
      </c>
      <c r="B2442" s="36">
        <f t="shared" si="192"/>
        <v>11</v>
      </c>
      <c r="C2442" s="191">
        <f t="shared" si="197"/>
        <v>40877</v>
      </c>
      <c r="D2442" s="37" t="s">
        <v>972</v>
      </c>
      <c r="E2442" s="792">
        <v>40877</v>
      </c>
      <c r="F2442" s="192" t="s">
        <v>1338</v>
      </c>
      <c r="G2442" s="498" t="s">
        <v>633</v>
      </c>
      <c r="H2442" s="193" t="s">
        <v>735</v>
      </c>
      <c r="I2442" s="256">
        <v>242</v>
      </c>
      <c r="J2442" s="256">
        <v>1537.4999213826327</v>
      </c>
      <c r="K2442" s="866">
        <f t="shared" si="198"/>
        <v>372075</v>
      </c>
      <c r="L2442" s="854" t="s">
        <v>165</v>
      </c>
      <c r="M2442" s="854" t="s">
        <v>159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94"/>
      <c r="AB2442" s="198"/>
      <c r="AC2442" s="198"/>
      <c r="AD2442" s="198"/>
    </row>
    <row r="2443" spans="1:30" s="831" customFormat="1" ht="15.75" customHeight="1">
      <c r="A2443" s="204" t="str">
        <f>IF(B2443&lt;&gt;"",IF(AND(B2443&gt;=_TM1,B2443&lt;=_TM2,OR(TH!L2443="1111",TH!M2443="1111")),TH!D2443,""),"")</f>
        <v/>
      </c>
      <c r="B2443" s="36">
        <f t="shared" si="192"/>
        <v>11</v>
      </c>
      <c r="C2443" s="191">
        <f t="shared" si="197"/>
        <v>40877</v>
      </c>
      <c r="D2443" s="37" t="s">
        <v>972</v>
      </c>
      <c r="E2443" s="792">
        <v>40877</v>
      </c>
      <c r="F2443" s="192" t="s">
        <v>1339</v>
      </c>
      <c r="G2443" s="498" t="s">
        <v>633</v>
      </c>
      <c r="H2443" s="193" t="s">
        <v>735</v>
      </c>
      <c r="I2443" s="256">
        <v>442</v>
      </c>
      <c r="J2443" s="256">
        <v>1449.4900862979314</v>
      </c>
      <c r="K2443" s="866">
        <f t="shared" si="198"/>
        <v>640675</v>
      </c>
      <c r="L2443" s="854" t="s">
        <v>165</v>
      </c>
      <c r="M2443" s="854" t="s">
        <v>159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94"/>
      <c r="AB2443" s="198"/>
      <c r="AC2443" s="198"/>
      <c r="AD2443" s="198"/>
    </row>
    <row r="2444" spans="1:30" s="831" customFormat="1" ht="15.75" customHeight="1">
      <c r="A2444" s="204" t="str">
        <f>IF(B2444&lt;&gt;"",IF(AND(B2444&gt;=_TM1,B2444&lt;=_TM2,OR(TH!L2444="1111",TH!M2444="1111")),TH!D2444,""),"")</f>
        <v/>
      </c>
      <c r="B2444" s="36">
        <f t="shared" si="192"/>
        <v>11</v>
      </c>
      <c r="C2444" s="191">
        <f t="shared" si="197"/>
        <v>40877</v>
      </c>
      <c r="D2444" s="37" t="s">
        <v>972</v>
      </c>
      <c r="E2444" s="792">
        <v>40877</v>
      </c>
      <c r="F2444" s="192" t="s">
        <v>1340</v>
      </c>
      <c r="G2444" s="498" t="s">
        <v>633</v>
      </c>
      <c r="H2444" s="193" t="s">
        <v>735</v>
      </c>
      <c r="I2444" s="256">
        <v>5000</v>
      </c>
      <c r="J2444" s="256">
        <v>1308.3457858454426</v>
      </c>
      <c r="K2444" s="866">
        <f t="shared" si="198"/>
        <v>6541729</v>
      </c>
      <c r="L2444" s="854" t="s">
        <v>165</v>
      </c>
      <c r="M2444" s="854" t="s">
        <v>159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94"/>
      <c r="AB2444" s="198"/>
      <c r="AC2444" s="198"/>
      <c r="AD2444" s="198"/>
    </row>
    <row r="2445" spans="1:30" s="831" customFormat="1" ht="15.75" customHeight="1">
      <c r="A2445" s="204" t="str">
        <f>IF(B2445&lt;&gt;"",IF(AND(B2445&gt;=_TM1,B2445&lt;=_TM2,OR(TH!L2445="1111",TH!M2445="1111")),TH!D2445,""),"")</f>
        <v/>
      </c>
      <c r="B2445" s="36">
        <f t="shared" si="192"/>
        <v>11</v>
      </c>
      <c r="C2445" s="191">
        <f t="shared" si="197"/>
        <v>40877</v>
      </c>
      <c r="D2445" s="37" t="s">
        <v>973</v>
      </c>
      <c r="E2445" s="792">
        <v>40877</v>
      </c>
      <c r="F2445" s="192" t="s">
        <v>1341</v>
      </c>
      <c r="G2445" s="498" t="s">
        <v>1342</v>
      </c>
      <c r="H2445" s="7" t="s">
        <v>767</v>
      </c>
      <c r="I2445" s="256">
        <v>980</v>
      </c>
      <c r="J2445" s="256">
        <v>16377.50716543728</v>
      </c>
      <c r="K2445" s="866">
        <f t="shared" si="198"/>
        <v>16049957</v>
      </c>
      <c r="L2445" s="854" t="s">
        <v>165</v>
      </c>
      <c r="M2445" s="854" t="s">
        <v>159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94"/>
      <c r="AB2445" s="198"/>
      <c r="AC2445" s="198"/>
      <c r="AD2445" s="198"/>
    </row>
    <row r="2446" spans="1:30" s="831" customFormat="1" ht="15.75" customHeight="1">
      <c r="A2446" s="204" t="str">
        <f>IF(B2446&lt;&gt;"",IF(AND(B2446&gt;=_TM1,B2446&lt;=_TM2,OR(TH!L2446="1111",TH!M2446="1111")),TH!D2446,""),"")</f>
        <v/>
      </c>
      <c r="B2446" s="36">
        <f t="shared" si="192"/>
        <v>11</v>
      </c>
      <c r="C2446" s="191">
        <f t="shared" si="197"/>
        <v>40877</v>
      </c>
      <c r="D2446" s="37" t="s">
        <v>973</v>
      </c>
      <c r="E2446" s="792">
        <v>40877</v>
      </c>
      <c r="F2446" s="192" t="s">
        <v>1343</v>
      </c>
      <c r="G2446" s="498" t="s">
        <v>1342</v>
      </c>
      <c r="H2446" s="7" t="s">
        <v>767</v>
      </c>
      <c r="I2446" s="256">
        <v>1990</v>
      </c>
      <c r="J2446" s="256">
        <v>8153.583060217301</v>
      </c>
      <c r="K2446" s="866">
        <f t="shared" si="198"/>
        <v>16225630</v>
      </c>
      <c r="L2446" s="854" t="s">
        <v>165</v>
      </c>
      <c r="M2446" s="854" t="s">
        <v>159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94"/>
      <c r="AB2446" s="198"/>
      <c r="AC2446" s="198"/>
      <c r="AD2446" s="198"/>
    </row>
    <row r="2447" spans="1:30" s="831" customFormat="1" ht="15.75" customHeight="1">
      <c r="A2447" s="204" t="str">
        <f>IF(B2447&lt;&gt;"",IF(AND(B2447&gt;=_TM1,B2447&lt;=_TM2,OR(TH!L2447="1111",TH!M2447="1111")),TH!D2447,""),"")</f>
        <v/>
      </c>
      <c r="B2447" s="36">
        <f t="shared" si="192"/>
        <v>12</v>
      </c>
      <c r="C2447" s="184">
        <v>40879</v>
      </c>
      <c r="D2447" s="184" t="s">
        <v>333</v>
      </c>
      <c r="E2447" s="896">
        <v>40879</v>
      </c>
      <c r="F2447" s="189" t="s">
        <v>335</v>
      </c>
      <c r="G2447" s="616" t="s">
        <v>330</v>
      </c>
      <c r="H2447" s="834" t="s">
        <v>766</v>
      </c>
      <c r="I2447" s="256"/>
      <c r="J2447" s="256"/>
      <c r="K2447" s="614">
        <v>27789995</v>
      </c>
      <c r="L2447" s="615" t="s">
        <v>23</v>
      </c>
      <c r="M2447" s="615" t="s">
        <v>259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94"/>
      <c r="AB2447" s="198"/>
      <c r="AC2447" s="198"/>
      <c r="AD2447" s="198"/>
    </row>
    <row r="2448" spans="1:30" s="831" customFormat="1" ht="15.75" customHeight="1">
      <c r="A2448" s="204" t="str">
        <f>IF(B2448&lt;&gt;"",IF(AND(B2448&gt;=_TM1,B2448&lt;=_TM2,OR(TH!L2448="1111",TH!M2448="1111")),TH!D2448,""),"")</f>
        <v/>
      </c>
      <c r="B2448" s="36">
        <f t="shared" si="192"/>
        <v>12</v>
      </c>
      <c r="C2448" s="191">
        <f t="shared" ref="C2448:C2455" si="199">E2448</f>
        <v>40882</v>
      </c>
      <c r="D2448" s="860" t="s">
        <v>1214</v>
      </c>
      <c r="E2448" s="883">
        <v>40882</v>
      </c>
      <c r="F2448" s="189" t="s">
        <v>522</v>
      </c>
      <c r="G2448" s="40"/>
      <c r="H2448" s="628" t="s">
        <v>1092</v>
      </c>
      <c r="I2448" s="256">
        <v>205</v>
      </c>
      <c r="J2448" s="256">
        <v>11373</v>
      </c>
      <c r="K2448" s="614">
        <f t="shared" ref="K2448:K2455" si="200">ROUND(I2448*J2448,0)</f>
        <v>2331465</v>
      </c>
      <c r="L2448" s="52" t="s">
        <v>157</v>
      </c>
      <c r="M2448" s="52" t="s">
        <v>151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94"/>
      <c r="AB2448" s="198"/>
      <c r="AC2448" s="198"/>
      <c r="AD2448" s="198"/>
    </row>
    <row r="2449" spans="1:30" s="831" customFormat="1" ht="15.75" customHeight="1">
      <c r="A2449" s="204" t="str">
        <f>IF(B2449&lt;&gt;"",IF(AND(B2449&gt;=_TM1,B2449&lt;=_TM2,OR(TH!L2449="1111",TH!M2449="1111")),TH!D2449,""),"")</f>
        <v/>
      </c>
      <c r="B2449" s="36">
        <f t="shared" si="192"/>
        <v>12</v>
      </c>
      <c r="C2449" s="191">
        <f t="shared" si="199"/>
        <v>40882</v>
      </c>
      <c r="D2449" s="860" t="s">
        <v>1214</v>
      </c>
      <c r="E2449" s="883">
        <v>40882</v>
      </c>
      <c r="F2449" s="40" t="s">
        <v>645</v>
      </c>
      <c r="G2449" s="40"/>
      <c r="H2449" s="628" t="s">
        <v>1092</v>
      </c>
      <c r="I2449" s="256">
        <v>235</v>
      </c>
      <c r="J2449" s="256">
        <v>32878</v>
      </c>
      <c r="K2449" s="614">
        <f t="shared" si="200"/>
        <v>7726330</v>
      </c>
      <c r="L2449" s="52" t="s">
        <v>157</v>
      </c>
      <c r="M2449" s="52" t="s">
        <v>151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94"/>
      <c r="AB2449" s="198"/>
      <c r="AC2449" s="198"/>
      <c r="AD2449" s="198"/>
    </row>
    <row r="2450" spans="1:30" s="831" customFormat="1" ht="15.75" customHeight="1">
      <c r="A2450" s="204" t="str">
        <f>IF(B2450&lt;&gt;"",IF(AND(B2450&gt;=_TM1,B2450&lt;=_TM2,OR(TH!L2450="1111",TH!M2450="1111")),TH!D2450,""),"")</f>
        <v/>
      </c>
      <c r="B2450" s="36">
        <f t="shared" si="192"/>
        <v>12</v>
      </c>
      <c r="C2450" s="191">
        <f t="shared" si="199"/>
        <v>40882</v>
      </c>
      <c r="D2450" s="860" t="s">
        <v>1214</v>
      </c>
      <c r="E2450" s="883">
        <v>40882</v>
      </c>
      <c r="F2450" s="189" t="s">
        <v>490</v>
      </c>
      <c r="G2450" s="40"/>
      <c r="H2450" s="628" t="s">
        <v>1092</v>
      </c>
      <c r="I2450" s="256">
        <v>1</v>
      </c>
      <c r="J2450" s="256">
        <v>17427</v>
      </c>
      <c r="K2450" s="614">
        <f t="shared" si="200"/>
        <v>17427</v>
      </c>
      <c r="L2450" s="52" t="s">
        <v>157</v>
      </c>
      <c r="M2450" s="52" t="s">
        <v>151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94"/>
      <c r="AB2450" s="198"/>
      <c r="AC2450" s="198"/>
      <c r="AD2450" s="198"/>
    </row>
    <row r="2451" spans="1:30" s="831" customFormat="1" ht="15.75" customHeight="1">
      <c r="A2451" s="204" t="str">
        <f>IF(B2451&lt;&gt;"",IF(AND(B2451&gt;=_TM1,B2451&lt;=_TM2,OR(TH!L2451="1111",TH!M2451="1111")),TH!D2451,""),"")</f>
        <v/>
      </c>
      <c r="B2451" s="36">
        <f t="shared" si="192"/>
        <v>12</v>
      </c>
      <c r="C2451" s="191">
        <f t="shared" si="199"/>
        <v>40882</v>
      </c>
      <c r="D2451" s="860" t="s">
        <v>1214</v>
      </c>
      <c r="E2451" s="883">
        <v>40882</v>
      </c>
      <c r="F2451" s="40" t="s">
        <v>645</v>
      </c>
      <c r="G2451" s="40"/>
      <c r="H2451" s="628" t="s">
        <v>1092</v>
      </c>
      <c r="I2451" s="256">
        <v>1</v>
      </c>
      <c r="J2451" s="256">
        <v>32878</v>
      </c>
      <c r="K2451" s="614">
        <f t="shared" si="200"/>
        <v>32878</v>
      </c>
      <c r="L2451" s="52" t="s">
        <v>157</v>
      </c>
      <c r="M2451" s="52" t="s">
        <v>151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94"/>
      <c r="AB2451" s="198"/>
      <c r="AC2451" s="198"/>
      <c r="AD2451" s="198"/>
    </row>
    <row r="2452" spans="1:30" s="831" customFormat="1" ht="15.75" customHeight="1">
      <c r="A2452" s="204" t="str">
        <f>IF(B2452&lt;&gt;"",IF(AND(B2452&gt;=_TM1,B2452&lt;=_TM2,OR(TH!L2452="1111",TH!M2452="1111")),TH!D2452,""),"")</f>
        <v/>
      </c>
      <c r="B2452" s="36">
        <f t="shared" si="192"/>
        <v>12</v>
      </c>
      <c r="C2452" s="191">
        <f t="shared" si="199"/>
        <v>40882</v>
      </c>
      <c r="D2452" s="860" t="s">
        <v>1214</v>
      </c>
      <c r="E2452" s="883">
        <v>40882</v>
      </c>
      <c r="F2452" s="40" t="s">
        <v>640</v>
      </c>
      <c r="G2452" s="40"/>
      <c r="H2452" s="628" t="s">
        <v>1092</v>
      </c>
      <c r="I2452" s="256">
        <v>11</v>
      </c>
      <c r="J2452" s="256">
        <v>31752</v>
      </c>
      <c r="K2452" s="614">
        <f t="shared" si="200"/>
        <v>349272</v>
      </c>
      <c r="L2452" s="52" t="s">
        <v>157</v>
      </c>
      <c r="M2452" s="52" t="s">
        <v>151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94"/>
      <c r="AB2452" s="198"/>
      <c r="AC2452" s="198"/>
      <c r="AD2452" s="198"/>
    </row>
    <row r="2453" spans="1:30" s="831" customFormat="1" ht="15.75" customHeight="1">
      <c r="A2453" s="204" t="str">
        <f>IF(B2453&lt;&gt;"",IF(AND(B2453&gt;=_TM1,B2453&lt;=_TM2,OR(TH!L2453="1111",TH!M2453="1111")),TH!D2453,""),"")</f>
        <v/>
      </c>
      <c r="B2453" s="36">
        <f t="shared" si="192"/>
        <v>12</v>
      </c>
      <c r="C2453" s="191">
        <f t="shared" si="199"/>
        <v>40882</v>
      </c>
      <c r="D2453" s="860" t="s">
        <v>1214</v>
      </c>
      <c r="E2453" s="883">
        <v>40882</v>
      </c>
      <c r="F2453" s="40" t="s">
        <v>655</v>
      </c>
      <c r="G2453" s="40"/>
      <c r="H2453" s="628" t="s">
        <v>1092</v>
      </c>
      <c r="I2453" s="256">
        <v>147</v>
      </c>
      <c r="J2453" s="256">
        <v>13455</v>
      </c>
      <c r="K2453" s="614">
        <f t="shared" si="200"/>
        <v>1977885</v>
      </c>
      <c r="L2453" s="52" t="s">
        <v>157</v>
      </c>
      <c r="M2453" s="52" t="s">
        <v>151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94"/>
      <c r="AB2453" s="198"/>
      <c r="AC2453" s="198"/>
      <c r="AD2453" s="198"/>
    </row>
    <row r="2454" spans="1:30" s="831" customFormat="1" ht="15.75" customHeight="1">
      <c r="A2454" s="204" t="str">
        <f>IF(B2454&lt;&gt;"",IF(AND(B2454&gt;=_TM1,B2454&lt;=_TM2,OR(TH!L2454="1111",TH!M2454="1111")),TH!D2454,""),"")</f>
        <v/>
      </c>
      <c r="B2454" s="36">
        <f t="shared" si="192"/>
        <v>12</v>
      </c>
      <c r="C2454" s="191">
        <f t="shared" si="199"/>
        <v>40882</v>
      </c>
      <c r="D2454" s="860" t="s">
        <v>1214</v>
      </c>
      <c r="E2454" s="883">
        <v>40882</v>
      </c>
      <c r="F2454" s="40" t="s">
        <v>655</v>
      </c>
      <c r="G2454" s="40"/>
      <c r="H2454" s="628" t="s">
        <v>1092</v>
      </c>
      <c r="I2454" s="256">
        <v>52</v>
      </c>
      <c r="J2454" s="256">
        <v>13455</v>
      </c>
      <c r="K2454" s="614">
        <f t="shared" si="200"/>
        <v>699660</v>
      </c>
      <c r="L2454" s="52" t="s">
        <v>157</v>
      </c>
      <c r="M2454" s="52" t="s">
        <v>151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94"/>
      <c r="AB2454" s="198"/>
      <c r="AC2454" s="198"/>
      <c r="AD2454" s="198"/>
    </row>
    <row r="2455" spans="1:30" s="831" customFormat="1" ht="15.75" customHeight="1">
      <c r="A2455" s="204" t="str">
        <f>IF(B2455&lt;&gt;"",IF(AND(B2455&gt;=_TM1,B2455&lt;=_TM2,OR(TH!L2455="1111",TH!M2455="1111")),TH!D2455,""),"")</f>
        <v/>
      </c>
      <c r="B2455" s="36">
        <f t="shared" si="192"/>
        <v>12</v>
      </c>
      <c r="C2455" s="191">
        <f t="shared" si="199"/>
        <v>40882</v>
      </c>
      <c r="D2455" s="860" t="s">
        <v>1214</v>
      </c>
      <c r="E2455" s="883">
        <v>40882</v>
      </c>
      <c r="F2455" s="40" t="s">
        <v>649</v>
      </c>
      <c r="G2455" s="40"/>
      <c r="H2455" s="628" t="s">
        <v>1092</v>
      </c>
      <c r="I2455" s="256">
        <v>61</v>
      </c>
      <c r="J2455" s="256">
        <v>16502</v>
      </c>
      <c r="K2455" s="614">
        <f t="shared" si="200"/>
        <v>1006622</v>
      </c>
      <c r="L2455" s="52" t="s">
        <v>157</v>
      </c>
      <c r="M2455" s="52" t="s">
        <v>151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94"/>
      <c r="AB2455" s="198"/>
      <c r="AC2455" s="198"/>
      <c r="AD2455" s="198"/>
    </row>
    <row r="2456" spans="1:30" s="831" customFormat="1" ht="15.75" customHeight="1">
      <c r="A2456" s="204" t="str">
        <f>IF(B2456&lt;&gt;"",IF(AND(B2456&gt;=_TM1,B2456&lt;=_TM2,OR(TH!L2456="1111",TH!M2456="1111")),TH!D2456,""),"")</f>
        <v>T04</v>
      </c>
      <c r="B2456" s="36">
        <f t="shared" si="192"/>
        <v>12</v>
      </c>
      <c r="C2456" s="184">
        <v>40883</v>
      </c>
      <c r="D2456" s="184" t="s">
        <v>666</v>
      </c>
      <c r="E2456" s="896">
        <v>40883</v>
      </c>
      <c r="F2456" s="189" t="s">
        <v>1156</v>
      </c>
      <c r="G2456" s="616" t="s">
        <v>330</v>
      </c>
      <c r="H2456" s="193" t="s">
        <v>363</v>
      </c>
      <c r="I2456" s="256"/>
      <c r="J2456" s="256"/>
      <c r="K2456" s="614">
        <v>27000000</v>
      </c>
      <c r="L2456" s="615" t="s">
        <v>46</v>
      </c>
      <c r="M2456" s="615" t="s">
        <v>23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94"/>
      <c r="AB2456" s="198"/>
      <c r="AC2456" s="198"/>
      <c r="AD2456" s="198"/>
    </row>
    <row r="2457" spans="1:30" s="831" customFormat="1" ht="15.75" customHeight="1">
      <c r="A2457" s="204" t="str">
        <f>IF(B2457&lt;&gt;"",IF(AND(B2457&gt;=_TM1,B2457&lt;=_TM2,OR(TH!L2457="1111",TH!M2457="1111")),TH!D2457,""),"")</f>
        <v/>
      </c>
      <c r="B2457" s="36">
        <f t="shared" si="192"/>
        <v>12</v>
      </c>
      <c r="C2457" s="184">
        <v>40884</v>
      </c>
      <c r="D2457" s="184" t="s">
        <v>333</v>
      </c>
      <c r="E2457" s="896">
        <v>40884</v>
      </c>
      <c r="F2457" s="189" t="s">
        <v>335</v>
      </c>
      <c r="G2457" s="616" t="s">
        <v>330</v>
      </c>
      <c r="H2457" s="193" t="s">
        <v>733</v>
      </c>
      <c r="I2457" s="256"/>
      <c r="J2457" s="256"/>
      <c r="K2457" s="614">
        <v>95680676</v>
      </c>
      <c r="L2457" s="615" t="s">
        <v>23</v>
      </c>
      <c r="M2457" s="615" t="s">
        <v>259</v>
      </c>
      <c r="N2457" s="52" t="str">
        <f>IF(AND('331-CT'!$E$7=TH!H2457,OR(L2457="331",M2457="331")),"331",IF(AND(OR(L2457="131",M2457="131"),H2457='131-CT'!$E$7),"131",""))</f>
        <v>131</v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94"/>
      <c r="AB2457" s="198"/>
      <c r="AC2457" s="198"/>
      <c r="AD2457" s="198"/>
    </row>
    <row r="2458" spans="1:30" s="831" customFormat="1" ht="15.75" customHeight="1">
      <c r="A2458" s="204" t="str">
        <f>IF(B2458&lt;&gt;"",IF(AND(B2458&gt;=_TM1,B2458&lt;=_TM2,OR(TH!L2458="1111",TH!M2458="1111")),TH!D2458,""),"")</f>
        <v/>
      </c>
      <c r="B2458" s="36">
        <f t="shared" si="192"/>
        <v>12</v>
      </c>
      <c r="C2458" s="191">
        <v>40886</v>
      </c>
      <c r="D2458" s="191" t="s">
        <v>974</v>
      </c>
      <c r="E2458" s="883">
        <v>40886</v>
      </c>
      <c r="F2458" s="192" t="s">
        <v>1350</v>
      </c>
      <c r="G2458" s="498" t="s">
        <v>1351</v>
      </c>
      <c r="H2458" s="7" t="s">
        <v>765</v>
      </c>
      <c r="I2458" s="256">
        <v>505</v>
      </c>
      <c r="J2458" s="256">
        <v>9500</v>
      </c>
      <c r="K2458" s="614">
        <v>4797500</v>
      </c>
      <c r="L2458" s="194" t="s">
        <v>259</v>
      </c>
      <c r="M2458" s="194" t="s">
        <v>167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94"/>
      <c r="AB2458" s="198"/>
      <c r="AC2458" s="198"/>
      <c r="AD2458" s="198"/>
    </row>
    <row r="2459" spans="1:30" s="831" customFormat="1" ht="15.75" customHeight="1">
      <c r="A2459" s="204" t="str">
        <f>IF(B2459&lt;&gt;"",IF(AND(B2459&gt;=_TM1,B2459&lt;=_TM2,OR(TH!L2459="1111",TH!M2459="1111")),TH!D2459,""),"")</f>
        <v/>
      </c>
      <c r="B2459" s="36">
        <f t="shared" si="192"/>
        <v>12</v>
      </c>
      <c r="C2459" s="191">
        <v>40886</v>
      </c>
      <c r="D2459" s="191" t="s">
        <v>974</v>
      </c>
      <c r="E2459" s="883">
        <v>40886</v>
      </c>
      <c r="F2459" s="192" t="s">
        <v>1344</v>
      </c>
      <c r="G2459" s="498" t="s">
        <v>1351</v>
      </c>
      <c r="H2459" s="7" t="s">
        <v>765</v>
      </c>
      <c r="I2459" s="256"/>
      <c r="J2459" s="256"/>
      <c r="K2459" s="614">
        <f>479750+2</f>
        <v>479752</v>
      </c>
      <c r="L2459" s="194" t="s">
        <v>259</v>
      </c>
      <c r="M2459" s="194" t="s">
        <v>731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94"/>
      <c r="AB2459" s="198"/>
      <c r="AC2459" s="198"/>
      <c r="AD2459" s="198"/>
    </row>
    <row r="2460" spans="1:30" s="831" customFormat="1" ht="15.75" customHeight="1">
      <c r="A2460" s="204" t="str">
        <f>IF(B2460&lt;&gt;"",IF(AND(B2460&gt;=_TM1,B2460&lt;=_TM2,OR(TH!L2460="1111",TH!M2460="1111")),TH!D2460,""),"")</f>
        <v/>
      </c>
      <c r="B2460" s="36">
        <f t="shared" si="192"/>
        <v>12</v>
      </c>
      <c r="C2460" s="191">
        <f>E2460</f>
        <v>40886</v>
      </c>
      <c r="D2460" s="48" t="s">
        <v>1213</v>
      </c>
      <c r="E2460" s="883">
        <v>40886</v>
      </c>
      <c r="F2460" s="456" t="s">
        <v>1350</v>
      </c>
      <c r="G2460" s="40"/>
      <c r="H2460" s="628" t="s">
        <v>1092</v>
      </c>
      <c r="I2460" s="256">
        <v>505</v>
      </c>
      <c r="J2460" s="256">
        <v>5915.2685818850478</v>
      </c>
      <c r="K2460" s="614">
        <f>ROUND(I2460*J2460,0)</f>
        <v>2987211</v>
      </c>
      <c r="L2460" s="39" t="s">
        <v>159</v>
      </c>
      <c r="M2460" s="39" t="s">
        <v>157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94"/>
      <c r="AB2460" s="198"/>
      <c r="AC2460" s="198"/>
      <c r="AD2460" s="198"/>
    </row>
    <row r="2461" spans="1:30" ht="15.75" customHeight="1">
      <c r="A2461" s="204" t="str">
        <f>IF(B2461&lt;&gt;"",IF(AND(B2461&gt;=_TM1,B2461&lt;=_TM2,OR(TH!L2461="1111",TH!M2461="1111")),TH!D2461,""),"")</f>
        <v/>
      </c>
      <c r="B2461" s="36">
        <f t="shared" si="192"/>
        <v>12</v>
      </c>
      <c r="C2461" s="191">
        <f>E2461</f>
        <v>40886</v>
      </c>
      <c r="D2461" s="37" t="s">
        <v>974</v>
      </c>
      <c r="E2461" s="883">
        <v>40886</v>
      </c>
      <c r="F2461" s="192" t="s">
        <v>1350</v>
      </c>
      <c r="G2461" s="498" t="s">
        <v>1351</v>
      </c>
      <c r="H2461" s="7" t="s">
        <v>765</v>
      </c>
      <c r="I2461" s="256">
        <v>505</v>
      </c>
      <c r="J2461" s="256">
        <v>5915.2685818850478</v>
      </c>
      <c r="K2461" s="866">
        <f>ROUND(I2461*J2461,0)</f>
        <v>2987211</v>
      </c>
      <c r="L2461" s="854" t="s">
        <v>165</v>
      </c>
      <c r="M2461" s="854" t="s">
        <v>159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94"/>
    </row>
    <row r="2462" spans="1:30" ht="15.75" customHeight="1">
      <c r="A2462" s="204" t="str">
        <f>IF(B2462&lt;&gt;"",IF(AND(B2462&gt;=_TM1,B2462&lt;=_TM2,OR(TH!L2462="1111",TH!M2462="1111")),TH!D2462,""),"")</f>
        <v>T05</v>
      </c>
      <c r="B2462" s="36">
        <f t="shared" si="192"/>
        <v>12</v>
      </c>
      <c r="C2462" s="184">
        <v>40889</v>
      </c>
      <c r="D2462" s="184" t="s">
        <v>814</v>
      </c>
      <c r="E2462" s="896">
        <v>40889</v>
      </c>
      <c r="F2462" s="189" t="s">
        <v>1156</v>
      </c>
      <c r="G2462" s="616" t="s">
        <v>330</v>
      </c>
      <c r="H2462" s="193" t="s">
        <v>363</v>
      </c>
      <c r="I2462" s="256"/>
      <c r="J2462" s="256"/>
      <c r="K2462" s="614">
        <v>95000000</v>
      </c>
      <c r="L2462" s="615" t="s">
        <v>46</v>
      </c>
      <c r="M2462" s="615" t="s">
        <v>23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94"/>
    </row>
    <row r="2463" spans="1:30" ht="15.75" customHeight="1">
      <c r="A2463" s="204" t="str">
        <f>IF(B2463&lt;&gt;"",IF(AND(B2463&gt;=_TM1,B2463&lt;=_TM2,OR(TH!L2463="1111",TH!M2463="1111")),TH!D2463,""),"")</f>
        <v>C19</v>
      </c>
      <c r="B2463" s="36">
        <f t="shared" si="192"/>
        <v>12</v>
      </c>
      <c r="C2463" s="191">
        <v>40889</v>
      </c>
      <c r="D2463" s="191" t="s">
        <v>669</v>
      </c>
      <c r="E2463" s="883">
        <v>40889</v>
      </c>
      <c r="F2463" s="192" t="s">
        <v>1279</v>
      </c>
      <c r="G2463" s="498" t="s">
        <v>1345</v>
      </c>
      <c r="H2463" s="7" t="s">
        <v>371</v>
      </c>
      <c r="I2463" s="258">
        <v>20</v>
      </c>
      <c r="J2463" s="258">
        <v>65000</v>
      </c>
      <c r="K2463" s="614">
        <v>1300000</v>
      </c>
      <c r="L2463" s="194" t="s">
        <v>157</v>
      </c>
      <c r="M2463" s="194" t="s">
        <v>46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94"/>
    </row>
    <row r="2464" spans="1:30" ht="15.75" customHeight="1">
      <c r="A2464" s="204" t="str">
        <f>IF(B2464&lt;&gt;"",IF(AND(B2464&gt;=_TM1,B2464&lt;=_TM2,OR(TH!L2464="1111",TH!M2464="1111")),TH!D2464,""),"")</f>
        <v>C19</v>
      </c>
      <c r="B2464" s="36">
        <f t="shared" ref="B2464:B2527" si="201">IF(C2464&lt;&gt;"",MONTH(C2464),"")</f>
        <v>12</v>
      </c>
      <c r="C2464" s="191">
        <v>40889</v>
      </c>
      <c r="D2464" s="191" t="s">
        <v>669</v>
      </c>
      <c r="E2464" s="883">
        <v>40889</v>
      </c>
      <c r="F2464" s="192" t="s">
        <v>1165</v>
      </c>
      <c r="G2464" s="498" t="s">
        <v>1345</v>
      </c>
      <c r="H2464" s="7" t="s">
        <v>371</v>
      </c>
      <c r="I2464" s="258"/>
      <c r="J2464" s="258"/>
      <c r="K2464" s="38">
        <v>130000</v>
      </c>
      <c r="L2464" s="194" t="s">
        <v>9</v>
      </c>
      <c r="M2464" s="194" t="s">
        <v>46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94"/>
    </row>
    <row r="2465" spans="1:27" ht="15.75" customHeight="1">
      <c r="A2465" s="204" t="str">
        <f>IF(B2465&lt;&gt;"",IF(AND(B2465&gt;=_TM1,B2465&lt;=_TM2,OR(TH!L2465="1111",TH!M2465="1111")),TH!D2465,""),"")</f>
        <v/>
      </c>
      <c r="B2465" s="36">
        <f t="shared" si="201"/>
        <v>12</v>
      </c>
      <c r="C2465" s="191">
        <f t="shared" ref="C2465:C2491" si="202">E2465</f>
        <v>40890</v>
      </c>
      <c r="D2465" s="860" t="s">
        <v>1215</v>
      </c>
      <c r="E2465" s="883">
        <v>40890</v>
      </c>
      <c r="F2465" s="40" t="s">
        <v>656</v>
      </c>
      <c r="G2465" s="40"/>
      <c r="H2465" s="628" t="s">
        <v>1092</v>
      </c>
      <c r="I2465" s="256">
        <v>505</v>
      </c>
      <c r="J2465" s="256">
        <v>16631</v>
      </c>
      <c r="K2465" s="614">
        <f t="shared" ref="K2465:K2491" si="203">ROUND(I2465*J2465,0)</f>
        <v>8398655</v>
      </c>
      <c r="L2465" s="52" t="s">
        <v>157</v>
      </c>
      <c r="M2465" s="52" t="s">
        <v>151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94"/>
    </row>
    <row r="2466" spans="1:27" ht="15.75" customHeight="1">
      <c r="A2466" s="204" t="str">
        <f>IF(B2466&lt;&gt;"",IF(AND(B2466&gt;=_TM1,B2466&lt;=_TM2,OR(TH!L2466="1111",TH!M2466="1111")),TH!D2466,""),"")</f>
        <v/>
      </c>
      <c r="B2466" s="36">
        <f t="shared" si="201"/>
        <v>12</v>
      </c>
      <c r="C2466" s="191">
        <f t="shared" si="202"/>
        <v>40890</v>
      </c>
      <c r="D2466" s="860" t="s">
        <v>1215</v>
      </c>
      <c r="E2466" s="883">
        <v>40890</v>
      </c>
      <c r="F2466" s="189" t="s">
        <v>630</v>
      </c>
      <c r="G2466" s="40"/>
      <c r="H2466" s="628" t="s">
        <v>1092</v>
      </c>
      <c r="I2466" s="256">
        <v>61</v>
      </c>
      <c r="J2466" s="256">
        <v>9954</v>
      </c>
      <c r="K2466" s="614">
        <f t="shared" si="203"/>
        <v>607194</v>
      </c>
      <c r="L2466" s="52" t="s">
        <v>157</v>
      </c>
      <c r="M2466" s="52" t="s">
        <v>151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94"/>
    </row>
    <row r="2467" spans="1:27" ht="15.75" customHeight="1">
      <c r="A2467" s="204" t="str">
        <f>IF(B2467&lt;&gt;"",IF(AND(B2467&gt;=_TM1,B2467&lt;=_TM2,OR(TH!L2467="1111",TH!M2467="1111")),TH!D2467,""),"")</f>
        <v/>
      </c>
      <c r="B2467" s="36">
        <f t="shared" si="201"/>
        <v>12</v>
      </c>
      <c r="C2467" s="191">
        <f t="shared" si="202"/>
        <v>40890</v>
      </c>
      <c r="D2467" s="860" t="s">
        <v>1215</v>
      </c>
      <c r="E2467" s="883">
        <v>40890</v>
      </c>
      <c r="F2467" s="189" t="s">
        <v>490</v>
      </c>
      <c r="G2467" s="40"/>
      <c r="H2467" s="628" t="s">
        <v>1092</v>
      </c>
      <c r="I2467" s="256">
        <v>2</v>
      </c>
      <c r="J2467" s="256">
        <v>17427</v>
      </c>
      <c r="K2467" s="614">
        <f t="shared" si="203"/>
        <v>34854</v>
      </c>
      <c r="L2467" s="52" t="s">
        <v>157</v>
      </c>
      <c r="M2467" s="52" t="s">
        <v>151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94"/>
    </row>
    <row r="2468" spans="1:27" ht="15.75" customHeight="1">
      <c r="A2468" s="204" t="str">
        <f>IF(B2468&lt;&gt;"",IF(AND(B2468&gt;=_TM1,B2468&lt;=_TM2,OR(TH!L2468="1111",TH!M2468="1111")),TH!D2468,""),"")</f>
        <v/>
      </c>
      <c r="B2468" s="36">
        <f t="shared" si="201"/>
        <v>12</v>
      </c>
      <c r="C2468" s="191">
        <f t="shared" si="202"/>
        <v>40890</v>
      </c>
      <c r="D2468" s="860" t="s">
        <v>1215</v>
      </c>
      <c r="E2468" s="883">
        <v>40890</v>
      </c>
      <c r="F2468" s="189" t="s">
        <v>490</v>
      </c>
      <c r="G2468" s="40"/>
      <c r="H2468" s="628" t="s">
        <v>1092</v>
      </c>
      <c r="I2468" s="256">
        <v>16</v>
      </c>
      <c r="J2468" s="256">
        <v>17427</v>
      </c>
      <c r="K2468" s="614">
        <f t="shared" si="203"/>
        <v>278832</v>
      </c>
      <c r="L2468" s="52" t="s">
        <v>157</v>
      </c>
      <c r="M2468" s="52" t="s">
        <v>151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94"/>
    </row>
    <row r="2469" spans="1:27" ht="15.75" customHeight="1">
      <c r="A2469" s="204" t="str">
        <f>IF(B2469&lt;&gt;"",IF(AND(B2469&gt;=_TM1,B2469&lt;=_TM2,OR(TH!L2469="1111",TH!M2469="1111")),TH!D2469,""),"")</f>
        <v/>
      </c>
      <c r="B2469" s="36">
        <f t="shared" si="201"/>
        <v>12</v>
      </c>
      <c r="C2469" s="191">
        <f t="shared" si="202"/>
        <v>40890</v>
      </c>
      <c r="D2469" s="860" t="s">
        <v>1215</v>
      </c>
      <c r="E2469" s="883">
        <v>40890</v>
      </c>
      <c r="F2469" s="40" t="s">
        <v>650</v>
      </c>
      <c r="G2469" s="40"/>
      <c r="H2469" s="628" t="s">
        <v>1092</v>
      </c>
      <c r="I2469" s="256">
        <v>10</v>
      </c>
      <c r="J2469" s="256">
        <v>15443</v>
      </c>
      <c r="K2469" s="614">
        <f t="shared" si="203"/>
        <v>154430</v>
      </c>
      <c r="L2469" s="52" t="s">
        <v>157</v>
      </c>
      <c r="M2469" s="52" t="s">
        <v>151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94"/>
    </row>
    <row r="2470" spans="1:27" ht="15.75" customHeight="1">
      <c r="A2470" s="204" t="str">
        <f>IF(B2470&lt;&gt;"",IF(AND(B2470&gt;=_TM1,B2470&lt;=_TM2,OR(TH!L2470="1111",TH!M2470="1111")),TH!D2470,""),"")</f>
        <v/>
      </c>
      <c r="B2470" s="36">
        <f t="shared" si="201"/>
        <v>12</v>
      </c>
      <c r="C2470" s="191">
        <f t="shared" si="202"/>
        <v>40890</v>
      </c>
      <c r="D2470" s="860" t="s">
        <v>1215</v>
      </c>
      <c r="E2470" s="883">
        <v>40890</v>
      </c>
      <c r="F2470" s="40" t="s">
        <v>642</v>
      </c>
      <c r="G2470" s="40"/>
      <c r="H2470" s="628" t="s">
        <v>1092</v>
      </c>
      <c r="I2470" s="256">
        <v>135</v>
      </c>
      <c r="J2470" s="256">
        <v>20278</v>
      </c>
      <c r="K2470" s="614">
        <f t="shared" si="203"/>
        <v>2737530</v>
      </c>
      <c r="L2470" s="52" t="s">
        <v>157</v>
      </c>
      <c r="M2470" s="52" t="s">
        <v>151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94"/>
    </row>
    <row r="2471" spans="1:27" ht="15.75" customHeight="1">
      <c r="A2471" s="204" t="str">
        <f>IF(B2471&lt;&gt;"",IF(AND(B2471&gt;=_TM1,B2471&lt;=_TM2,OR(TH!L2471="1111",TH!M2471="1111")),TH!D2471,""),"")</f>
        <v/>
      </c>
      <c r="B2471" s="36">
        <f t="shared" si="201"/>
        <v>12</v>
      </c>
      <c r="C2471" s="191">
        <f t="shared" si="202"/>
        <v>40890</v>
      </c>
      <c r="D2471" s="860" t="s">
        <v>1215</v>
      </c>
      <c r="E2471" s="883">
        <v>40890</v>
      </c>
      <c r="F2471" s="40" t="s">
        <v>655</v>
      </c>
      <c r="G2471" s="40"/>
      <c r="H2471" s="628" t="s">
        <v>1092</v>
      </c>
      <c r="I2471" s="256">
        <v>223</v>
      </c>
      <c r="J2471" s="256">
        <v>13455</v>
      </c>
      <c r="K2471" s="614">
        <f t="shared" si="203"/>
        <v>3000465</v>
      </c>
      <c r="L2471" s="52" t="s">
        <v>157</v>
      </c>
      <c r="M2471" s="52" t="s">
        <v>151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94"/>
    </row>
    <row r="2472" spans="1:27" ht="15.75" customHeight="1">
      <c r="A2472" s="204" t="str">
        <f>IF(B2472&lt;&gt;"",IF(AND(B2472&gt;=_TM1,B2472&lt;=_TM2,OR(TH!L2472="1111",TH!M2472="1111")),TH!D2472,""),"")</f>
        <v/>
      </c>
      <c r="B2472" s="36">
        <f t="shared" si="201"/>
        <v>12</v>
      </c>
      <c r="C2472" s="191">
        <f t="shared" si="202"/>
        <v>40890</v>
      </c>
      <c r="D2472" s="860" t="s">
        <v>1215</v>
      </c>
      <c r="E2472" s="883">
        <v>40890</v>
      </c>
      <c r="F2472" s="40" t="s">
        <v>598</v>
      </c>
      <c r="G2472" s="40"/>
      <c r="H2472" s="628" t="s">
        <v>1092</v>
      </c>
      <c r="I2472" s="256">
        <v>10</v>
      </c>
      <c r="J2472" s="256">
        <v>17374</v>
      </c>
      <c r="K2472" s="614">
        <f t="shared" si="203"/>
        <v>173740</v>
      </c>
      <c r="L2472" s="52" t="s">
        <v>157</v>
      </c>
      <c r="M2472" s="52" t="s">
        <v>151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94"/>
    </row>
    <row r="2473" spans="1:27" ht="15.75" customHeight="1">
      <c r="A2473" s="204" t="str">
        <f>IF(B2473&lt;&gt;"",IF(AND(B2473&gt;=_TM1,B2473&lt;=_TM2,OR(TH!L2473="1111",TH!M2473="1111")),TH!D2473,""),"")</f>
        <v/>
      </c>
      <c r="B2473" s="36">
        <f t="shared" si="201"/>
        <v>12</v>
      </c>
      <c r="C2473" s="191">
        <f t="shared" si="202"/>
        <v>40890</v>
      </c>
      <c r="D2473" s="860" t="s">
        <v>1215</v>
      </c>
      <c r="E2473" s="883">
        <v>40890</v>
      </c>
      <c r="F2473" s="40" t="s">
        <v>650</v>
      </c>
      <c r="G2473" s="40"/>
      <c r="H2473" s="628" t="s">
        <v>1092</v>
      </c>
      <c r="I2473" s="256">
        <v>20</v>
      </c>
      <c r="J2473" s="256">
        <v>15443</v>
      </c>
      <c r="K2473" s="614">
        <f t="shared" si="203"/>
        <v>308860</v>
      </c>
      <c r="L2473" s="52" t="s">
        <v>157</v>
      </c>
      <c r="M2473" s="52" t="s">
        <v>151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94"/>
    </row>
    <row r="2474" spans="1:27" ht="15.75" customHeight="1">
      <c r="A2474" s="204" t="str">
        <f>IF(B2474&lt;&gt;"",IF(AND(B2474&gt;=_TM1,B2474&lt;=_TM2,OR(TH!L2474="1111",TH!M2474="1111")),TH!D2474,""),"")</f>
        <v/>
      </c>
      <c r="B2474" s="36">
        <f t="shared" si="201"/>
        <v>12</v>
      </c>
      <c r="C2474" s="191">
        <f t="shared" si="202"/>
        <v>40892</v>
      </c>
      <c r="D2474" s="860" t="s">
        <v>1216</v>
      </c>
      <c r="E2474" s="883">
        <v>40892</v>
      </c>
      <c r="F2474" s="40" t="s">
        <v>655</v>
      </c>
      <c r="G2474" s="40"/>
      <c r="H2474" s="628" t="s">
        <v>1092</v>
      </c>
      <c r="I2474" s="256">
        <v>2</v>
      </c>
      <c r="J2474" s="256">
        <v>13455</v>
      </c>
      <c r="K2474" s="614">
        <f t="shared" si="203"/>
        <v>26910</v>
      </c>
      <c r="L2474" s="52" t="s">
        <v>157</v>
      </c>
      <c r="M2474" s="52" t="s">
        <v>151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94"/>
    </row>
    <row r="2475" spans="1:27" ht="15.75" customHeight="1">
      <c r="A2475" s="204" t="str">
        <f>IF(B2475&lt;&gt;"",IF(AND(B2475&gt;=_TM1,B2475&lt;=_TM2,OR(TH!L2475="1111",TH!M2475="1111")),TH!D2475,""),"")</f>
        <v/>
      </c>
      <c r="B2475" s="36">
        <f t="shared" si="201"/>
        <v>12</v>
      </c>
      <c r="C2475" s="191">
        <f t="shared" si="202"/>
        <v>40892</v>
      </c>
      <c r="D2475" s="860" t="s">
        <v>1216</v>
      </c>
      <c r="E2475" s="883">
        <v>40892</v>
      </c>
      <c r="F2475" s="40" t="s">
        <v>598</v>
      </c>
      <c r="G2475" s="40"/>
      <c r="H2475" s="628" t="s">
        <v>1092</v>
      </c>
      <c r="I2475" s="256">
        <v>379</v>
      </c>
      <c r="J2475" s="256">
        <v>17374</v>
      </c>
      <c r="K2475" s="614">
        <f t="shared" si="203"/>
        <v>6584746</v>
      </c>
      <c r="L2475" s="52" t="s">
        <v>157</v>
      </c>
      <c r="M2475" s="52" t="s">
        <v>151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94"/>
    </row>
    <row r="2476" spans="1:27" ht="15.75" customHeight="1">
      <c r="A2476" s="204" t="str">
        <f>IF(B2476&lt;&gt;"",IF(AND(B2476&gt;=_TM1,B2476&lt;=_TM2,OR(TH!L2476="1111",TH!M2476="1111")),TH!D2476,""),"")</f>
        <v/>
      </c>
      <c r="B2476" s="36">
        <f t="shared" si="201"/>
        <v>12</v>
      </c>
      <c r="C2476" s="191">
        <f t="shared" si="202"/>
        <v>40892</v>
      </c>
      <c r="D2476" s="860" t="s">
        <v>1216</v>
      </c>
      <c r="E2476" s="883">
        <v>40892</v>
      </c>
      <c r="F2476" s="40" t="s">
        <v>656</v>
      </c>
      <c r="G2476" s="40"/>
      <c r="H2476" s="628" t="s">
        <v>1092</v>
      </c>
      <c r="I2476" s="256">
        <v>82</v>
      </c>
      <c r="J2476" s="256">
        <v>16631</v>
      </c>
      <c r="K2476" s="614">
        <f t="shared" si="203"/>
        <v>1363742</v>
      </c>
      <c r="L2476" s="52" t="s">
        <v>157</v>
      </c>
      <c r="M2476" s="52" t="s">
        <v>151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94"/>
    </row>
    <row r="2477" spans="1:27" ht="15.75" customHeight="1">
      <c r="A2477" s="204" t="str">
        <f>IF(B2477&lt;&gt;"",IF(AND(B2477&gt;=_TM1,B2477&lt;=_TM2,OR(TH!L2477="1111",TH!M2477="1111")),TH!D2477,""),"")</f>
        <v/>
      </c>
      <c r="B2477" s="36">
        <f t="shared" si="201"/>
        <v>12</v>
      </c>
      <c r="C2477" s="191">
        <f t="shared" si="202"/>
        <v>40892</v>
      </c>
      <c r="D2477" s="860" t="s">
        <v>1216</v>
      </c>
      <c r="E2477" s="883">
        <v>40892</v>
      </c>
      <c r="F2477" s="40" t="s">
        <v>655</v>
      </c>
      <c r="G2477" s="40"/>
      <c r="H2477" s="628" t="s">
        <v>1092</v>
      </c>
      <c r="I2477" s="256">
        <v>72</v>
      </c>
      <c r="J2477" s="256">
        <v>13455</v>
      </c>
      <c r="K2477" s="614">
        <f t="shared" si="203"/>
        <v>968760</v>
      </c>
      <c r="L2477" s="52" t="s">
        <v>157</v>
      </c>
      <c r="M2477" s="52" t="s">
        <v>151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94"/>
    </row>
    <row r="2478" spans="1:27" ht="15.75" customHeight="1">
      <c r="A2478" s="204" t="str">
        <f>IF(B2478&lt;&gt;"",IF(AND(B2478&gt;=_TM1,B2478&lt;=_TM2,OR(TH!L2478="1111",TH!M2478="1111")),TH!D2478,""),"")</f>
        <v/>
      </c>
      <c r="B2478" s="36">
        <f t="shared" si="201"/>
        <v>12</v>
      </c>
      <c r="C2478" s="191">
        <f t="shared" si="202"/>
        <v>40892</v>
      </c>
      <c r="D2478" s="860" t="s">
        <v>1216</v>
      </c>
      <c r="E2478" s="883">
        <v>40892</v>
      </c>
      <c r="F2478" s="40" t="s">
        <v>655</v>
      </c>
      <c r="G2478" s="40"/>
      <c r="H2478" s="628" t="s">
        <v>1092</v>
      </c>
      <c r="I2478" s="256">
        <v>52</v>
      </c>
      <c r="J2478" s="256">
        <v>13455</v>
      </c>
      <c r="K2478" s="614">
        <f t="shared" si="203"/>
        <v>699660</v>
      </c>
      <c r="L2478" s="52" t="s">
        <v>157</v>
      </c>
      <c r="M2478" s="52" t="s">
        <v>151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94"/>
    </row>
    <row r="2479" spans="1:27" ht="15.75" customHeight="1">
      <c r="A2479" s="204" t="str">
        <f>IF(B2479&lt;&gt;"",IF(AND(B2479&gt;=_TM1,B2479&lt;=_TM2,OR(TH!L2479="1111",TH!M2479="1111")),TH!D2479,""),"")</f>
        <v/>
      </c>
      <c r="B2479" s="36">
        <f t="shared" si="201"/>
        <v>12</v>
      </c>
      <c r="C2479" s="191">
        <f t="shared" si="202"/>
        <v>40892</v>
      </c>
      <c r="D2479" s="860" t="s">
        <v>1216</v>
      </c>
      <c r="E2479" s="883">
        <v>40892</v>
      </c>
      <c r="F2479" s="40" t="s">
        <v>655</v>
      </c>
      <c r="G2479" s="40"/>
      <c r="H2479" s="628" t="s">
        <v>1092</v>
      </c>
      <c r="I2479" s="256">
        <v>51</v>
      </c>
      <c r="J2479" s="256">
        <v>13455</v>
      </c>
      <c r="K2479" s="614">
        <f t="shared" si="203"/>
        <v>686205</v>
      </c>
      <c r="L2479" s="52" t="s">
        <v>157</v>
      </c>
      <c r="M2479" s="52" t="s">
        <v>151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94"/>
    </row>
    <row r="2480" spans="1:27" ht="15.75" customHeight="1">
      <c r="A2480" s="204" t="str">
        <f>IF(B2480&lt;&gt;"",IF(AND(B2480&gt;=_TM1,B2480&lt;=_TM2,OR(TH!L2480="1111",TH!M2480="1111")),TH!D2480,""),"")</f>
        <v/>
      </c>
      <c r="B2480" s="36">
        <f t="shared" si="201"/>
        <v>12</v>
      </c>
      <c r="C2480" s="191">
        <f t="shared" si="202"/>
        <v>40892</v>
      </c>
      <c r="D2480" s="860" t="s">
        <v>1216</v>
      </c>
      <c r="E2480" s="883">
        <v>40892</v>
      </c>
      <c r="F2480" s="40" t="s">
        <v>645</v>
      </c>
      <c r="G2480" s="40"/>
      <c r="H2480" s="628" t="s">
        <v>1092</v>
      </c>
      <c r="I2480" s="256">
        <v>25.5</v>
      </c>
      <c r="J2480" s="256">
        <v>32878</v>
      </c>
      <c r="K2480" s="614">
        <f t="shared" si="203"/>
        <v>838389</v>
      </c>
      <c r="L2480" s="52" t="s">
        <v>157</v>
      </c>
      <c r="M2480" s="52" t="s">
        <v>151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94"/>
    </row>
    <row r="2481" spans="1:27" ht="15.75" customHeight="1">
      <c r="A2481" s="204" t="str">
        <f>IF(B2481&lt;&gt;"",IF(AND(B2481&gt;=_TM1,B2481&lt;=_TM2,OR(TH!L2481="1111",TH!M2481="1111")),TH!D2481,""),"")</f>
        <v/>
      </c>
      <c r="B2481" s="36">
        <f t="shared" si="201"/>
        <v>12</v>
      </c>
      <c r="C2481" s="191">
        <f t="shared" si="202"/>
        <v>40892</v>
      </c>
      <c r="D2481" s="860" t="s">
        <v>1216</v>
      </c>
      <c r="E2481" s="883">
        <v>40892</v>
      </c>
      <c r="F2481" s="40" t="s">
        <v>645</v>
      </c>
      <c r="G2481" s="40"/>
      <c r="H2481" s="628" t="s">
        <v>1092</v>
      </c>
      <c r="I2481" s="256">
        <v>28.5</v>
      </c>
      <c r="J2481" s="256">
        <v>32878</v>
      </c>
      <c r="K2481" s="614">
        <f t="shared" si="203"/>
        <v>937023</v>
      </c>
      <c r="L2481" s="52" t="s">
        <v>157</v>
      </c>
      <c r="M2481" s="52" t="s">
        <v>151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94"/>
    </row>
    <row r="2482" spans="1:27" ht="15.75" customHeight="1">
      <c r="A2482" s="204" t="str">
        <f>IF(B2482&lt;&gt;"",IF(AND(B2482&gt;=_TM1,B2482&lt;=_TM2,OR(TH!L2482="1111",TH!M2482="1111")),TH!D2482,""),"")</f>
        <v/>
      </c>
      <c r="B2482" s="36">
        <f t="shared" si="201"/>
        <v>12</v>
      </c>
      <c r="C2482" s="191">
        <f t="shared" si="202"/>
        <v>40892</v>
      </c>
      <c r="D2482" s="860" t="s">
        <v>1216</v>
      </c>
      <c r="E2482" s="883">
        <v>40892</v>
      </c>
      <c r="F2482" s="40" t="s">
        <v>598</v>
      </c>
      <c r="G2482" s="40"/>
      <c r="H2482" s="628" t="s">
        <v>1092</v>
      </c>
      <c r="I2482" s="256">
        <v>2</v>
      </c>
      <c r="J2482" s="256">
        <v>17374</v>
      </c>
      <c r="K2482" s="614">
        <f t="shared" si="203"/>
        <v>34748</v>
      </c>
      <c r="L2482" s="52" t="s">
        <v>157</v>
      </c>
      <c r="M2482" s="52" t="s">
        <v>151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94"/>
    </row>
    <row r="2483" spans="1:27" ht="15.75" customHeight="1">
      <c r="A2483" s="204" t="str">
        <f>IF(B2483&lt;&gt;"",IF(AND(B2483&gt;=_TM1,B2483&lt;=_TM2,OR(TH!L2483="1111",TH!M2483="1111")),TH!D2483,""),"")</f>
        <v/>
      </c>
      <c r="B2483" s="36">
        <f t="shared" si="201"/>
        <v>12</v>
      </c>
      <c r="C2483" s="191">
        <f t="shared" si="202"/>
        <v>40894</v>
      </c>
      <c r="D2483" s="860" t="s">
        <v>1217</v>
      </c>
      <c r="E2483" s="883">
        <v>40894</v>
      </c>
      <c r="F2483" s="40" t="s">
        <v>650</v>
      </c>
      <c r="G2483" s="40"/>
      <c r="H2483" s="628" t="s">
        <v>1092</v>
      </c>
      <c r="I2483" s="256">
        <v>7</v>
      </c>
      <c r="J2483" s="256">
        <v>15443</v>
      </c>
      <c r="K2483" s="614">
        <f t="shared" si="203"/>
        <v>108101</v>
      </c>
      <c r="L2483" s="52" t="s">
        <v>157</v>
      </c>
      <c r="M2483" s="52" t="s">
        <v>151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94"/>
    </row>
    <row r="2484" spans="1:27" ht="15.75" customHeight="1">
      <c r="A2484" s="204" t="str">
        <f>IF(B2484&lt;&gt;"",IF(AND(B2484&gt;=_TM1,B2484&lt;=_TM2,OR(TH!L2484="1111",TH!M2484="1111")),TH!D2484,""),"")</f>
        <v/>
      </c>
      <c r="B2484" s="36">
        <f t="shared" si="201"/>
        <v>12</v>
      </c>
      <c r="C2484" s="191">
        <f t="shared" si="202"/>
        <v>40894</v>
      </c>
      <c r="D2484" s="860" t="s">
        <v>1217</v>
      </c>
      <c r="E2484" s="883">
        <v>40894</v>
      </c>
      <c r="F2484" s="40" t="s">
        <v>598</v>
      </c>
      <c r="G2484" s="40"/>
      <c r="H2484" s="628" t="s">
        <v>1092</v>
      </c>
      <c r="I2484" s="256">
        <v>4</v>
      </c>
      <c r="J2484" s="256">
        <v>17374</v>
      </c>
      <c r="K2484" s="614">
        <f t="shared" si="203"/>
        <v>69496</v>
      </c>
      <c r="L2484" s="52" t="s">
        <v>157</v>
      </c>
      <c r="M2484" s="52" t="s">
        <v>151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94"/>
    </row>
    <row r="2485" spans="1:27" ht="15.75" customHeight="1">
      <c r="A2485" s="204" t="str">
        <f>IF(B2485&lt;&gt;"",IF(AND(B2485&gt;=_TM1,B2485&lt;=_TM2,OR(TH!L2485="1111",TH!M2485="1111")),TH!D2485,""),"")</f>
        <v/>
      </c>
      <c r="B2485" s="36">
        <f t="shared" si="201"/>
        <v>12</v>
      </c>
      <c r="C2485" s="191">
        <f t="shared" si="202"/>
        <v>40894</v>
      </c>
      <c r="D2485" s="860" t="s">
        <v>1217</v>
      </c>
      <c r="E2485" s="883">
        <v>40894</v>
      </c>
      <c r="F2485" s="40" t="s">
        <v>598</v>
      </c>
      <c r="G2485" s="40"/>
      <c r="H2485" s="628" t="s">
        <v>1092</v>
      </c>
      <c r="I2485" s="256">
        <v>4</v>
      </c>
      <c r="J2485" s="256">
        <v>17374</v>
      </c>
      <c r="K2485" s="614">
        <f t="shared" si="203"/>
        <v>69496</v>
      </c>
      <c r="L2485" s="52" t="s">
        <v>157</v>
      </c>
      <c r="M2485" s="52" t="s">
        <v>151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94"/>
    </row>
    <row r="2486" spans="1:27" ht="15.75" customHeight="1">
      <c r="A2486" s="204" t="str">
        <f>IF(B2486&lt;&gt;"",IF(AND(B2486&gt;=_TM1,B2486&lt;=_TM2,OR(TH!L2486="1111",TH!M2486="1111")),TH!D2486,""),"")</f>
        <v/>
      </c>
      <c r="B2486" s="36">
        <f t="shared" si="201"/>
        <v>12</v>
      </c>
      <c r="C2486" s="191">
        <f t="shared" si="202"/>
        <v>40894</v>
      </c>
      <c r="D2486" s="860" t="s">
        <v>1217</v>
      </c>
      <c r="E2486" s="883">
        <v>40894</v>
      </c>
      <c r="F2486" s="189" t="s">
        <v>507</v>
      </c>
      <c r="G2486" s="40"/>
      <c r="H2486" s="628" t="s">
        <v>1092</v>
      </c>
      <c r="I2486" s="256">
        <v>27</v>
      </c>
      <c r="J2486" s="256">
        <v>8620</v>
      </c>
      <c r="K2486" s="614">
        <f t="shared" si="203"/>
        <v>232740</v>
      </c>
      <c r="L2486" s="52" t="s">
        <v>157</v>
      </c>
      <c r="M2486" s="52" t="s">
        <v>151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94"/>
    </row>
    <row r="2487" spans="1:27" ht="15.75" customHeight="1">
      <c r="A2487" s="204" t="str">
        <f>IF(B2487&lt;&gt;"",IF(AND(B2487&gt;=_TM1,B2487&lt;=_TM2,OR(TH!L2487="1111",TH!M2487="1111")),TH!D2487,""),"")</f>
        <v/>
      </c>
      <c r="B2487" s="36">
        <f t="shared" si="201"/>
        <v>12</v>
      </c>
      <c r="C2487" s="191">
        <f t="shared" si="202"/>
        <v>40894</v>
      </c>
      <c r="D2487" s="860" t="s">
        <v>1217</v>
      </c>
      <c r="E2487" s="883">
        <v>40894</v>
      </c>
      <c r="F2487" s="40" t="s">
        <v>598</v>
      </c>
      <c r="G2487" s="40"/>
      <c r="H2487" s="628" t="s">
        <v>1092</v>
      </c>
      <c r="I2487" s="256">
        <v>1</v>
      </c>
      <c r="J2487" s="256">
        <v>17374</v>
      </c>
      <c r="K2487" s="614">
        <f t="shared" si="203"/>
        <v>17374</v>
      </c>
      <c r="L2487" s="52" t="s">
        <v>157</v>
      </c>
      <c r="M2487" s="52" t="s">
        <v>151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94"/>
    </row>
    <row r="2488" spans="1:27" ht="15.75" customHeight="1">
      <c r="A2488" s="204" t="str">
        <f>IF(B2488&lt;&gt;"",IF(AND(B2488&gt;=_TM1,B2488&lt;=_TM2,OR(TH!L2488="1111",TH!M2488="1111")),TH!D2488,""),"")</f>
        <v/>
      </c>
      <c r="B2488" s="36">
        <f t="shared" si="201"/>
        <v>12</v>
      </c>
      <c r="C2488" s="191">
        <f t="shared" si="202"/>
        <v>40894</v>
      </c>
      <c r="D2488" s="860" t="s">
        <v>1217</v>
      </c>
      <c r="E2488" s="883">
        <v>40894</v>
      </c>
      <c r="F2488" s="40" t="s">
        <v>598</v>
      </c>
      <c r="G2488" s="40"/>
      <c r="H2488" s="628" t="s">
        <v>1092</v>
      </c>
      <c r="I2488" s="256">
        <v>2</v>
      </c>
      <c r="J2488" s="256">
        <v>17374</v>
      </c>
      <c r="K2488" s="614">
        <f t="shared" si="203"/>
        <v>34748</v>
      </c>
      <c r="L2488" s="52" t="s">
        <v>157</v>
      </c>
      <c r="M2488" s="52" t="s">
        <v>151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94"/>
    </row>
    <row r="2489" spans="1:27" ht="15.75" customHeight="1">
      <c r="A2489" s="204" t="str">
        <f>IF(B2489&lt;&gt;"",IF(AND(B2489&gt;=_TM1,B2489&lt;=_TM2,OR(TH!L2489="1111",TH!M2489="1111")),TH!D2489,""),"")</f>
        <v/>
      </c>
      <c r="B2489" s="36">
        <f t="shared" si="201"/>
        <v>12</v>
      </c>
      <c r="C2489" s="191">
        <f t="shared" si="202"/>
        <v>40894</v>
      </c>
      <c r="D2489" s="860" t="s">
        <v>1217</v>
      </c>
      <c r="E2489" s="883">
        <v>40894</v>
      </c>
      <c r="F2489" s="40" t="s">
        <v>649</v>
      </c>
      <c r="G2489" s="40"/>
      <c r="H2489" s="628" t="s">
        <v>1092</v>
      </c>
      <c r="I2489" s="256">
        <v>5</v>
      </c>
      <c r="J2489" s="256">
        <v>16502</v>
      </c>
      <c r="K2489" s="614">
        <f t="shared" si="203"/>
        <v>82510</v>
      </c>
      <c r="L2489" s="52" t="s">
        <v>157</v>
      </c>
      <c r="M2489" s="52" t="s">
        <v>151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94"/>
    </row>
    <row r="2490" spans="1:27" ht="15.75" customHeight="1">
      <c r="A2490" s="204" t="str">
        <f>IF(B2490&lt;&gt;"",IF(AND(B2490&gt;=_TM1,B2490&lt;=_TM2,OR(TH!L2490="1111",TH!M2490="1111")),TH!D2490,""),"")</f>
        <v/>
      </c>
      <c r="B2490" s="36">
        <f t="shared" si="201"/>
        <v>12</v>
      </c>
      <c r="C2490" s="191">
        <f t="shared" si="202"/>
        <v>40894</v>
      </c>
      <c r="D2490" s="860" t="s">
        <v>1217</v>
      </c>
      <c r="E2490" s="883">
        <v>40894</v>
      </c>
      <c r="F2490" s="40" t="s">
        <v>645</v>
      </c>
      <c r="G2490" s="40"/>
      <c r="H2490" s="628" t="s">
        <v>1092</v>
      </c>
      <c r="I2490" s="256">
        <v>2</v>
      </c>
      <c r="J2490" s="256">
        <v>32878</v>
      </c>
      <c r="K2490" s="614">
        <f t="shared" si="203"/>
        <v>65756</v>
      </c>
      <c r="L2490" s="52" t="s">
        <v>157</v>
      </c>
      <c r="M2490" s="52" t="s">
        <v>151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94"/>
    </row>
    <row r="2491" spans="1:27" ht="15.75" customHeight="1">
      <c r="A2491" s="204" t="str">
        <f>IF(B2491&lt;&gt;"",IF(AND(B2491&gt;=_TM1,B2491&lt;=_TM2,OR(TH!L2491="1111",TH!M2491="1111")),TH!D2491,""),"")</f>
        <v/>
      </c>
      <c r="B2491" s="36">
        <f t="shared" si="201"/>
        <v>12</v>
      </c>
      <c r="C2491" s="191">
        <f t="shared" si="202"/>
        <v>40894</v>
      </c>
      <c r="D2491" s="860" t="s">
        <v>1217</v>
      </c>
      <c r="E2491" s="883">
        <v>40894</v>
      </c>
      <c r="F2491" s="189" t="s">
        <v>507</v>
      </c>
      <c r="G2491" s="40"/>
      <c r="H2491" s="628" t="s">
        <v>1092</v>
      </c>
      <c r="I2491" s="256">
        <v>1</v>
      </c>
      <c r="J2491" s="256">
        <v>8620</v>
      </c>
      <c r="K2491" s="614">
        <f t="shared" si="203"/>
        <v>8620</v>
      </c>
      <c r="L2491" s="52" t="s">
        <v>157</v>
      </c>
      <c r="M2491" s="52" t="s">
        <v>151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94"/>
    </row>
    <row r="2492" spans="1:27" ht="15.75" customHeight="1">
      <c r="A2492" s="204" t="str">
        <f>IF(B2492&lt;&gt;"",IF(AND(B2492&gt;=_TM1,B2492&lt;=_TM2,OR(TH!L2492="1111",TH!M2492="1111")),TH!D2492,""),"")</f>
        <v/>
      </c>
      <c r="B2492" s="36">
        <f t="shared" si="201"/>
        <v>12</v>
      </c>
      <c r="C2492" s="184">
        <v>40896</v>
      </c>
      <c r="D2492" s="184" t="s">
        <v>333</v>
      </c>
      <c r="E2492" s="896">
        <v>40896</v>
      </c>
      <c r="F2492" s="189" t="s">
        <v>335</v>
      </c>
      <c r="G2492" s="616" t="s">
        <v>330</v>
      </c>
      <c r="H2492" s="7" t="s">
        <v>735</v>
      </c>
      <c r="I2492" s="256"/>
      <c r="J2492" s="256"/>
      <c r="K2492" s="614">
        <v>18823000</v>
      </c>
      <c r="L2492" s="615" t="s">
        <v>23</v>
      </c>
      <c r="M2492" s="615" t="s">
        <v>259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94"/>
    </row>
    <row r="2493" spans="1:27" ht="15.75" customHeight="1">
      <c r="A2493" s="204" t="str">
        <f>IF(B2493&lt;&gt;"",IF(AND(B2493&gt;=_TM1,B2493&lt;=_TM2,OR(TH!L2493="1111",TH!M2493="1111")),TH!D2493,""),"")</f>
        <v>C20</v>
      </c>
      <c r="B2493" s="36">
        <f t="shared" si="201"/>
        <v>12</v>
      </c>
      <c r="C2493" s="191">
        <v>40896</v>
      </c>
      <c r="D2493" s="191" t="s">
        <v>670</v>
      </c>
      <c r="E2493" s="883">
        <v>40896</v>
      </c>
      <c r="F2493" s="192" t="s">
        <v>448</v>
      </c>
      <c r="G2493" s="498" t="s">
        <v>1346</v>
      </c>
      <c r="H2493" s="45" t="s">
        <v>451</v>
      </c>
      <c r="I2493" s="256"/>
      <c r="J2493" s="256"/>
      <c r="K2493" s="38">
        <v>318920</v>
      </c>
      <c r="L2493" s="194" t="s">
        <v>157</v>
      </c>
      <c r="M2493" s="194" t="s">
        <v>46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94"/>
    </row>
    <row r="2494" spans="1:27" ht="15.75" customHeight="1">
      <c r="A2494" s="204" t="str">
        <f>IF(B2494&lt;&gt;"",IF(AND(B2494&gt;=_TM1,B2494&lt;=_TM2,OR(TH!L2494="1111",TH!M2494="1111")),TH!D2494,""),"")</f>
        <v>C20</v>
      </c>
      <c r="B2494" s="36">
        <f t="shared" si="201"/>
        <v>12</v>
      </c>
      <c r="C2494" s="191">
        <v>40896</v>
      </c>
      <c r="D2494" s="191" t="s">
        <v>670</v>
      </c>
      <c r="E2494" s="883">
        <v>40896</v>
      </c>
      <c r="F2494" s="192" t="s">
        <v>449</v>
      </c>
      <c r="G2494" s="498" t="s">
        <v>1346</v>
      </c>
      <c r="H2494" s="45" t="s">
        <v>451</v>
      </c>
      <c r="I2494" s="256"/>
      <c r="J2494" s="256"/>
      <c r="K2494" s="38">
        <v>31892</v>
      </c>
      <c r="L2494" s="194" t="s">
        <v>9</v>
      </c>
      <c r="M2494" s="194" t="s">
        <v>46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94"/>
    </row>
    <row r="2495" spans="1:27" ht="15.75" customHeight="1">
      <c r="A2495" s="204" t="str">
        <f>IF(B2495&lt;&gt;"",IF(AND(B2495&gt;=_TM1,B2495&lt;=_TM2,OR(TH!L2495="1111",TH!M2495="1111")),TH!D2495,""),"")</f>
        <v/>
      </c>
      <c r="B2495" s="36">
        <f t="shared" si="201"/>
        <v>12</v>
      </c>
      <c r="C2495" s="191">
        <v>40896</v>
      </c>
      <c r="D2495" s="191" t="s">
        <v>975</v>
      </c>
      <c r="E2495" s="883">
        <v>40896</v>
      </c>
      <c r="F2495" s="192" t="s">
        <v>1348</v>
      </c>
      <c r="G2495" s="498" t="s">
        <v>1349</v>
      </c>
      <c r="H2495" s="7" t="s">
        <v>767</v>
      </c>
      <c r="I2495" s="256">
        <v>470</v>
      </c>
      <c r="J2495" s="256">
        <v>22000</v>
      </c>
      <c r="K2495" s="614">
        <v>10340000</v>
      </c>
      <c r="L2495" s="194" t="s">
        <v>259</v>
      </c>
      <c r="M2495" s="194" t="s">
        <v>167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94"/>
    </row>
    <row r="2496" spans="1:27" ht="15.75" customHeight="1">
      <c r="A2496" s="204" t="str">
        <f>IF(B2496&lt;&gt;"",IF(AND(B2496&gt;=_TM1,B2496&lt;=_TM2,OR(TH!L2496="1111",TH!M2496="1111")),TH!D2496,""),"")</f>
        <v/>
      </c>
      <c r="B2496" s="36">
        <f t="shared" si="201"/>
        <v>12</v>
      </c>
      <c r="C2496" s="191">
        <v>40896</v>
      </c>
      <c r="D2496" s="191" t="s">
        <v>975</v>
      </c>
      <c r="E2496" s="883">
        <v>40896</v>
      </c>
      <c r="F2496" s="192" t="s">
        <v>1344</v>
      </c>
      <c r="G2496" s="498" t="s">
        <v>1349</v>
      </c>
      <c r="H2496" s="7" t="s">
        <v>767</v>
      </c>
      <c r="I2496" s="256"/>
      <c r="J2496" s="256"/>
      <c r="K2496" s="614">
        <v>1034000</v>
      </c>
      <c r="L2496" s="194" t="s">
        <v>259</v>
      </c>
      <c r="M2496" s="194" t="s">
        <v>731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94"/>
    </row>
    <row r="2497" spans="1:27" ht="15.75" customHeight="1">
      <c r="A2497" s="204" t="str">
        <f>IF(B2497&lt;&gt;"",IF(AND(B2497&gt;=_TM1,B2497&lt;=_TM2,OR(TH!L2497="1111",TH!M2497="1111")),TH!D2497,""),"")</f>
        <v/>
      </c>
      <c r="B2497" s="36">
        <f t="shared" si="201"/>
        <v>12</v>
      </c>
      <c r="C2497" s="191">
        <f t="shared" ref="C2497:C2502" si="204">E2497</f>
        <v>40896</v>
      </c>
      <c r="D2497" s="860" t="s">
        <v>1418</v>
      </c>
      <c r="E2497" s="883">
        <v>40896</v>
      </c>
      <c r="F2497" s="40" t="s">
        <v>639</v>
      </c>
      <c r="G2497" s="40"/>
      <c r="H2497" s="628" t="s">
        <v>1092</v>
      </c>
      <c r="I2497" s="256">
        <v>2</v>
      </c>
      <c r="J2497" s="256">
        <v>27283</v>
      </c>
      <c r="K2497" s="614">
        <f t="shared" ref="K2497:K2502" si="205">ROUND(I2497*J2497,0)</f>
        <v>54566</v>
      </c>
      <c r="L2497" s="52" t="s">
        <v>157</v>
      </c>
      <c r="M2497" s="52" t="s">
        <v>151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94"/>
    </row>
    <row r="2498" spans="1:27" ht="15.75" customHeight="1">
      <c r="A2498" s="204" t="str">
        <f>IF(B2498&lt;&gt;"",IF(AND(B2498&gt;=_TM1,B2498&lt;=_TM2,OR(TH!L2498="1111",TH!M2498="1111")),TH!D2498,""),"")</f>
        <v/>
      </c>
      <c r="B2498" s="36">
        <f t="shared" si="201"/>
        <v>12</v>
      </c>
      <c r="C2498" s="191">
        <f t="shared" si="204"/>
        <v>40896</v>
      </c>
      <c r="D2498" s="860" t="s">
        <v>1418</v>
      </c>
      <c r="E2498" s="883">
        <v>40896</v>
      </c>
      <c r="F2498" s="40" t="s">
        <v>656</v>
      </c>
      <c r="G2498" s="40"/>
      <c r="H2498" s="628" t="s">
        <v>1092</v>
      </c>
      <c r="I2498" s="256">
        <v>227</v>
      </c>
      <c r="J2498" s="256">
        <v>16631</v>
      </c>
      <c r="K2498" s="614">
        <f t="shared" si="205"/>
        <v>3775237</v>
      </c>
      <c r="L2498" s="52" t="s">
        <v>157</v>
      </c>
      <c r="M2498" s="52" t="s">
        <v>151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94"/>
    </row>
    <row r="2499" spans="1:27" ht="15.75" customHeight="1">
      <c r="A2499" s="204" t="str">
        <f>IF(B2499&lt;&gt;"",IF(AND(B2499&gt;=_TM1,B2499&lt;=_TM2,OR(TH!L2499="1111",TH!M2499="1111")),TH!D2499,""),"")</f>
        <v/>
      </c>
      <c r="B2499" s="36">
        <f t="shared" si="201"/>
        <v>12</v>
      </c>
      <c r="C2499" s="191">
        <f t="shared" si="204"/>
        <v>40896</v>
      </c>
      <c r="D2499" s="860" t="s">
        <v>1418</v>
      </c>
      <c r="E2499" s="883">
        <v>40896</v>
      </c>
      <c r="F2499" s="40" t="s">
        <v>656</v>
      </c>
      <c r="G2499" s="40"/>
      <c r="H2499" s="628" t="s">
        <v>1092</v>
      </c>
      <c r="I2499" s="256">
        <v>195</v>
      </c>
      <c r="J2499" s="256">
        <v>16631</v>
      </c>
      <c r="K2499" s="614">
        <f t="shared" si="205"/>
        <v>3243045</v>
      </c>
      <c r="L2499" s="52" t="s">
        <v>157</v>
      </c>
      <c r="M2499" s="52" t="s">
        <v>151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94"/>
    </row>
    <row r="2500" spans="1:27" ht="15.75" customHeight="1">
      <c r="A2500" s="204" t="str">
        <f>IF(B2500&lt;&gt;"",IF(AND(B2500&gt;=_TM1,B2500&lt;=_TM2,OR(TH!L2500="1111",TH!M2500="1111")),TH!D2500,""),"")</f>
        <v/>
      </c>
      <c r="B2500" s="36">
        <f t="shared" si="201"/>
        <v>12</v>
      </c>
      <c r="C2500" s="191">
        <f t="shared" si="204"/>
        <v>40896</v>
      </c>
      <c r="D2500" s="860" t="s">
        <v>1418</v>
      </c>
      <c r="E2500" s="883">
        <v>40896</v>
      </c>
      <c r="F2500" s="40" t="s">
        <v>645</v>
      </c>
      <c r="G2500" s="40"/>
      <c r="H2500" s="628" t="s">
        <v>1092</v>
      </c>
      <c r="I2500" s="256">
        <v>116</v>
      </c>
      <c r="J2500" s="256">
        <v>32878</v>
      </c>
      <c r="K2500" s="614">
        <f t="shared" si="205"/>
        <v>3813848</v>
      </c>
      <c r="L2500" s="52" t="s">
        <v>157</v>
      </c>
      <c r="M2500" s="52" t="s">
        <v>151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94"/>
    </row>
    <row r="2501" spans="1:27" ht="15.75" customHeight="1">
      <c r="A2501" s="204" t="str">
        <f>IF(B2501&lt;&gt;"",IF(AND(B2501&gt;=_TM1,B2501&lt;=_TM2,OR(TH!L2501="1111",TH!M2501="1111")),TH!D2501,""),"")</f>
        <v/>
      </c>
      <c r="B2501" s="36">
        <f t="shared" si="201"/>
        <v>12</v>
      </c>
      <c r="C2501" s="191">
        <f t="shared" si="204"/>
        <v>40896</v>
      </c>
      <c r="D2501" s="48" t="s">
        <v>1404</v>
      </c>
      <c r="E2501" s="883">
        <v>40896</v>
      </c>
      <c r="F2501" s="456" t="s">
        <v>1348</v>
      </c>
      <c r="G2501" s="40"/>
      <c r="H2501" s="628" t="s">
        <v>1092</v>
      </c>
      <c r="I2501" s="256">
        <v>470</v>
      </c>
      <c r="J2501" s="256">
        <v>17737.506058185867</v>
      </c>
      <c r="K2501" s="614">
        <f t="shared" si="205"/>
        <v>8336628</v>
      </c>
      <c r="L2501" s="39" t="s">
        <v>159</v>
      </c>
      <c r="M2501" s="39" t="s">
        <v>157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94"/>
    </row>
    <row r="2502" spans="1:27" ht="15.75" customHeight="1">
      <c r="A2502" s="204" t="str">
        <f>IF(B2502&lt;&gt;"",IF(AND(B2502&gt;=_TM1,B2502&lt;=_TM2,OR(TH!L2502="1111",TH!M2502="1111")),TH!D2502,""),"")</f>
        <v/>
      </c>
      <c r="B2502" s="36">
        <f t="shared" si="201"/>
        <v>12</v>
      </c>
      <c r="C2502" s="191">
        <f t="shared" si="204"/>
        <v>40896</v>
      </c>
      <c r="D2502" s="37" t="s">
        <v>975</v>
      </c>
      <c r="E2502" s="883">
        <v>40896</v>
      </c>
      <c r="F2502" s="192" t="s">
        <v>1348</v>
      </c>
      <c r="G2502" s="498" t="s">
        <v>1349</v>
      </c>
      <c r="H2502" s="7" t="s">
        <v>767</v>
      </c>
      <c r="I2502" s="256">
        <v>470</v>
      </c>
      <c r="J2502" s="256">
        <v>17737.506058185867</v>
      </c>
      <c r="K2502" s="866">
        <f t="shared" si="205"/>
        <v>8336628</v>
      </c>
      <c r="L2502" s="854" t="s">
        <v>165</v>
      </c>
      <c r="M2502" s="854" t="s">
        <v>159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94"/>
    </row>
    <row r="2503" spans="1:27" ht="15.75" customHeight="1">
      <c r="A2503" s="204" t="str">
        <f>IF(B2503&lt;&gt;"",IF(AND(B2503&gt;=_TM1,B2503&lt;=_TM2,OR(TH!L2503="1111",TH!M2503="1111")),TH!D2503,""),"")</f>
        <v/>
      </c>
      <c r="B2503" s="36">
        <f t="shared" si="201"/>
        <v>12</v>
      </c>
      <c r="C2503" s="191">
        <v>40897</v>
      </c>
      <c r="D2503" s="191" t="s">
        <v>976</v>
      </c>
      <c r="E2503" s="883">
        <v>40897</v>
      </c>
      <c r="F2503" s="192" t="s">
        <v>1304</v>
      </c>
      <c r="G2503" s="498" t="s">
        <v>1352</v>
      </c>
      <c r="H2503" s="193" t="s">
        <v>733</v>
      </c>
      <c r="I2503" s="256">
        <v>2</v>
      </c>
      <c r="J2503" s="256">
        <v>9449</v>
      </c>
      <c r="K2503" s="614">
        <v>18898</v>
      </c>
      <c r="L2503" s="194" t="s">
        <v>259</v>
      </c>
      <c r="M2503" s="194" t="s">
        <v>167</v>
      </c>
      <c r="N2503" s="52" t="str">
        <f>IF(AND('331-CT'!$E$7=TH!H2503,OR(L2503="331",M2503="331")),"331",IF(AND(OR(L2503="131",M2503="131"),H2503='131-CT'!$E$7),"131",""))</f>
        <v>131</v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94"/>
    </row>
    <row r="2504" spans="1:27" ht="15.75" customHeight="1">
      <c r="A2504" s="204" t="str">
        <f>IF(B2504&lt;&gt;"",IF(AND(B2504&gt;=_TM1,B2504&lt;=_TM2,OR(TH!L2504="1111",TH!M2504="1111")),TH!D2504,""),"")</f>
        <v/>
      </c>
      <c r="B2504" s="36">
        <f t="shared" si="201"/>
        <v>12</v>
      </c>
      <c r="C2504" s="191">
        <v>40897</v>
      </c>
      <c r="D2504" s="191" t="s">
        <v>976</v>
      </c>
      <c r="E2504" s="883">
        <v>40897</v>
      </c>
      <c r="F2504" s="192" t="s">
        <v>1353</v>
      </c>
      <c r="G2504" s="498" t="s">
        <v>1352</v>
      </c>
      <c r="H2504" s="193" t="s">
        <v>733</v>
      </c>
      <c r="I2504" s="256">
        <v>5</v>
      </c>
      <c r="J2504" s="256">
        <v>8637</v>
      </c>
      <c r="K2504" s="614">
        <v>43185</v>
      </c>
      <c r="L2504" s="194" t="s">
        <v>259</v>
      </c>
      <c r="M2504" s="194" t="s">
        <v>167</v>
      </c>
      <c r="N2504" s="52" t="str">
        <f>IF(AND('331-CT'!$E$7=TH!H2504,OR(L2504="331",M2504="331")),"331",IF(AND(OR(L2504="131",M2504="131"),H2504='131-CT'!$E$7),"131",""))</f>
        <v>131</v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94"/>
    </row>
    <row r="2505" spans="1:27" ht="15.75" customHeight="1">
      <c r="A2505" s="204" t="str">
        <f>IF(B2505&lt;&gt;"",IF(AND(B2505&gt;=_TM1,B2505&lt;=_TM2,OR(TH!L2505="1111",TH!M2505="1111")),TH!D2505,""),"")</f>
        <v/>
      </c>
      <c r="B2505" s="36">
        <f t="shared" si="201"/>
        <v>12</v>
      </c>
      <c r="C2505" s="191">
        <v>40897</v>
      </c>
      <c r="D2505" s="191" t="s">
        <v>976</v>
      </c>
      <c r="E2505" s="883">
        <v>40897</v>
      </c>
      <c r="F2505" s="192" t="s">
        <v>748</v>
      </c>
      <c r="G2505" s="498" t="s">
        <v>1352</v>
      </c>
      <c r="H2505" s="193" t="s">
        <v>733</v>
      </c>
      <c r="I2505" s="256">
        <v>33</v>
      </c>
      <c r="J2505" s="256">
        <v>12946</v>
      </c>
      <c r="K2505" s="614">
        <v>427218</v>
      </c>
      <c r="L2505" s="194" t="s">
        <v>259</v>
      </c>
      <c r="M2505" s="194" t="s">
        <v>167</v>
      </c>
      <c r="N2505" s="52" t="str">
        <f>IF(AND('331-CT'!$E$7=TH!H2505,OR(L2505="331",M2505="331")),"331",IF(AND(OR(L2505="131",M2505="131"),H2505='131-CT'!$E$7),"131",""))</f>
        <v>131</v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94"/>
    </row>
    <row r="2506" spans="1:27" ht="15.75" customHeight="1">
      <c r="A2506" s="204" t="str">
        <f>IF(B2506&lt;&gt;"",IF(AND(B2506&gt;=_TM1,B2506&lt;=_TM2,OR(TH!L2506="1111",TH!M2506="1111")),TH!D2506,""),"")</f>
        <v/>
      </c>
      <c r="B2506" s="36">
        <f t="shared" si="201"/>
        <v>12</v>
      </c>
      <c r="C2506" s="191">
        <v>40897</v>
      </c>
      <c r="D2506" s="191" t="s">
        <v>976</v>
      </c>
      <c r="E2506" s="883">
        <v>40897</v>
      </c>
      <c r="F2506" s="192" t="s">
        <v>1354</v>
      </c>
      <c r="G2506" s="498" t="s">
        <v>1352</v>
      </c>
      <c r="H2506" s="193" t="s">
        <v>733</v>
      </c>
      <c r="I2506" s="256">
        <v>147</v>
      </c>
      <c r="J2506" s="256">
        <v>14013</v>
      </c>
      <c r="K2506" s="614">
        <v>2059911</v>
      </c>
      <c r="L2506" s="194" t="s">
        <v>259</v>
      </c>
      <c r="M2506" s="194" t="s">
        <v>167</v>
      </c>
      <c r="N2506" s="52" t="str">
        <f>IF(AND('331-CT'!$E$7=TH!H2506,OR(L2506="331",M2506="331")),"331",IF(AND(OR(L2506="131",M2506="131"),H2506='131-CT'!$E$7),"131",""))</f>
        <v>131</v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94"/>
    </row>
    <row r="2507" spans="1:27" ht="15.75" customHeight="1">
      <c r="A2507" s="204" t="str">
        <f>IF(B2507&lt;&gt;"",IF(AND(B2507&gt;=_TM1,B2507&lt;=_TM2,OR(TH!L2507="1111",TH!M2507="1111")),TH!D2507,""),"")</f>
        <v/>
      </c>
      <c r="B2507" s="36">
        <f t="shared" si="201"/>
        <v>12</v>
      </c>
      <c r="C2507" s="191">
        <v>40897</v>
      </c>
      <c r="D2507" s="191" t="s">
        <v>976</v>
      </c>
      <c r="E2507" s="883">
        <v>40897</v>
      </c>
      <c r="F2507" s="192" t="s">
        <v>1355</v>
      </c>
      <c r="G2507" s="498" t="s">
        <v>1352</v>
      </c>
      <c r="H2507" s="193" t="s">
        <v>733</v>
      </c>
      <c r="I2507" s="256">
        <v>52</v>
      </c>
      <c r="J2507" s="256">
        <v>17521</v>
      </c>
      <c r="K2507" s="614">
        <v>911092</v>
      </c>
      <c r="L2507" s="194" t="s">
        <v>259</v>
      </c>
      <c r="M2507" s="194" t="s">
        <v>167</v>
      </c>
      <c r="N2507" s="52" t="str">
        <f>IF(AND('331-CT'!$E$7=TH!H2507,OR(L2507="331",M2507="331")),"331",IF(AND(OR(L2507="131",M2507="131"),H2507='131-CT'!$E$7),"131",""))</f>
        <v>131</v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94"/>
    </row>
    <row r="2508" spans="1:27" ht="15.75" customHeight="1">
      <c r="A2508" s="204" t="str">
        <f>IF(B2508&lt;&gt;"",IF(AND(B2508&gt;=_TM1,B2508&lt;=_TM2,OR(TH!L2508="1111",TH!M2508="1111")),TH!D2508,""),"")</f>
        <v/>
      </c>
      <c r="B2508" s="36">
        <f t="shared" si="201"/>
        <v>12</v>
      </c>
      <c r="C2508" s="191">
        <v>40897</v>
      </c>
      <c r="D2508" s="191" t="s">
        <v>976</v>
      </c>
      <c r="E2508" s="883">
        <v>40897</v>
      </c>
      <c r="F2508" s="192" t="s">
        <v>1356</v>
      </c>
      <c r="G2508" s="498" t="s">
        <v>1352</v>
      </c>
      <c r="H2508" s="193" t="s">
        <v>733</v>
      </c>
      <c r="I2508" s="256">
        <v>61</v>
      </c>
      <c r="J2508" s="256">
        <v>18867</v>
      </c>
      <c r="K2508" s="614">
        <v>1150887</v>
      </c>
      <c r="L2508" s="194" t="s">
        <v>259</v>
      </c>
      <c r="M2508" s="194" t="s">
        <v>167</v>
      </c>
      <c r="N2508" s="52" t="str">
        <f>IF(AND('331-CT'!$E$7=TH!H2508,OR(L2508="331",M2508="331")),"331",IF(AND(OR(L2508="131",M2508="131"),H2508='131-CT'!$E$7),"131",""))</f>
        <v>131</v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94"/>
    </row>
    <row r="2509" spans="1:27" ht="15.75" customHeight="1">
      <c r="A2509" s="204" t="str">
        <f>IF(B2509&lt;&gt;"",IF(AND(B2509&gt;=_TM1,B2509&lt;=_TM2,OR(TH!L2509="1111",TH!M2509="1111")),TH!D2509,""),"")</f>
        <v/>
      </c>
      <c r="B2509" s="36">
        <f t="shared" si="201"/>
        <v>12</v>
      </c>
      <c r="C2509" s="191">
        <v>40897</v>
      </c>
      <c r="D2509" s="191" t="s">
        <v>976</v>
      </c>
      <c r="E2509" s="883">
        <v>40897</v>
      </c>
      <c r="F2509" s="192" t="s">
        <v>1357</v>
      </c>
      <c r="G2509" s="498" t="s">
        <v>1352</v>
      </c>
      <c r="H2509" s="193" t="s">
        <v>733</v>
      </c>
      <c r="I2509" s="256">
        <v>505</v>
      </c>
      <c r="J2509" s="256">
        <v>18984</v>
      </c>
      <c r="K2509" s="614">
        <v>9586920</v>
      </c>
      <c r="L2509" s="194" t="s">
        <v>259</v>
      </c>
      <c r="M2509" s="194" t="s">
        <v>167</v>
      </c>
      <c r="N2509" s="52" t="str">
        <f>IF(AND('331-CT'!$E$7=TH!H2509,OR(L2509="331",M2509="331")),"331",IF(AND(OR(L2509="131",M2509="131"),H2509='131-CT'!$E$7),"131",""))</f>
        <v>131</v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94"/>
    </row>
    <row r="2510" spans="1:27" ht="15.75" customHeight="1">
      <c r="A2510" s="204" t="str">
        <f>IF(B2510&lt;&gt;"",IF(AND(B2510&gt;=_TM1,B2510&lt;=_TM2,OR(TH!L2510="1111",TH!M2510="1111")),TH!D2510,""),"")</f>
        <v/>
      </c>
      <c r="B2510" s="36">
        <f t="shared" si="201"/>
        <v>12</v>
      </c>
      <c r="C2510" s="191">
        <v>40897</v>
      </c>
      <c r="D2510" s="191" t="s">
        <v>976</v>
      </c>
      <c r="E2510" s="883">
        <v>40897</v>
      </c>
      <c r="F2510" s="192" t="s">
        <v>1358</v>
      </c>
      <c r="G2510" s="498" t="s">
        <v>1352</v>
      </c>
      <c r="H2510" s="193" t="s">
        <v>733</v>
      </c>
      <c r="I2510" s="256">
        <v>61</v>
      </c>
      <c r="J2510" s="256">
        <v>12799</v>
      </c>
      <c r="K2510" s="614">
        <v>780739</v>
      </c>
      <c r="L2510" s="194" t="s">
        <v>259</v>
      </c>
      <c r="M2510" s="194" t="s">
        <v>167</v>
      </c>
      <c r="N2510" s="52" t="str">
        <f>IF(AND('331-CT'!$E$7=TH!H2510,OR(L2510="331",M2510="331")),"331",IF(AND(OR(L2510="131",M2510="131"),H2510='131-CT'!$E$7),"131",""))</f>
        <v>131</v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94"/>
    </row>
    <row r="2511" spans="1:27" ht="15.75" customHeight="1">
      <c r="A2511" s="204" t="str">
        <f>IF(B2511&lt;&gt;"",IF(AND(B2511&gt;=_TM1,B2511&lt;=_TM2,OR(TH!L2511="1111",TH!M2511="1111")),TH!D2511,""),"")</f>
        <v/>
      </c>
      <c r="B2511" s="36">
        <f t="shared" si="201"/>
        <v>12</v>
      </c>
      <c r="C2511" s="191">
        <v>40897</v>
      </c>
      <c r="D2511" s="191" t="s">
        <v>976</v>
      </c>
      <c r="E2511" s="883">
        <v>40897</v>
      </c>
      <c r="F2511" s="192" t="s">
        <v>747</v>
      </c>
      <c r="G2511" s="498" t="s">
        <v>1352</v>
      </c>
      <c r="H2511" s="193" t="s">
        <v>733</v>
      </c>
      <c r="I2511" s="256">
        <v>4</v>
      </c>
      <c r="J2511" s="256">
        <v>11321</v>
      </c>
      <c r="K2511" s="614">
        <v>45284</v>
      </c>
      <c r="L2511" s="194" t="s">
        <v>259</v>
      </c>
      <c r="M2511" s="194" t="s">
        <v>167</v>
      </c>
      <c r="N2511" s="52" t="str">
        <f>IF(AND('331-CT'!$E$7=TH!H2511,OR(L2511="331",M2511="331")),"331",IF(AND(OR(L2511="131",M2511="131"),H2511='131-CT'!$E$7),"131",""))</f>
        <v>131</v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94"/>
    </row>
    <row r="2512" spans="1:27" ht="15.75" customHeight="1">
      <c r="A2512" s="204" t="str">
        <f>IF(B2512&lt;&gt;"",IF(AND(B2512&gt;=_TM1,B2512&lt;=_TM2,OR(TH!L2512="1111",TH!M2512="1111")),TH!D2512,""),"")</f>
        <v/>
      </c>
      <c r="B2512" s="36">
        <f t="shared" si="201"/>
        <v>12</v>
      </c>
      <c r="C2512" s="191">
        <v>40897</v>
      </c>
      <c r="D2512" s="191" t="s">
        <v>976</v>
      </c>
      <c r="E2512" s="883">
        <v>40897</v>
      </c>
      <c r="F2512" s="192" t="s">
        <v>1359</v>
      </c>
      <c r="G2512" s="498" t="s">
        <v>1352</v>
      </c>
      <c r="H2512" s="193" t="s">
        <v>733</v>
      </c>
      <c r="I2512" s="256">
        <v>16</v>
      </c>
      <c r="J2512" s="256">
        <v>18928</v>
      </c>
      <c r="K2512" s="614">
        <v>302848</v>
      </c>
      <c r="L2512" s="194" t="s">
        <v>259</v>
      </c>
      <c r="M2512" s="194" t="s">
        <v>167</v>
      </c>
      <c r="N2512" s="52" t="str">
        <f>IF(AND('331-CT'!$E$7=TH!H2512,OR(L2512="331",M2512="331")),"331",IF(AND(OR(L2512="131",M2512="131"),H2512='131-CT'!$E$7),"131",""))</f>
        <v>131</v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94"/>
    </row>
    <row r="2513" spans="1:27" ht="15.75" customHeight="1">
      <c r="A2513" s="204" t="str">
        <f>IF(B2513&lt;&gt;"",IF(AND(B2513&gt;=_TM1,B2513&lt;=_TM2,OR(TH!L2513="1111",TH!M2513="1111")),TH!D2513,""),"")</f>
        <v/>
      </c>
      <c r="B2513" s="36">
        <f t="shared" si="201"/>
        <v>12</v>
      </c>
      <c r="C2513" s="191">
        <v>40897</v>
      </c>
      <c r="D2513" s="191" t="s">
        <v>976</v>
      </c>
      <c r="E2513" s="883">
        <v>40897</v>
      </c>
      <c r="F2513" s="192" t="s">
        <v>1360</v>
      </c>
      <c r="G2513" s="498" t="s">
        <v>1352</v>
      </c>
      <c r="H2513" s="193" t="s">
        <v>733</v>
      </c>
      <c r="I2513" s="256">
        <v>10</v>
      </c>
      <c r="J2513" s="256">
        <v>15524</v>
      </c>
      <c r="K2513" s="614">
        <v>155240</v>
      </c>
      <c r="L2513" s="194" t="s">
        <v>259</v>
      </c>
      <c r="M2513" s="194" t="s">
        <v>167</v>
      </c>
      <c r="N2513" s="52" t="str">
        <f>IF(AND('331-CT'!$E$7=TH!H2513,OR(L2513="331",M2513="331")),"331",IF(AND(OR(L2513="131",M2513="131"),H2513='131-CT'!$E$7),"131",""))</f>
        <v>131</v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94"/>
    </row>
    <row r="2514" spans="1:27" ht="15.75" customHeight="1">
      <c r="A2514" s="204" t="str">
        <f>IF(B2514&lt;&gt;"",IF(AND(B2514&gt;=_TM1,B2514&lt;=_TM2,OR(TH!L2514="1111",TH!M2514="1111")),TH!D2514,""),"")</f>
        <v/>
      </c>
      <c r="B2514" s="36">
        <f t="shared" si="201"/>
        <v>12</v>
      </c>
      <c r="C2514" s="191">
        <v>40897</v>
      </c>
      <c r="D2514" s="191" t="s">
        <v>976</v>
      </c>
      <c r="E2514" s="883">
        <v>40897</v>
      </c>
      <c r="F2514" s="192" t="s">
        <v>1361</v>
      </c>
      <c r="G2514" s="498" t="s">
        <v>1352</v>
      </c>
      <c r="H2514" s="193" t="s">
        <v>733</v>
      </c>
      <c r="I2514" s="256">
        <v>134</v>
      </c>
      <c r="J2514" s="256">
        <v>24159</v>
      </c>
      <c r="K2514" s="614">
        <v>3237306</v>
      </c>
      <c r="L2514" s="194" t="s">
        <v>259</v>
      </c>
      <c r="M2514" s="194" t="s">
        <v>167</v>
      </c>
      <c r="N2514" s="52" t="str">
        <f>IF(AND('331-CT'!$E$7=TH!H2514,OR(L2514="331",M2514="331")),"331",IF(AND(OR(L2514="131",M2514="131"),H2514='131-CT'!$E$7),"131",""))</f>
        <v>131</v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94"/>
    </row>
    <row r="2515" spans="1:27" ht="15.75" customHeight="1">
      <c r="A2515" s="204" t="str">
        <f>IF(B2515&lt;&gt;"",IF(AND(B2515&gt;=_TM1,B2515&lt;=_TM2,OR(TH!L2515="1111",TH!M2515="1111")),TH!D2515,""),"")</f>
        <v/>
      </c>
      <c r="B2515" s="36">
        <f t="shared" si="201"/>
        <v>12</v>
      </c>
      <c r="C2515" s="191">
        <v>40897</v>
      </c>
      <c r="D2515" s="191" t="s">
        <v>976</v>
      </c>
      <c r="E2515" s="883">
        <v>40897</v>
      </c>
      <c r="F2515" s="192" t="s">
        <v>1270</v>
      </c>
      <c r="G2515" s="498" t="s">
        <v>1352</v>
      </c>
      <c r="H2515" s="193" t="s">
        <v>733</v>
      </c>
      <c r="I2515" s="256">
        <v>223</v>
      </c>
      <c r="J2515" s="256">
        <v>14535</v>
      </c>
      <c r="K2515" s="614">
        <v>3241305</v>
      </c>
      <c r="L2515" s="194" t="s">
        <v>259</v>
      </c>
      <c r="M2515" s="194" t="s">
        <v>167</v>
      </c>
      <c r="N2515" s="52" t="str">
        <f>IF(AND('331-CT'!$E$7=TH!H2515,OR(L2515="331",M2515="331")),"331",IF(AND(OR(L2515="131",M2515="131"),H2515='131-CT'!$E$7),"131",""))</f>
        <v>131</v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94"/>
    </row>
    <row r="2516" spans="1:27" ht="15.75" customHeight="1">
      <c r="A2516" s="204" t="str">
        <f>IF(B2516&lt;&gt;"",IF(AND(B2516&gt;=_TM1,B2516&lt;=_TM2,OR(TH!L2516="1111",TH!M2516="1111")),TH!D2516,""),"")</f>
        <v/>
      </c>
      <c r="B2516" s="36">
        <f t="shared" si="201"/>
        <v>12</v>
      </c>
      <c r="C2516" s="191">
        <v>40897</v>
      </c>
      <c r="D2516" s="191" t="s">
        <v>976</v>
      </c>
      <c r="E2516" s="883">
        <v>40897</v>
      </c>
      <c r="F2516" s="192" t="s">
        <v>1362</v>
      </c>
      <c r="G2516" s="498" t="s">
        <v>1352</v>
      </c>
      <c r="H2516" s="193" t="s">
        <v>733</v>
      </c>
      <c r="I2516" s="256">
        <v>10</v>
      </c>
      <c r="J2516" s="256">
        <v>19562</v>
      </c>
      <c r="K2516" s="614">
        <v>195620</v>
      </c>
      <c r="L2516" s="194" t="s">
        <v>259</v>
      </c>
      <c r="M2516" s="194" t="s">
        <v>167</v>
      </c>
      <c r="N2516" s="52" t="str">
        <f>IF(AND('331-CT'!$E$7=TH!H2516,OR(L2516="331",M2516="331")),"331",IF(AND(OR(L2516="131",M2516="131"),H2516='131-CT'!$E$7),"131",""))</f>
        <v>131</v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94"/>
    </row>
    <row r="2517" spans="1:27" ht="15.75" customHeight="1">
      <c r="A2517" s="204" t="str">
        <f>IF(B2517&lt;&gt;"",IF(AND(B2517&gt;=_TM1,B2517&lt;=_TM2,OR(TH!L2517="1111",TH!M2517="1111")),TH!D2517,""),"")</f>
        <v/>
      </c>
      <c r="B2517" s="36">
        <f t="shared" si="201"/>
        <v>12</v>
      </c>
      <c r="C2517" s="191">
        <v>40897</v>
      </c>
      <c r="D2517" s="191" t="s">
        <v>976</v>
      </c>
      <c r="E2517" s="883">
        <v>40897</v>
      </c>
      <c r="F2517" s="192" t="s">
        <v>1267</v>
      </c>
      <c r="G2517" s="498" t="s">
        <v>1352</v>
      </c>
      <c r="H2517" s="193" t="s">
        <v>733</v>
      </c>
      <c r="I2517" s="256">
        <v>20</v>
      </c>
      <c r="J2517" s="256">
        <v>16832</v>
      </c>
      <c r="K2517" s="614">
        <v>336640</v>
      </c>
      <c r="L2517" s="194" t="s">
        <v>259</v>
      </c>
      <c r="M2517" s="194" t="s">
        <v>167</v>
      </c>
      <c r="N2517" s="52" t="str">
        <f>IF(AND('331-CT'!$E$7=TH!H2517,OR(L2517="331",M2517="331")),"331",IF(AND(OR(L2517="131",M2517="131"),H2517='131-CT'!$E$7),"131",""))</f>
        <v>131</v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94"/>
    </row>
    <row r="2518" spans="1:27" ht="15.75" customHeight="1">
      <c r="A2518" s="204" t="str">
        <f>IF(B2518&lt;&gt;"",IF(AND(B2518&gt;=_TM1,B2518&lt;=_TM2,OR(TH!L2518="1111",TH!M2518="1111")),TH!D2518,""),"")</f>
        <v/>
      </c>
      <c r="B2518" s="36">
        <f t="shared" si="201"/>
        <v>12</v>
      </c>
      <c r="C2518" s="191">
        <v>40897</v>
      </c>
      <c r="D2518" s="191" t="s">
        <v>976</v>
      </c>
      <c r="E2518" s="883">
        <v>40897</v>
      </c>
      <c r="F2518" s="192" t="s">
        <v>1298</v>
      </c>
      <c r="G2518" s="498" t="s">
        <v>1352</v>
      </c>
      <c r="H2518" s="193" t="s">
        <v>733</v>
      </c>
      <c r="I2518" s="256">
        <v>2</v>
      </c>
      <c r="J2518" s="256">
        <v>14836</v>
      </c>
      <c r="K2518" s="614">
        <v>29672</v>
      </c>
      <c r="L2518" s="194" t="s">
        <v>259</v>
      </c>
      <c r="M2518" s="194" t="s">
        <v>167</v>
      </c>
      <c r="N2518" s="52" t="str">
        <f>IF(AND('331-CT'!$E$7=TH!H2518,OR(L2518="331",M2518="331")),"331",IF(AND(OR(L2518="131",M2518="131"),H2518='131-CT'!$E$7),"131",""))</f>
        <v>131</v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94"/>
    </row>
    <row r="2519" spans="1:27" ht="15.75" customHeight="1">
      <c r="A2519" s="204" t="str">
        <f>IF(B2519&lt;&gt;"",IF(AND(B2519&gt;=_TM1,B2519&lt;=_TM2,OR(TH!L2519="1111",TH!M2519="1111")),TH!D2519,""),"")</f>
        <v/>
      </c>
      <c r="B2519" s="36">
        <f t="shared" si="201"/>
        <v>12</v>
      </c>
      <c r="C2519" s="191">
        <v>40897</v>
      </c>
      <c r="D2519" s="191" t="s">
        <v>976</v>
      </c>
      <c r="E2519" s="883">
        <v>40897</v>
      </c>
      <c r="F2519" s="192" t="s">
        <v>1363</v>
      </c>
      <c r="G2519" s="498" t="s">
        <v>1352</v>
      </c>
      <c r="H2519" s="193" t="s">
        <v>733</v>
      </c>
      <c r="I2519" s="256">
        <v>379</v>
      </c>
      <c r="J2519" s="256">
        <v>22739</v>
      </c>
      <c r="K2519" s="614">
        <v>8618081</v>
      </c>
      <c r="L2519" s="194" t="s">
        <v>259</v>
      </c>
      <c r="M2519" s="194" t="s">
        <v>167</v>
      </c>
      <c r="N2519" s="52" t="str">
        <f>IF(AND('331-CT'!$E$7=TH!H2519,OR(L2519="331",M2519="331")),"331",IF(AND(OR(L2519="131",M2519="131"),H2519='131-CT'!$E$7),"131",""))</f>
        <v>131</v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94"/>
    </row>
    <row r="2520" spans="1:27" ht="15.75" customHeight="1">
      <c r="A2520" s="204" t="str">
        <f>IF(B2520&lt;&gt;"",IF(AND(B2520&gt;=_TM1,B2520&lt;=_TM2,OR(TH!L2520="1111",TH!M2520="1111")),TH!D2520,""),"")</f>
        <v/>
      </c>
      <c r="B2520" s="36">
        <f t="shared" si="201"/>
        <v>12</v>
      </c>
      <c r="C2520" s="191">
        <v>40897</v>
      </c>
      <c r="D2520" s="191" t="s">
        <v>976</v>
      </c>
      <c r="E2520" s="883">
        <v>40897</v>
      </c>
      <c r="F2520" s="192" t="s">
        <v>1364</v>
      </c>
      <c r="G2520" s="498" t="s">
        <v>1352</v>
      </c>
      <c r="H2520" s="193" t="s">
        <v>733</v>
      </c>
      <c r="I2520" s="256">
        <v>82</v>
      </c>
      <c r="J2520" s="256">
        <v>23012</v>
      </c>
      <c r="K2520" s="614">
        <v>1886984</v>
      </c>
      <c r="L2520" s="194" t="s">
        <v>259</v>
      </c>
      <c r="M2520" s="194" t="s">
        <v>167</v>
      </c>
      <c r="N2520" s="52" t="str">
        <f>IF(AND('331-CT'!$E$7=TH!H2520,OR(L2520="331",M2520="331")),"331",IF(AND(OR(L2520="131",M2520="131"),H2520='131-CT'!$E$7),"131",""))</f>
        <v>131</v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94"/>
    </row>
    <row r="2521" spans="1:27" ht="15.75" customHeight="1">
      <c r="A2521" s="204" t="str">
        <f>IF(B2521&lt;&gt;"",IF(AND(B2521&gt;=_TM1,B2521&lt;=_TM2,OR(TH!L2521="1111",TH!M2521="1111")),TH!D2521,""),"")</f>
        <v/>
      </c>
      <c r="B2521" s="36">
        <f t="shared" si="201"/>
        <v>12</v>
      </c>
      <c r="C2521" s="191">
        <v>40897</v>
      </c>
      <c r="D2521" s="191" t="s">
        <v>976</v>
      </c>
      <c r="E2521" s="883">
        <v>40897</v>
      </c>
      <c r="F2521" s="192" t="s">
        <v>1365</v>
      </c>
      <c r="G2521" s="498" t="s">
        <v>1352</v>
      </c>
      <c r="H2521" s="193" t="s">
        <v>733</v>
      </c>
      <c r="I2521" s="256">
        <v>72</v>
      </c>
      <c r="J2521" s="256">
        <v>15805</v>
      </c>
      <c r="K2521" s="614">
        <v>1137960</v>
      </c>
      <c r="L2521" s="194" t="s">
        <v>259</v>
      </c>
      <c r="M2521" s="194" t="s">
        <v>167</v>
      </c>
      <c r="N2521" s="52" t="str">
        <f>IF(AND('331-CT'!$E$7=TH!H2521,OR(L2521="331",M2521="331")),"331",IF(AND(OR(L2521="131",M2521="131"),H2521='131-CT'!$E$7),"131",""))</f>
        <v>131</v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94"/>
    </row>
    <row r="2522" spans="1:27" ht="15.75" customHeight="1">
      <c r="A2522" s="204" t="str">
        <f>IF(B2522&lt;&gt;"",IF(AND(B2522&gt;=_TM1,B2522&lt;=_TM2,OR(TH!L2522="1111",TH!M2522="1111")),TH!D2522,""),"")</f>
        <v/>
      </c>
      <c r="B2522" s="36">
        <f t="shared" si="201"/>
        <v>12</v>
      </c>
      <c r="C2522" s="191">
        <v>40897</v>
      </c>
      <c r="D2522" s="191" t="s">
        <v>976</v>
      </c>
      <c r="E2522" s="883">
        <v>40897</v>
      </c>
      <c r="F2522" s="192" t="s">
        <v>1366</v>
      </c>
      <c r="G2522" s="498" t="s">
        <v>1352</v>
      </c>
      <c r="H2522" s="193" t="s">
        <v>733</v>
      </c>
      <c r="I2522" s="256">
        <v>52</v>
      </c>
      <c r="J2522" s="256">
        <v>15264</v>
      </c>
      <c r="K2522" s="614">
        <v>793728</v>
      </c>
      <c r="L2522" s="194" t="s">
        <v>259</v>
      </c>
      <c r="M2522" s="194" t="s">
        <v>167</v>
      </c>
      <c r="N2522" s="52" t="str">
        <f>IF(AND('331-CT'!$E$7=TH!H2522,OR(L2522="331",M2522="331")),"331",IF(AND(OR(L2522="131",M2522="131"),H2522='131-CT'!$E$7),"131",""))</f>
        <v>131</v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94"/>
    </row>
    <row r="2523" spans="1:27" ht="15.75" customHeight="1">
      <c r="A2523" s="204" t="str">
        <f>IF(B2523&lt;&gt;"",IF(AND(B2523&gt;=_TM1,B2523&lt;=_TM2,OR(TH!L2523="1111",TH!M2523="1111")),TH!D2523,""),"")</f>
        <v/>
      </c>
      <c r="B2523" s="36">
        <f t="shared" si="201"/>
        <v>12</v>
      </c>
      <c r="C2523" s="191">
        <v>40897</v>
      </c>
      <c r="D2523" s="191" t="s">
        <v>976</v>
      </c>
      <c r="E2523" s="883">
        <v>40897</v>
      </c>
      <c r="F2523" s="192" t="s">
        <v>1367</v>
      </c>
      <c r="G2523" s="498" t="s">
        <v>1352</v>
      </c>
      <c r="H2523" s="193" t="s">
        <v>733</v>
      </c>
      <c r="I2523" s="256">
        <v>51</v>
      </c>
      <c r="J2523" s="256">
        <v>16123</v>
      </c>
      <c r="K2523" s="614">
        <v>822273</v>
      </c>
      <c r="L2523" s="194" t="s">
        <v>259</v>
      </c>
      <c r="M2523" s="194" t="s">
        <v>167</v>
      </c>
      <c r="N2523" s="52" t="str">
        <f>IF(AND('331-CT'!$E$7=TH!H2523,OR(L2523="331",M2523="331")),"331",IF(AND(OR(L2523="131",M2523="131"),H2523='131-CT'!$E$7),"131",""))</f>
        <v>131</v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94"/>
    </row>
    <row r="2524" spans="1:27" ht="15.75" customHeight="1">
      <c r="A2524" s="204" t="str">
        <f>IF(B2524&lt;&gt;"",IF(AND(B2524&gt;=_TM1,B2524&lt;=_TM2,OR(TH!L2524="1111",TH!M2524="1111")),TH!D2524,""),"")</f>
        <v/>
      </c>
      <c r="B2524" s="36">
        <f t="shared" si="201"/>
        <v>12</v>
      </c>
      <c r="C2524" s="191">
        <v>40897</v>
      </c>
      <c r="D2524" s="191" t="s">
        <v>976</v>
      </c>
      <c r="E2524" s="883">
        <v>40897</v>
      </c>
      <c r="F2524" s="192" t="s">
        <v>1368</v>
      </c>
      <c r="G2524" s="498" t="s">
        <v>1352</v>
      </c>
      <c r="H2524" s="193" t="s">
        <v>733</v>
      </c>
      <c r="I2524" s="256">
        <v>51</v>
      </c>
      <c r="J2524" s="256">
        <v>19891</v>
      </c>
      <c r="K2524" s="614">
        <v>1014441</v>
      </c>
      <c r="L2524" s="194" t="s">
        <v>259</v>
      </c>
      <c r="M2524" s="194" t="s">
        <v>167</v>
      </c>
      <c r="N2524" s="52" t="str">
        <f>IF(AND('331-CT'!$E$7=TH!H2524,OR(L2524="331",M2524="331")),"331",IF(AND(OR(L2524="131",M2524="131"),H2524='131-CT'!$E$7),"131",""))</f>
        <v>131</v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94"/>
    </row>
    <row r="2525" spans="1:27" ht="15.75" customHeight="1">
      <c r="A2525" s="204" t="str">
        <f>IF(B2525&lt;&gt;"",IF(AND(B2525&gt;=_TM1,B2525&lt;=_TM2,OR(TH!L2525="1111",TH!M2525="1111")),TH!D2525,""),"")</f>
        <v/>
      </c>
      <c r="B2525" s="36">
        <f t="shared" si="201"/>
        <v>12</v>
      </c>
      <c r="C2525" s="191">
        <v>40897</v>
      </c>
      <c r="D2525" s="191" t="s">
        <v>976</v>
      </c>
      <c r="E2525" s="883">
        <v>40897</v>
      </c>
      <c r="F2525" s="192" t="s">
        <v>1369</v>
      </c>
      <c r="G2525" s="498" t="s">
        <v>1352</v>
      </c>
      <c r="H2525" s="193" t="s">
        <v>733</v>
      </c>
      <c r="I2525" s="256">
        <v>57</v>
      </c>
      <c r="J2525" s="256">
        <v>20859</v>
      </c>
      <c r="K2525" s="614">
        <v>1188963</v>
      </c>
      <c r="L2525" s="194" t="s">
        <v>259</v>
      </c>
      <c r="M2525" s="194" t="s">
        <v>167</v>
      </c>
      <c r="N2525" s="52" t="str">
        <f>IF(AND('331-CT'!$E$7=TH!H2525,OR(L2525="331",M2525="331")),"331",IF(AND(OR(L2525="131",M2525="131"),H2525='131-CT'!$E$7),"131",""))</f>
        <v>131</v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94"/>
    </row>
    <row r="2526" spans="1:27" ht="15.75" customHeight="1">
      <c r="A2526" s="204" t="str">
        <f>IF(B2526&lt;&gt;"",IF(AND(B2526&gt;=_TM1,B2526&lt;=_TM2,OR(TH!L2526="1111",TH!M2526="1111")),TH!D2526,""),"")</f>
        <v/>
      </c>
      <c r="B2526" s="36">
        <f t="shared" si="201"/>
        <v>12</v>
      </c>
      <c r="C2526" s="191">
        <v>40897</v>
      </c>
      <c r="D2526" s="191" t="s">
        <v>976</v>
      </c>
      <c r="E2526" s="883">
        <v>40897</v>
      </c>
      <c r="F2526" s="192" t="s">
        <v>1325</v>
      </c>
      <c r="G2526" s="498" t="s">
        <v>1352</v>
      </c>
      <c r="H2526" s="193" t="s">
        <v>733</v>
      </c>
      <c r="I2526" s="256">
        <v>150</v>
      </c>
      <c r="J2526" s="256">
        <v>963</v>
      </c>
      <c r="K2526" s="614">
        <v>144450</v>
      </c>
      <c r="L2526" s="194" t="s">
        <v>259</v>
      </c>
      <c r="M2526" s="194" t="s">
        <v>167</v>
      </c>
      <c r="N2526" s="52" t="str">
        <f>IF(AND('331-CT'!$E$7=TH!H2526,OR(L2526="331",M2526="331")),"331",IF(AND(OR(L2526="131",M2526="131"),H2526='131-CT'!$E$7),"131",""))</f>
        <v>131</v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94"/>
    </row>
    <row r="2527" spans="1:27" ht="15.75" customHeight="1">
      <c r="A2527" s="204" t="str">
        <f>IF(B2527&lt;&gt;"",IF(AND(B2527&gt;=_TM1,B2527&lt;=_TM2,OR(TH!L2527="1111",TH!M2527="1111")),TH!D2527,""),"")</f>
        <v/>
      </c>
      <c r="B2527" s="36">
        <f t="shared" si="201"/>
        <v>12</v>
      </c>
      <c r="C2527" s="191">
        <v>40897</v>
      </c>
      <c r="D2527" s="191" t="s">
        <v>976</v>
      </c>
      <c r="E2527" s="883">
        <v>40897</v>
      </c>
      <c r="F2527" s="192" t="s">
        <v>1316</v>
      </c>
      <c r="G2527" s="498" t="s">
        <v>1352</v>
      </c>
      <c r="H2527" s="193" t="s">
        <v>733</v>
      </c>
      <c r="I2527" s="256">
        <v>315</v>
      </c>
      <c r="J2527" s="256">
        <v>1025</v>
      </c>
      <c r="K2527" s="614">
        <v>322875</v>
      </c>
      <c r="L2527" s="194" t="s">
        <v>259</v>
      </c>
      <c r="M2527" s="194" t="s">
        <v>167</v>
      </c>
      <c r="N2527" s="52" t="str">
        <f>IF(AND('331-CT'!$E$7=TH!H2527,OR(L2527="331",M2527="331")),"331",IF(AND(OR(L2527="131",M2527="131"),H2527='131-CT'!$E$7),"131",""))</f>
        <v>131</v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94"/>
    </row>
    <row r="2528" spans="1:27" ht="15.75" customHeight="1">
      <c r="A2528" s="204" t="str">
        <f>IF(B2528&lt;&gt;"",IF(AND(B2528&gt;=_TM1,B2528&lt;=_TM2,OR(TH!L2528="1111",TH!M2528="1111")),TH!D2528,""),"")</f>
        <v/>
      </c>
      <c r="B2528" s="36">
        <f t="shared" ref="B2528:B2591" si="206">IF(C2528&lt;&gt;"",MONTH(C2528),"")</f>
        <v>12</v>
      </c>
      <c r="C2528" s="191">
        <v>40897</v>
      </c>
      <c r="D2528" s="191" t="s">
        <v>976</v>
      </c>
      <c r="E2528" s="883">
        <v>40897</v>
      </c>
      <c r="F2528" s="192" t="s">
        <v>1318</v>
      </c>
      <c r="G2528" s="498" t="s">
        <v>1352</v>
      </c>
      <c r="H2528" s="193" t="s">
        <v>733</v>
      </c>
      <c r="I2528" s="256">
        <v>120</v>
      </c>
      <c r="J2528" s="256">
        <v>1152</v>
      </c>
      <c r="K2528" s="614">
        <v>138240</v>
      </c>
      <c r="L2528" s="194" t="s">
        <v>259</v>
      </c>
      <c r="M2528" s="194" t="s">
        <v>167</v>
      </c>
      <c r="N2528" s="52" t="str">
        <f>IF(AND('331-CT'!$E$7=TH!H2528,OR(L2528="331",M2528="331")),"331",IF(AND(OR(L2528="131",M2528="131"),H2528='131-CT'!$E$7),"131",""))</f>
        <v>131</v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94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>
        <f t="shared" si="206"/>
        <v>12</v>
      </c>
      <c r="C2529" s="191">
        <v>40897</v>
      </c>
      <c r="D2529" s="191" t="s">
        <v>976</v>
      </c>
      <c r="E2529" s="883">
        <v>40897</v>
      </c>
      <c r="F2529" s="192" t="s">
        <v>1315</v>
      </c>
      <c r="G2529" s="498" t="s">
        <v>1352</v>
      </c>
      <c r="H2529" s="193" t="s">
        <v>733</v>
      </c>
      <c r="I2529" s="256">
        <v>120</v>
      </c>
      <c r="J2529" s="256">
        <v>1087</v>
      </c>
      <c r="K2529" s="614">
        <v>130440</v>
      </c>
      <c r="L2529" s="194" t="s">
        <v>259</v>
      </c>
      <c r="M2529" s="194" t="s">
        <v>167</v>
      </c>
      <c r="N2529" s="52" t="str">
        <f>IF(AND('331-CT'!$E$7=TH!H2529,OR(L2529="331",M2529="331")),"331",IF(AND(OR(L2529="131",M2529="131"),H2529='131-CT'!$E$7),"131",""))</f>
        <v>131</v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94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>
        <f t="shared" si="206"/>
        <v>12</v>
      </c>
      <c r="C2530" s="191">
        <v>40897</v>
      </c>
      <c r="D2530" s="191" t="s">
        <v>976</v>
      </c>
      <c r="E2530" s="883">
        <v>40897</v>
      </c>
      <c r="F2530" s="192" t="s">
        <v>1370</v>
      </c>
      <c r="G2530" s="498" t="s">
        <v>1352</v>
      </c>
      <c r="H2530" s="193" t="s">
        <v>733</v>
      </c>
      <c r="I2530" s="256">
        <v>272</v>
      </c>
      <c r="J2530" s="256">
        <v>1254</v>
      </c>
      <c r="K2530" s="614">
        <v>341088</v>
      </c>
      <c r="L2530" s="194" t="s">
        <v>259</v>
      </c>
      <c r="M2530" s="194" t="s">
        <v>167</v>
      </c>
      <c r="N2530" s="52" t="str">
        <f>IF(AND('331-CT'!$E$7=TH!H2530,OR(L2530="331",M2530="331")),"331",IF(AND(OR(L2530="131",M2530="131"),H2530='131-CT'!$E$7),"131",""))</f>
        <v>131</v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94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>
        <f t="shared" si="206"/>
        <v>12</v>
      </c>
      <c r="C2531" s="191">
        <v>40897</v>
      </c>
      <c r="D2531" s="191" t="s">
        <v>976</v>
      </c>
      <c r="E2531" s="883">
        <v>40897</v>
      </c>
      <c r="F2531" s="192" t="s">
        <v>1324</v>
      </c>
      <c r="G2531" s="498" t="s">
        <v>1352</v>
      </c>
      <c r="H2531" s="193" t="s">
        <v>733</v>
      </c>
      <c r="I2531" s="256">
        <v>30</v>
      </c>
      <c r="J2531" s="256">
        <v>1384</v>
      </c>
      <c r="K2531" s="614">
        <v>41520</v>
      </c>
      <c r="L2531" s="194" t="s">
        <v>259</v>
      </c>
      <c r="M2531" s="194" t="s">
        <v>167</v>
      </c>
      <c r="N2531" s="52" t="str">
        <f>IF(AND('331-CT'!$E$7=TH!H2531,OR(L2531="331",M2531="331")),"331",IF(AND(OR(L2531="131",M2531="131"),H2531='131-CT'!$E$7),"131",""))</f>
        <v>131</v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94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>
        <f t="shared" si="206"/>
        <v>12</v>
      </c>
      <c r="C2532" s="191">
        <v>40897</v>
      </c>
      <c r="D2532" s="191" t="s">
        <v>976</v>
      </c>
      <c r="E2532" s="883">
        <v>40897</v>
      </c>
      <c r="F2532" s="192" t="s">
        <v>1371</v>
      </c>
      <c r="G2532" s="498" t="s">
        <v>1352</v>
      </c>
      <c r="H2532" s="193" t="s">
        <v>733</v>
      </c>
      <c r="I2532" s="256">
        <v>60</v>
      </c>
      <c r="J2532" s="256">
        <v>1220</v>
      </c>
      <c r="K2532" s="614">
        <v>73200</v>
      </c>
      <c r="L2532" s="194" t="s">
        <v>259</v>
      </c>
      <c r="M2532" s="194" t="s">
        <v>167</v>
      </c>
      <c r="N2532" s="52" t="str">
        <f>IF(AND('331-CT'!$E$7=TH!H2532,OR(L2532="331",M2532="331")),"331",IF(AND(OR(L2532="131",M2532="131"),H2532='131-CT'!$E$7),"131",""))</f>
        <v>131</v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94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>
        <f t="shared" si="206"/>
        <v>12</v>
      </c>
      <c r="C2533" s="191">
        <v>40897</v>
      </c>
      <c r="D2533" s="191" t="s">
        <v>976</v>
      </c>
      <c r="E2533" s="883">
        <v>40897</v>
      </c>
      <c r="F2533" s="192" t="s">
        <v>1320</v>
      </c>
      <c r="G2533" s="498" t="s">
        <v>1352</v>
      </c>
      <c r="H2533" s="193" t="s">
        <v>733</v>
      </c>
      <c r="I2533" s="256">
        <v>150</v>
      </c>
      <c r="J2533" s="256">
        <v>1463</v>
      </c>
      <c r="K2533" s="614">
        <v>219450</v>
      </c>
      <c r="L2533" s="194" t="s">
        <v>259</v>
      </c>
      <c r="M2533" s="194" t="s">
        <v>167</v>
      </c>
      <c r="N2533" s="52" t="str">
        <f>IF(AND('331-CT'!$E$7=TH!H2533,OR(L2533="331",M2533="331")),"331",IF(AND(OR(L2533="131",M2533="131"),H2533='131-CT'!$E$7),"131",""))</f>
        <v>131</v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94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>
        <f t="shared" si="206"/>
        <v>12</v>
      </c>
      <c r="C2534" s="191">
        <v>40897</v>
      </c>
      <c r="D2534" s="191" t="s">
        <v>976</v>
      </c>
      <c r="E2534" s="883">
        <v>40897</v>
      </c>
      <c r="F2534" s="192" t="s">
        <v>1321</v>
      </c>
      <c r="G2534" s="498" t="s">
        <v>1352</v>
      </c>
      <c r="H2534" s="193" t="s">
        <v>733</v>
      </c>
      <c r="I2534" s="256">
        <v>136</v>
      </c>
      <c r="J2534" s="256">
        <v>1288</v>
      </c>
      <c r="K2534" s="614">
        <v>175168</v>
      </c>
      <c r="L2534" s="194" t="s">
        <v>259</v>
      </c>
      <c r="M2534" s="194" t="s">
        <v>167</v>
      </c>
      <c r="N2534" s="52" t="str">
        <f>IF(AND('331-CT'!$E$7=TH!H2534,OR(L2534="331",M2534="331")),"331",IF(AND(OR(L2534="131",M2534="131"),H2534='131-CT'!$E$7),"131",""))</f>
        <v>131</v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94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>
        <f t="shared" si="206"/>
        <v>12</v>
      </c>
      <c r="C2535" s="191">
        <v>40897</v>
      </c>
      <c r="D2535" s="191" t="s">
        <v>976</v>
      </c>
      <c r="E2535" s="883">
        <v>40897</v>
      </c>
      <c r="F2535" s="192" t="s">
        <v>1323</v>
      </c>
      <c r="G2535" s="498" t="s">
        <v>1352</v>
      </c>
      <c r="H2535" s="193" t="s">
        <v>733</v>
      </c>
      <c r="I2535" s="256">
        <v>15</v>
      </c>
      <c r="J2535" s="256">
        <v>1581</v>
      </c>
      <c r="K2535" s="614">
        <v>23715</v>
      </c>
      <c r="L2535" s="194" t="s">
        <v>259</v>
      </c>
      <c r="M2535" s="194" t="s">
        <v>167</v>
      </c>
      <c r="N2535" s="52" t="str">
        <f>IF(AND('331-CT'!$E$7=TH!H2535,OR(L2535="331",M2535="331")),"331",IF(AND(OR(L2535="131",M2535="131"),H2535='131-CT'!$E$7),"131",""))</f>
        <v>131</v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94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>
        <f t="shared" si="206"/>
        <v>12</v>
      </c>
      <c r="C2536" s="191">
        <v>40897</v>
      </c>
      <c r="D2536" s="191" t="s">
        <v>976</v>
      </c>
      <c r="E2536" s="883">
        <v>40897</v>
      </c>
      <c r="F2536" s="192" t="s">
        <v>1319</v>
      </c>
      <c r="G2536" s="498" t="s">
        <v>1352</v>
      </c>
      <c r="H2536" s="193" t="s">
        <v>733</v>
      </c>
      <c r="I2536" s="256">
        <v>75</v>
      </c>
      <c r="J2536" s="256">
        <v>1660</v>
      </c>
      <c r="K2536" s="614">
        <v>124500</v>
      </c>
      <c r="L2536" s="194" t="s">
        <v>259</v>
      </c>
      <c r="M2536" s="194" t="s">
        <v>167</v>
      </c>
      <c r="N2536" s="52" t="str">
        <f>IF(AND('331-CT'!$E$7=TH!H2536,OR(L2536="331",M2536="331")),"331",IF(AND(OR(L2536="131",M2536="131"),H2536='131-CT'!$E$7),"131",""))</f>
        <v>131</v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94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>
        <f t="shared" si="206"/>
        <v>12</v>
      </c>
      <c r="C2537" s="191">
        <v>40897</v>
      </c>
      <c r="D2537" s="191" t="s">
        <v>976</v>
      </c>
      <c r="E2537" s="883">
        <v>40897</v>
      </c>
      <c r="F2537" s="192" t="s">
        <v>1176</v>
      </c>
      <c r="G2537" s="498" t="s">
        <v>1352</v>
      </c>
      <c r="H2537" s="193" t="s">
        <v>733</v>
      </c>
      <c r="I2537" s="256"/>
      <c r="J2537" s="256"/>
      <c r="K2537" s="614">
        <v>3971984</v>
      </c>
      <c r="L2537" s="194" t="s">
        <v>259</v>
      </c>
      <c r="M2537" s="194" t="s">
        <v>731</v>
      </c>
      <c r="N2537" s="52" t="str">
        <f>IF(AND('331-CT'!$E$7=TH!H2537,OR(L2537="331",M2537="331")),"331",IF(AND(OR(L2537="131",M2537="131"),H2537='131-CT'!$E$7),"131",""))</f>
        <v>131</v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94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>
        <f t="shared" si="206"/>
        <v>12</v>
      </c>
      <c r="C2538" s="191">
        <f t="shared" ref="C2538:C2569" si="207">E2538</f>
        <v>40897</v>
      </c>
      <c r="D2538" s="860" t="s">
        <v>1419</v>
      </c>
      <c r="E2538" s="883">
        <v>40897</v>
      </c>
      <c r="F2538" s="40" t="s">
        <v>656</v>
      </c>
      <c r="G2538" s="40"/>
      <c r="H2538" s="628" t="s">
        <v>1092</v>
      </c>
      <c r="I2538" s="256">
        <v>19</v>
      </c>
      <c r="J2538" s="256">
        <v>16631</v>
      </c>
      <c r="K2538" s="614">
        <f t="shared" ref="K2538:K2569" si="208">ROUND(I2538*J2538,0)</f>
        <v>315989</v>
      </c>
      <c r="L2538" s="52" t="s">
        <v>157</v>
      </c>
      <c r="M2538" s="52" t="s">
        <v>151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94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>
        <f t="shared" si="206"/>
        <v>12</v>
      </c>
      <c r="C2539" s="191">
        <f t="shared" si="207"/>
        <v>40897</v>
      </c>
      <c r="D2539" s="860" t="s">
        <v>1419</v>
      </c>
      <c r="E2539" s="883">
        <v>40897</v>
      </c>
      <c r="F2539" s="189" t="s">
        <v>507</v>
      </c>
      <c r="G2539" s="40"/>
      <c r="H2539" s="628" t="s">
        <v>1092</v>
      </c>
      <c r="I2539" s="256">
        <v>261</v>
      </c>
      <c r="J2539" s="256">
        <v>8620</v>
      </c>
      <c r="K2539" s="614">
        <f t="shared" si="208"/>
        <v>2249820</v>
      </c>
      <c r="L2539" s="52" t="s">
        <v>157</v>
      </c>
      <c r="M2539" s="52" t="s">
        <v>151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94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>
        <f t="shared" si="206"/>
        <v>12</v>
      </c>
      <c r="C2540" s="191">
        <f t="shared" si="207"/>
        <v>40897</v>
      </c>
      <c r="D2540" s="860" t="s">
        <v>1419</v>
      </c>
      <c r="E2540" s="883">
        <v>40897</v>
      </c>
      <c r="F2540" s="40" t="s">
        <v>643</v>
      </c>
      <c r="G2540" s="40"/>
      <c r="H2540" s="628" t="s">
        <v>1092</v>
      </c>
      <c r="I2540" s="256">
        <v>21</v>
      </c>
      <c r="J2540" s="256">
        <v>25631</v>
      </c>
      <c r="K2540" s="614">
        <f t="shared" si="208"/>
        <v>538251</v>
      </c>
      <c r="L2540" s="52" t="s">
        <v>157</v>
      </c>
      <c r="M2540" s="52" t="s">
        <v>151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94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>
        <f t="shared" si="206"/>
        <v>12</v>
      </c>
      <c r="C2541" s="191">
        <f t="shared" si="207"/>
        <v>40897</v>
      </c>
      <c r="D2541" s="860" t="s">
        <v>1419</v>
      </c>
      <c r="E2541" s="883">
        <v>40897</v>
      </c>
      <c r="F2541" s="40" t="s">
        <v>655</v>
      </c>
      <c r="G2541" s="40"/>
      <c r="H2541" s="628" t="s">
        <v>1092</v>
      </c>
      <c r="I2541" s="256">
        <v>535</v>
      </c>
      <c r="J2541" s="256">
        <v>13455</v>
      </c>
      <c r="K2541" s="614">
        <f t="shared" si="208"/>
        <v>7198425</v>
      </c>
      <c r="L2541" s="52" t="s">
        <v>157</v>
      </c>
      <c r="M2541" s="52" t="s">
        <v>151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94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>
        <f t="shared" si="206"/>
        <v>12</v>
      </c>
      <c r="C2542" s="191">
        <f t="shared" si="207"/>
        <v>40897</v>
      </c>
      <c r="D2542" s="860" t="s">
        <v>1419</v>
      </c>
      <c r="E2542" s="883">
        <v>40897</v>
      </c>
      <c r="F2542" s="40" t="s">
        <v>655</v>
      </c>
      <c r="G2542" s="40"/>
      <c r="H2542" s="628" t="s">
        <v>1092</v>
      </c>
      <c r="I2542" s="256">
        <v>276</v>
      </c>
      <c r="J2542" s="256">
        <v>13455</v>
      </c>
      <c r="K2542" s="614">
        <f t="shared" si="208"/>
        <v>3713580</v>
      </c>
      <c r="L2542" s="52" t="s">
        <v>157</v>
      </c>
      <c r="M2542" s="52" t="s">
        <v>151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94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>
        <f t="shared" si="206"/>
        <v>12</v>
      </c>
      <c r="C2543" s="191">
        <f t="shared" si="207"/>
        <v>40897</v>
      </c>
      <c r="D2543" s="860" t="s">
        <v>1419</v>
      </c>
      <c r="E2543" s="883">
        <v>40897</v>
      </c>
      <c r="F2543" s="40" t="s">
        <v>645</v>
      </c>
      <c r="G2543" s="40"/>
      <c r="H2543" s="628" t="s">
        <v>1092</v>
      </c>
      <c r="I2543" s="256">
        <v>24</v>
      </c>
      <c r="J2543" s="256">
        <v>32878</v>
      </c>
      <c r="K2543" s="614">
        <f t="shared" si="208"/>
        <v>789072</v>
      </c>
      <c r="L2543" s="52" t="s">
        <v>157</v>
      </c>
      <c r="M2543" s="52" t="s">
        <v>151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94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>
        <f t="shared" si="206"/>
        <v>12</v>
      </c>
      <c r="C2544" s="191">
        <f t="shared" si="207"/>
        <v>40897</v>
      </c>
      <c r="D2544" s="860" t="s">
        <v>1420</v>
      </c>
      <c r="E2544" s="883">
        <v>40897</v>
      </c>
      <c r="F2544" s="40" t="s">
        <v>656</v>
      </c>
      <c r="G2544" s="40"/>
      <c r="H2544" s="628" t="s">
        <v>1092</v>
      </c>
      <c r="I2544" s="256">
        <v>260</v>
      </c>
      <c r="J2544" s="256">
        <v>16631</v>
      </c>
      <c r="K2544" s="614">
        <f t="shared" si="208"/>
        <v>4324060</v>
      </c>
      <c r="L2544" s="52" t="s">
        <v>157</v>
      </c>
      <c r="M2544" s="52" t="s">
        <v>151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94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>
        <f t="shared" si="206"/>
        <v>12</v>
      </c>
      <c r="C2545" s="191">
        <f t="shared" si="207"/>
        <v>40897</v>
      </c>
      <c r="D2545" s="860" t="s">
        <v>1420</v>
      </c>
      <c r="E2545" s="883">
        <v>40897</v>
      </c>
      <c r="F2545" s="40" t="s">
        <v>639</v>
      </c>
      <c r="G2545" s="40"/>
      <c r="H2545" s="628" t="s">
        <v>1092</v>
      </c>
      <c r="I2545" s="256">
        <v>7</v>
      </c>
      <c r="J2545" s="256">
        <v>27283</v>
      </c>
      <c r="K2545" s="614">
        <f t="shared" si="208"/>
        <v>190981</v>
      </c>
      <c r="L2545" s="52" t="s">
        <v>157</v>
      </c>
      <c r="M2545" s="52" t="s">
        <v>151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94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>
        <f t="shared" si="206"/>
        <v>12</v>
      </c>
      <c r="C2546" s="191">
        <f t="shared" si="207"/>
        <v>40897</v>
      </c>
      <c r="D2546" s="860" t="s">
        <v>1420</v>
      </c>
      <c r="E2546" s="883">
        <v>40897</v>
      </c>
      <c r="F2546" s="40" t="s">
        <v>639</v>
      </c>
      <c r="G2546" s="40"/>
      <c r="H2546" s="628" t="s">
        <v>1092</v>
      </c>
      <c r="I2546" s="256">
        <v>1</v>
      </c>
      <c r="J2546" s="256">
        <v>27283</v>
      </c>
      <c r="K2546" s="614">
        <f t="shared" si="208"/>
        <v>27283</v>
      </c>
      <c r="L2546" s="52" t="s">
        <v>157</v>
      </c>
      <c r="M2546" s="52" t="s">
        <v>151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94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>
        <f t="shared" si="206"/>
        <v>12</v>
      </c>
      <c r="C2547" s="191">
        <f t="shared" si="207"/>
        <v>40897</v>
      </c>
      <c r="D2547" s="860" t="s">
        <v>1420</v>
      </c>
      <c r="E2547" s="883">
        <v>40897</v>
      </c>
      <c r="F2547" s="40" t="s">
        <v>640</v>
      </c>
      <c r="G2547" s="40"/>
      <c r="H2547" s="628" t="s">
        <v>1092</v>
      </c>
      <c r="I2547" s="256">
        <v>3</v>
      </c>
      <c r="J2547" s="256">
        <v>31752</v>
      </c>
      <c r="K2547" s="614">
        <f t="shared" si="208"/>
        <v>95256</v>
      </c>
      <c r="L2547" s="52" t="s">
        <v>157</v>
      </c>
      <c r="M2547" s="52" t="s">
        <v>151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94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>
        <f t="shared" si="206"/>
        <v>12</v>
      </c>
      <c r="C2548" s="191">
        <f t="shared" si="207"/>
        <v>40897</v>
      </c>
      <c r="D2548" s="860" t="s">
        <v>1420</v>
      </c>
      <c r="E2548" s="883">
        <v>40897</v>
      </c>
      <c r="F2548" s="189" t="s">
        <v>507</v>
      </c>
      <c r="G2548" s="40"/>
      <c r="H2548" s="628" t="s">
        <v>1092</v>
      </c>
      <c r="I2548" s="256">
        <v>27</v>
      </c>
      <c r="J2548" s="256">
        <v>8620</v>
      </c>
      <c r="K2548" s="614">
        <f t="shared" si="208"/>
        <v>232740</v>
      </c>
      <c r="L2548" s="52" t="s">
        <v>157</v>
      </c>
      <c r="M2548" s="52" t="s">
        <v>151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94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>
        <f t="shared" si="206"/>
        <v>12</v>
      </c>
      <c r="C2549" s="191">
        <f t="shared" si="207"/>
        <v>40897</v>
      </c>
      <c r="D2549" s="860" t="s">
        <v>1420</v>
      </c>
      <c r="E2549" s="883">
        <v>40897</v>
      </c>
      <c r="F2549" s="40" t="s">
        <v>639</v>
      </c>
      <c r="G2549" s="40"/>
      <c r="H2549" s="628" t="s">
        <v>1092</v>
      </c>
      <c r="I2549" s="256">
        <v>9</v>
      </c>
      <c r="J2549" s="256">
        <v>27283</v>
      </c>
      <c r="K2549" s="614">
        <f t="shared" si="208"/>
        <v>245547</v>
      </c>
      <c r="L2549" s="52" t="s">
        <v>157</v>
      </c>
      <c r="M2549" s="52" t="s">
        <v>151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94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>
        <f t="shared" si="206"/>
        <v>12</v>
      </c>
      <c r="C2550" s="191">
        <f t="shared" si="207"/>
        <v>40897</v>
      </c>
      <c r="D2550" s="48" t="s">
        <v>1405</v>
      </c>
      <c r="E2550" s="883">
        <v>40897</v>
      </c>
      <c r="F2550" s="40" t="s">
        <v>1304</v>
      </c>
      <c r="G2550" s="40"/>
      <c r="H2550" s="628" t="s">
        <v>1092</v>
      </c>
      <c r="I2550" s="256">
        <v>2</v>
      </c>
      <c r="J2550" s="256">
        <v>10011.508185845443</v>
      </c>
      <c r="K2550" s="614">
        <f t="shared" si="208"/>
        <v>20023</v>
      </c>
      <c r="L2550" s="39" t="s">
        <v>159</v>
      </c>
      <c r="M2550" s="39" t="s">
        <v>157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94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>
        <f t="shared" si="206"/>
        <v>12</v>
      </c>
      <c r="C2551" s="191">
        <f t="shared" si="207"/>
        <v>40897</v>
      </c>
      <c r="D2551" s="48" t="s">
        <v>1405</v>
      </c>
      <c r="E2551" s="883">
        <v>40897</v>
      </c>
      <c r="F2551" s="40" t="s">
        <v>1353</v>
      </c>
      <c r="G2551" s="40"/>
      <c r="H2551" s="628" t="s">
        <v>1092</v>
      </c>
      <c r="I2551" s="256">
        <v>5</v>
      </c>
      <c r="J2551" s="256">
        <v>7873.9081858454419</v>
      </c>
      <c r="K2551" s="614">
        <f t="shared" si="208"/>
        <v>39370</v>
      </c>
      <c r="L2551" s="39" t="s">
        <v>159</v>
      </c>
      <c r="M2551" s="39" t="s">
        <v>157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94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>
        <f t="shared" si="206"/>
        <v>12</v>
      </c>
      <c r="C2552" s="191">
        <f t="shared" si="207"/>
        <v>40897</v>
      </c>
      <c r="D2552" s="48" t="s">
        <v>1405</v>
      </c>
      <c r="E2552" s="883">
        <v>40897</v>
      </c>
      <c r="F2552" s="40" t="s">
        <v>748</v>
      </c>
      <c r="G2552" s="40"/>
      <c r="H2552" s="628" t="s">
        <v>1092</v>
      </c>
      <c r="I2552" s="256">
        <v>33</v>
      </c>
      <c r="J2552" s="256">
        <v>11882.477882815141</v>
      </c>
      <c r="K2552" s="614">
        <f t="shared" si="208"/>
        <v>392122</v>
      </c>
      <c r="L2552" s="39" t="s">
        <v>159</v>
      </c>
      <c r="M2552" s="39" t="s">
        <v>157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94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>
        <f t="shared" si="206"/>
        <v>12</v>
      </c>
      <c r="C2553" s="191">
        <f t="shared" si="207"/>
        <v>40897</v>
      </c>
      <c r="D2553" s="48" t="s">
        <v>1405</v>
      </c>
      <c r="E2553" s="883">
        <v>40897</v>
      </c>
      <c r="F2553" s="40" t="s">
        <v>1354</v>
      </c>
      <c r="G2553" s="40"/>
      <c r="H2553" s="628" t="s">
        <v>1092</v>
      </c>
      <c r="I2553" s="256">
        <v>147</v>
      </c>
      <c r="J2553" s="256">
        <v>14753.501383124356</v>
      </c>
      <c r="K2553" s="614">
        <f t="shared" si="208"/>
        <v>2168765</v>
      </c>
      <c r="L2553" s="39" t="s">
        <v>159</v>
      </c>
      <c r="M2553" s="39" t="s">
        <v>157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94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>
        <f t="shared" si="206"/>
        <v>12</v>
      </c>
      <c r="C2554" s="191">
        <f t="shared" si="207"/>
        <v>40897</v>
      </c>
      <c r="D2554" s="48" t="s">
        <v>1405</v>
      </c>
      <c r="E2554" s="883">
        <v>40897</v>
      </c>
      <c r="F2554" s="40" t="s">
        <v>1355</v>
      </c>
      <c r="G2554" s="40"/>
      <c r="H2554" s="628" t="s">
        <v>1092</v>
      </c>
      <c r="I2554" s="256">
        <v>52</v>
      </c>
      <c r="J2554" s="256">
        <v>14753.488955076211</v>
      </c>
      <c r="K2554" s="614">
        <f t="shared" si="208"/>
        <v>767181</v>
      </c>
      <c r="L2554" s="39" t="s">
        <v>159</v>
      </c>
      <c r="M2554" s="39" t="s">
        <v>157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94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>
        <f t="shared" si="206"/>
        <v>12</v>
      </c>
      <c r="C2555" s="191">
        <f t="shared" si="207"/>
        <v>40897</v>
      </c>
      <c r="D2555" s="48" t="s">
        <v>1405</v>
      </c>
      <c r="E2555" s="883">
        <v>40897</v>
      </c>
      <c r="F2555" s="40" t="s">
        <v>1356</v>
      </c>
      <c r="G2555" s="40"/>
      <c r="H2555" s="628" t="s">
        <v>1092</v>
      </c>
      <c r="I2555" s="256">
        <v>61</v>
      </c>
      <c r="J2555" s="256">
        <v>17800.49179240282</v>
      </c>
      <c r="K2555" s="614">
        <f t="shared" si="208"/>
        <v>1085830</v>
      </c>
      <c r="L2555" s="39" t="s">
        <v>159</v>
      </c>
      <c r="M2555" s="39" t="s">
        <v>157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94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>
        <f t="shared" si="206"/>
        <v>12</v>
      </c>
      <c r="C2556" s="191">
        <f t="shared" si="207"/>
        <v>40897</v>
      </c>
      <c r="D2556" s="48" t="s">
        <v>1405</v>
      </c>
      <c r="E2556" s="883">
        <v>40897</v>
      </c>
      <c r="F2556" s="40" t="s">
        <v>1357</v>
      </c>
      <c r="G2556" s="40"/>
      <c r="H2556" s="628" t="s">
        <v>1092</v>
      </c>
      <c r="I2556" s="256">
        <v>505</v>
      </c>
      <c r="J2556" s="256">
        <v>17929.50620564742</v>
      </c>
      <c r="K2556" s="614">
        <f t="shared" si="208"/>
        <v>9054401</v>
      </c>
      <c r="L2556" s="39" t="s">
        <v>159</v>
      </c>
      <c r="M2556" s="39" t="s">
        <v>157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94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>
        <f t="shared" si="206"/>
        <v>12</v>
      </c>
      <c r="C2557" s="191">
        <f t="shared" si="207"/>
        <v>40897</v>
      </c>
      <c r="D2557" s="48" t="s">
        <v>1405</v>
      </c>
      <c r="E2557" s="883">
        <v>40897</v>
      </c>
      <c r="F2557" s="40" t="s">
        <v>1358</v>
      </c>
      <c r="G2557" s="40"/>
      <c r="H2557" s="628" t="s">
        <v>1092</v>
      </c>
      <c r="I2557" s="256">
        <v>61</v>
      </c>
      <c r="J2557" s="256">
        <v>11252.49179240282</v>
      </c>
      <c r="K2557" s="614">
        <f t="shared" si="208"/>
        <v>686402</v>
      </c>
      <c r="L2557" s="39" t="s">
        <v>159</v>
      </c>
      <c r="M2557" s="39" t="s">
        <v>157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94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>
        <f t="shared" si="206"/>
        <v>12</v>
      </c>
      <c r="C2558" s="191">
        <f t="shared" si="207"/>
        <v>40897</v>
      </c>
      <c r="D2558" s="48" t="s">
        <v>1405</v>
      </c>
      <c r="E2558" s="883">
        <v>40897</v>
      </c>
      <c r="F2558" s="40" t="s">
        <v>747</v>
      </c>
      <c r="G2558" s="40"/>
      <c r="H2558" s="628" t="s">
        <v>1092</v>
      </c>
      <c r="I2558" s="256">
        <v>4</v>
      </c>
      <c r="J2558" s="256">
        <v>10011.758185845443</v>
      </c>
      <c r="K2558" s="614">
        <f t="shared" si="208"/>
        <v>40047</v>
      </c>
      <c r="L2558" s="39" t="s">
        <v>159</v>
      </c>
      <c r="M2558" s="39" t="s">
        <v>157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94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>
        <f t="shared" si="206"/>
        <v>12</v>
      </c>
      <c r="C2559" s="191">
        <f t="shared" si="207"/>
        <v>40897</v>
      </c>
      <c r="D2559" s="48" t="s">
        <v>1406</v>
      </c>
      <c r="E2559" s="883">
        <v>40897</v>
      </c>
      <c r="F2559" s="40" t="s">
        <v>1359</v>
      </c>
      <c r="G2559" s="40"/>
      <c r="H2559" s="628" t="s">
        <v>1092</v>
      </c>
      <c r="I2559" s="256">
        <v>16</v>
      </c>
      <c r="J2559" s="256">
        <v>18725.445685845447</v>
      </c>
      <c r="K2559" s="614">
        <f t="shared" si="208"/>
        <v>299607</v>
      </c>
      <c r="L2559" s="39" t="s">
        <v>159</v>
      </c>
      <c r="M2559" s="39" t="s">
        <v>157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94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>
        <f t="shared" si="206"/>
        <v>12</v>
      </c>
      <c r="C2560" s="191">
        <f t="shared" si="207"/>
        <v>40897</v>
      </c>
      <c r="D2560" s="48" t="s">
        <v>1406</v>
      </c>
      <c r="E2560" s="883">
        <v>40897</v>
      </c>
      <c r="F2560" s="40" t="s">
        <v>1360</v>
      </c>
      <c r="G2560" s="40"/>
      <c r="H2560" s="628" t="s">
        <v>1092</v>
      </c>
      <c r="I2560" s="256">
        <v>10</v>
      </c>
      <c r="J2560" s="256">
        <v>16741.408185845445</v>
      </c>
      <c r="K2560" s="614">
        <f t="shared" si="208"/>
        <v>167414</v>
      </c>
      <c r="L2560" s="39" t="s">
        <v>159</v>
      </c>
      <c r="M2560" s="39" t="s">
        <v>157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94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>
        <f t="shared" si="206"/>
        <v>12</v>
      </c>
      <c r="C2561" s="191">
        <f t="shared" si="207"/>
        <v>40897</v>
      </c>
      <c r="D2561" s="48" t="s">
        <v>1406</v>
      </c>
      <c r="E2561" s="883">
        <v>40897</v>
      </c>
      <c r="F2561" s="40" t="s">
        <v>1361</v>
      </c>
      <c r="G2561" s="40"/>
      <c r="H2561" s="628" t="s">
        <v>1092</v>
      </c>
      <c r="I2561" s="256">
        <v>134</v>
      </c>
      <c r="J2561" s="256">
        <v>21727.829081367832</v>
      </c>
      <c r="K2561" s="614">
        <f t="shared" si="208"/>
        <v>2911529</v>
      </c>
      <c r="L2561" s="39" t="s">
        <v>159</v>
      </c>
      <c r="M2561" s="39" t="s">
        <v>157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94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>
        <f t="shared" si="206"/>
        <v>12</v>
      </c>
      <c r="C2562" s="191">
        <f t="shared" si="207"/>
        <v>40897</v>
      </c>
      <c r="D2562" s="48" t="s">
        <v>1406</v>
      </c>
      <c r="E2562" s="883">
        <v>40897</v>
      </c>
      <c r="F2562" s="40" t="s">
        <v>1270</v>
      </c>
      <c r="G2562" s="40"/>
      <c r="H2562" s="628" t="s">
        <v>1092</v>
      </c>
      <c r="I2562" s="256">
        <v>223</v>
      </c>
      <c r="J2562" s="256">
        <v>14753.503701540511</v>
      </c>
      <c r="K2562" s="614">
        <f t="shared" si="208"/>
        <v>3290031</v>
      </c>
      <c r="L2562" s="39" t="s">
        <v>159</v>
      </c>
      <c r="M2562" s="39" t="s">
        <v>157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94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>
        <f t="shared" si="206"/>
        <v>12</v>
      </c>
      <c r="C2563" s="191">
        <f t="shared" si="207"/>
        <v>40897</v>
      </c>
      <c r="D2563" s="48" t="s">
        <v>1406</v>
      </c>
      <c r="E2563" s="883">
        <v>40897</v>
      </c>
      <c r="F2563" s="40" t="s">
        <v>1362</v>
      </c>
      <c r="G2563" s="40"/>
      <c r="H2563" s="628" t="s">
        <v>1092</v>
      </c>
      <c r="I2563" s="256">
        <v>10</v>
      </c>
      <c r="J2563" s="256">
        <v>18672.408185845445</v>
      </c>
      <c r="K2563" s="614">
        <f t="shared" si="208"/>
        <v>186724</v>
      </c>
      <c r="L2563" s="39" t="s">
        <v>159</v>
      </c>
      <c r="M2563" s="39" t="s">
        <v>157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94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>
        <f t="shared" si="206"/>
        <v>12</v>
      </c>
      <c r="C2564" s="191">
        <f t="shared" si="207"/>
        <v>40897</v>
      </c>
      <c r="D2564" s="48" t="s">
        <v>1406</v>
      </c>
      <c r="E2564" s="883">
        <v>40897</v>
      </c>
      <c r="F2564" s="40" t="s">
        <v>1267</v>
      </c>
      <c r="G2564" s="40"/>
      <c r="H2564" s="628" t="s">
        <v>1092</v>
      </c>
      <c r="I2564" s="256">
        <v>20</v>
      </c>
      <c r="J2564" s="256">
        <v>16741.458185845444</v>
      </c>
      <c r="K2564" s="614">
        <f t="shared" si="208"/>
        <v>334829</v>
      </c>
      <c r="L2564" s="39" t="s">
        <v>159</v>
      </c>
      <c r="M2564" s="39" t="s">
        <v>157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94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>
        <f t="shared" si="206"/>
        <v>12</v>
      </c>
      <c r="C2565" s="191">
        <f t="shared" si="207"/>
        <v>40897</v>
      </c>
      <c r="D2565" s="48" t="s">
        <v>1407</v>
      </c>
      <c r="E2565" s="191">
        <v>40897</v>
      </c>
      <c r="F2565" s="40" t="s">
        <v>1298</v>
      </c>
      <c r="G2565" s="40"/>
      <c r="H2565" s="628" t="s">
        <v>1092</v>
      </c>
      <c r="I2565" s="256">
        <v>2</v>
      </c>
      <c r="J2565" s="256">
        <v>14753.008185845443</v>
      </c>
      <c r="K2565" s="614">
        <f t="shared" si="208"/>
        <v>29506</v>
      </c>
      <c r="L2565" s="39" t="s">
        <v>159</v>
      </c>
      <c r="M2565" s="39" t="s">
        <v>157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94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>
        <f t="shared" si="206"/>
        <v>12</v>
      </c>
      <c r="C2566" s="191">
        <f t="shared" si="207"/>
        <v>40897</v>
      </c>
      <c r="D2566" s="48" t="s">
        <v>1407</v>
      </c>
      <c r="E2566" s="191">
        <v>40897</v>
      </c>
      <c r="F2566" s="40" t="s">
        <v>1363</v>
      </c>
      <c r="G2566" s="40"/>
      <c r="H2566" s="628" t="s">
        <v>1092</v>
      </c>
      <c r="I2566" s="256">
        <v>379</v>
      </c>
      <c r="J2566" s="256">
        <v>18672.505547323013</v>
      </c>
      <c r="K2566" s="614">
        <f t="shared" si="208"/>
        <v>7076880</v>
      </c>
      <c r="L2566" s="39" t="s">
        <v>159</v>
      </c>
      <c r="M2566" s="39" t="s">
        <v>157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94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>
        <f t="shared" si="206"/>
        <v>12</v>
      </c>
      <c r="C2567" s="191">
        <f t="shared" si="207"/>
        <v>40897</v>
      </c>
      <c r="D2567" s="48" t="s">
        <v>1407</v>
      </c>
      <c r="E2567" s="191">
        <v>40897</v>
      </c>
      <c r="F2567" s="40" t="s">
        <v>1364</v>
      </c>
      <c r="G2567" s="40"/>
      <c r="H2567" s="628" t="s">
        <v>1092</v>
      </c>
      <c r="I2567" s="256">
        <v>82</v>
      </c>
      <c r="J2567" s="256">
        <v>17929.495990723492</v>
      </c>
      <c r="K2567" s="614">
        <f t="shared" si="208"/>
        <v>1470219</v>
      </c>
      <c r="L2567" s="39" t="s">
        <v>159</v>
      </c>
      <c r="M2567" s="39" t="s">
        <v>157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94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>
        <f t="shared" si="206"/>
        <v>12</v>
      </c>
      <c r="C2568" s="191">
        <f t="shared" si="207"/>
        <v>40897</v>
      </c>
      <c r="D2568" s="48" t="s">
        <v>1407</v>
      </c>
      <c r="E2568" s="191">
        <v>40897</v>
      </c>
      <c r="F2568" s="40" t="s">
        <v>1365</v>
      </c>
      <c r="G2568" s="40"/>
      <c r="H2568" s="628" t="s">
        <v>1092</v>
      </c>
      <c r="I2568" s="256">
        <v>72</v>
      </c>
      <c r="J2568" s="256">
        <v>14753.494296956553</v>
      </c>
      <c r="K2568" s="614">
        <f t="shared" si="208"/>
        <v>1062252</v>
      </c>
      <c r="L2568" s="39" t="s">
        <v>159</v>
      </c>
      <c r="M2568" s="39" t="s">
        <v>157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94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>
        <f t="shared" si="206"/>
        <v>12</v>
      </c>
      <c r="C2569" s="191">
        <f t="shared" si="207"/>
        <v>40897</v>
      </c>
      <c r="D2569" s="48" t="s">
        <v>1407</v>
      </c>
      <c r="E2569" s="191">
        <v>40897</v>
      </c>
      <c r="F2569" s="40" t="s">
        <v>1366</v>
      </c>
      <c r="G2569" s="40"/>
      <c r="H2569" s="628" t="s">
        <v>1092</v>
      </c>
      <c r="I2569" s="256">
        <v>52</v>
      </c>
      <c r="J2569" s="256">
        <v>14753.488955076211</v>
      </c>
      <c r="K2569" s="614">
        <f t="shared" si="208"/>
        <v>767181</v>
      </c>
      <c r="L2569" s="39" t="s">
        <v>159</v>
      </c>
      <c r="M2569" s="39" t="s">
        <v>157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94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>
        <f t="shared" si="206"/>
        <v>12</v>
      </c>
      <c r="C2570" s="191">
        <f t="shared" ref="C2570:C2601" si="209">E2570</f>
        <v>40897</v>
      </c>
      <c r="D2570" s="48" t="s">
        <v>1407</v>
      </c>
      <c r="E2570" s="191">
        <v>40897</v>
      </c>
      <c r="F2570" s="40" t="s">
        <v>1367</v>
      </c>
      <c r="G2570" s="40"/>
      <c r="H2570" s="628" t="s">
        <v>1092</v>
      </c>
      <c r="I2570" s="256">
        <v>51</v>
      </c>
      <c r="J2570" s="256">
        <v>14753.488578002303</v>
      </c>
      <c r="K2570" s="614">
        <f t="shared" ref="K2570:K2601" si="210">ROUND(I2570*J2570,0)</f>
        <v>752428</v>
      </c>
      <c r="L2570" s="39" t="s">
        <v>159</v>
      </c>
      <c r="M2570" s="39" t="s">
        <v>157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94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>
        <f t="shared" si="206"/>
        <v>12</v>
      </c>
      <c r="C2571" s="191">
        <f t="shared" si="209"/>
        <v>40897</v>
      </c>
      <c r="D2571" s="48" t="s">
        <v>1407</v>
      </c>
      <c r="E2571" s="191">
        <v>40897</v>
      </c>
      <c r="F2571" s="40" t="s">
        <v>1368</v>
      </c>
      <c r="G2571" s="40"/>
      <c r="H2571" s="628" t="s">
        <v>1092</v>
      </c>
      <c r="I2571" s="256">
        <v>51</v>
      </c>
      <c r="J2571" s="256">
        <v>17737.488578002303</v>
      </c>
      <c r="K2571" s="614">
        <f t="shared" si="210"/>
        <v>904612</v>
      </c>
      <c r="L2571" s="39" t="s">
        <v>159</v>
      </c>
      <c r="M2571" s="39" t="s">
        <v>157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94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>
        <f t="shared" si="206"/>
        <v>12</v>
      </c>
      <c r="C2572" s="191">
        <f t="shared" si="209"/>
        <v>40897</v>
      </c>
      <c r="D2572" s="48" t="s">
        <v>1407</v>
      </c>
      <c r="E2572" s="191">
        <v>40897</v>
      </c>
      <c r="F2572" s="40" t="s">
        <v>1369</v>
      </c>
      <c r="G2572" s="40"/>
      <c r="H2572" s="628" t="s">
        <v>1092</v>
      </c>
      <c r="I2572" s="256">
        <v>57</v>
      </c>
      <c r="J2572" s="256">
        <v>17737.490641985794</v>
      </c>
      <c r="K2572" s="614">
        <f t="shared" si="210"/>
        <v>1011037</v>
      </c>
      <c r="L2572" s="39" t="s">
        <v>159</v>
      </c>
      <c r="M2572" s="39" t="s">
        <v>157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94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>
        <f t="shared" si="206"/>
        <v>12</v>
      </c>
      <c r="C2573" s="191">
        <f t="shared" si="209"/>
        <v>40897</v>
      </c>
      <c r="D2573" s="48" t="s">
        <v>1408</v>
      </c>
      <c r="E2573" s="191">
        <v>40897</v>
      </c>
      <c r="F2573" s="40" t="s">
        <v>1325</v>
      </c>
      <c r="G2573" s="40"/>
      <c r="H2573" s="628" t="s">
        <v>1092</v>
      </c>
      <c r="I2573" s="256">
        <v>150</v>
      </c>
      <c r="J2573" s="256">
        <v>1530.1548525121093</v>
      </c>
      <c r="K2573" s="614">
        <f t="shared" si="210"/>
        <v>229523</v>
      </c>
      <c r="L2573" s="39" t="s">
        <v>159</v>
      </c>
      <c r="M2573" s="39" t="s">
        <v>157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94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>
        <f t="shared" si="206"/>
        <v>12</v>
      </c>
      <c r="C2574" s="191">
        <f t="shared" si="209"/>
        <v>40897</v>
      </c>
      <c r="D2574" s="48" t="s">
        <v>1408</v>
      </c>
      <c r="E2574" s="191">
        <v>40897</v>
      </c>
      <c r="F2574" s="40" t="s">
        <v>1316</v>
      </c>
      <c r="G2574" s="40"/>
      <c r="H2574" s="628" t="s">
        <v>1092</v>
      </c>
      <c r="I2574" s="256">
        <v>315</v>
      </c>
      <c r="J2574" s="256">
        <v>1641.6827890200459</v>
      </c>
      <c r="K2574" s="614">
        <f t="shared" si="210"/>
        <v>517130</v>
      </c>
      <c r="L2574" s="39" t="s">
        <v>159</v>
      </c>
      <c r="M2574" s="39" t="s">
        <v>157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94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>
        <f t="shared" si="206"/>
        <v>12</v>
      </c>
      <c r="C2575" s="191">
        <f t="shared" si="209"/>
        <v>40897</v>
      </c>
      <c r="D2575" s="48" t="s">
        <v>1408</v>
      </c>
      <c r="E2575" s="191">
        <v>40897</v>
      </c>
      <c r="F2575" s="40" t="s">
        <v>1318</v>
      </c>
      <c r="G2575" s="40"/>
      <c r="H2575" s="628" t="s">
        <v>1092</v>
      </c>
      <c r="I2575" s="256">
        <v>120</v>
      </c>
      <c r="J2575" s="256">
        <v>1877.6331858454428</v>
      </c>
      <c r="K2575" s="614">
        <f t="shared" si="210"/>
        <v>225316</v>
      </c>
      <c r="L2575" s="39" t="s">
        <v>159</v>
      </c>
      <c r="M2575" s="39" t="s">
        <v>157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94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>
        <f t="shared" si="206"/>
        <v>12</v>
      </c>
      <c r="C2576" s="191">
        <f t="shared" si="209"/>
        <v>40897</v>
      </c>
      <c r="D2576" s="48" t="s">
        <v>1408</v>
      </c>
      <c r="E2576" s="191">
        <v>40897</v>
      </c>
      <c r="F2576" s="40" t="s">
        <v>1315</v>
      </c>
      <c r="G2576" s="40"/>
      <c r="H2576" s="628" t="s">
        <v>1092</v>
      </c>
      <c r="I2576" s="256">
        <v>120</v>
      </c>
      <c r="J2576" s="256">
        <v>1877.6331858454428</v>
      </c>
      <c r="K2576" s="614">
        <f t="shared" si="210"/>
        <v>225316</v>
      </c>
      <c r="L2576" s="39" t="s">
        <v>159</v>
      </c>
      <c r="M2576" s="39" t="s">
        <v>157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94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>
        <f t="shared" si="206"/>
        <v>12</v>
      </c>
      <c r="C2577" s="191">
        <f t="shared" si="209"/>
        <v>40897</v>
      </c>
      <c r="D2577" s="48" t="s">
        <v>1408</v>
      </c>
      <c r="E2577" s="191">
        <v>40897</v>
      </c>
      <c r="F2577" s="40" t="s">
        <v>1370</v>
      </c>
      <c r="G2577" s="40"/>
      <c r="H2577" s="628" t="s">
        <v>1092</v>
      </c>
      <c r="I2577" s="256">
        <v>272</v>
      </c>
      <c r="J2577" s="256">
        <v>2154.1662740807369</v>
      </c>
      <c r="K2577" s="614">
        <f t="shared" si="210"/>
        <v>585933</v>
      </c>
      <c r="L2577" s="39" t="s">
        <v>159</v>
      </c>
      <c r="M2577" s="39" t="s">
        <v>157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94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>
        <f t="shared" si="206"/>
        <v>12</v>
      </c>
      <c r="C2578" s="191">
        <f t="shared" si="209"/>
        <v>40897</v>
      </c>
      <c r="D2578" s="48" t="s">
        <v>1408</v>
      </c>
      <c r="E2578" s="191">
        <v>40897</v>
      </c>
      <c r="F2578" s="40" t="s">
        <v>1324</v>
      </c>
      <c r="G2578" s="40"/>
      <c r="H2578" s="628" t="s">
        <v>1092</v>
      </c>
      <c r="I2578" s="256">
        <v>30</v>
      </c>
      <c r="J2578" s="256">
        <v>1877.6081858454427</v>
      </c>
      <c r="K2578" s="614">
        <f t="shared" si="210"/>
        <v>56328</v>
      </c>
      <c r="L2578" s="39" t="s">
        <v>159</v>
      </c>
      <c r="M2578" s="39" t="s">
        <v>157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94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>
        <f t="shared" si="206"/>
        <v>12</v>
      </c>
      <c r="C2579" s="191">
        <f t="shared" si="209"/>
        <v>40897</v>
      </c>
      <c r="D2579" s="48" t="s">
        <v>1408</v>
      </c>
      <c r="E2579" s="191">
        <v>40897</v>
      </c>
      <c r="F2579" s="40" t="s">
        <v>1371</v>
      </c>
      <c r="G2579" s="40"/>
      <c r="H2579" s="628" t="s">
        <v>1092</v>
      </c>
      <c r="I2579" s="256">
        <v>60</v>
      </c>
      <c r="J2579" s="256">
        <v>1877.6248525121093</v>
      </c>
      <c r="K2579" s="614">
        <f t="shared" si="210"/>
        <v>112657</v>
      </c>
      <c r="L2579" s="39" t="s">
        <v>159</v>
      </c>
      <c r="M2579" s="39" t="s">
        <v>157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94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>
        <f t="shared" si="206"/>
        <v>12</v>
      </c>
      <c r="C2580" s="191">
        <f t="shared" si="209"/>
        <v>40897</v>
      </c>
      <c r="D2580" s="48" t="s">
        <v>1409</v>
      </c>
      <c r="E2580" s="191">
        <v>40897</v>
      </c>
      <c r="F2580" s="40" t="s">
        <v>1320</v>
      </c>
      <c r="G2580" s="40"/>
      <c r="H2580" s="628" t="s">
        <v>1092</v>
      </c>
      <c r="I2580" s="256">
        <v>150</v>
      </c>
      <c r="J2580" s="256">
        <v>1848.5681858454427</v>
      </c>
      <c r="K2580" s="614">
        <f t="shared" si="210"/>
        <v>277285</v>
      </c>
      <c r="L2580" s="39" t="s">
        <v>159</v>
      </c>
      <c r="M2580" s="39" t="s">
        <v>157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94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>
        <f t="shared" si="206"/>
        <v>12</v>
      </c>
      <c r="C2581" s="191">
        <f t="shared" si="209"/>
        <v>40897</v>
      </c>
      <c r="D2581" s="48" t="s">
        <v>1409</v>
      </c>
      <c r="E2581" s="191">
        <v>40897</v>
      </c>
      <c r="F2581" s="40" t="s">
        <v>1321</v>
      </c>
      <c r="G2581" s="40"/>
      <c r="H2581" s="628" t="s">
        <v>1092</v>
      </c>
      <c r="I2581" s="256">
        <v>136</v>
      </c>
      <c r="J2581" s="256">
        <v>1782.0008329042664</v>
      </c>
      <c r="K2581" s="614">
        <f t="shared" si="210"/>
        <v>242352</v>
      </c>
      <c r="L2581" s="39" t="s">
        <v>159</v>
      </c>
      <c r="M2581" s="39" t="s">
        <v>157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94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>
        <f t="shared" si="206"/>
        <v>12</v>
      </c>
      <c r="C2582" s="191">
        <f t="shared" si="209"/>
        <v>40897</v>
      </c>
      <c r="D2582" s="48" t="s">
        <v>1409</v>
      </c>
      <c r="E2582" s="191">
        <v>40897</v>
      </c>
      <c r="F2582" s="40" t="s">
        <v>1323</v>
      </c>
      <c r="G2582" s="40"/>
      <c r="H2582" s="628" t="s">
        <v>1092</v>
      </c>
      <c r="I2582" s="256">
        <v>15</v>
      </c>
      <c r="J2582" s="256">
        <v>1873.1081858454427</v>
      </c>
      <c r="K2582" s="614">
        <f t="shared" si="210"/>
        <v>28097</v>
      </c>
      <c r="L2582" s="39" t="s">
        <v>159</v>
      </c>
      <c r="M2582" s="39" t="s">
        <v>157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94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>
        <f t="shared" si="206"/>
        <v>12</v>
      </c>
      <c r="C2583" s="191">
        <f t="shared" si="209"/>
        <v>40897</v>
      </c>
      <c r="D2583" s="48" t="s">
        <v>1409</v>
      </c>
      <c r="E2583" s="191">
        <v>40897</v>
      </c>
      <c r="F2583" s="40" t="s">
        <v>1319</v>
      </c>
      <c r="G2583" s="40"/>
      <c r="H2583" s="628" t="s">
        <v>1092</v>
      </c>
      <c r="I2583" s="256">
        <v>75</v>
      </c>
      <c r="J2583" s="256">
        <v>2026.0415191787761</v>
      </c>
      <c r="K2583" s="614">
        <f t="shared" si="210"/>
        <v>151953</v>
      </c>
      <c r="L2583" s="39" t="s">
        <v>159</v>
      </c>
      <c r="M2583" s="39" t="s">
        <v>157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94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>
        <f t="shared" si="206"/>
        <v>12</v>
      </c>
      <c r="C2584" s="191">
        <f t="shared" si="209"/>
        <v>40897</v>
      </c>
      <c r="D2584" s="37" t="s">
        <v>976</v>
      </c>
      <c r="E2584" s="191">
        <v>40897</v>
      </c>
      <c r="F2584" s="192" t="s">
        <v>1304</v>
      </c>
      <c r="G2584" s="498" t="s">
        <v>1352</v>
      </c>
      <c r="H2584" s="193" t="s">
        <v>733</v>
      </c>
      <c r="I2584" s="256">
        <v>2</v>
      </c>
      <c r="J2584" s="256">
        <v>10011.508185845443</v>
      </c>
      <c r="K2584" s="866">
        <f t="shared" si="210"/>
        <v>20023</v>
      </c>
      <c r="L2584" s="854" t="s">
        <v>165</v>
      </c>
      <c r="M2584" s="854" t="s">
        <v>159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94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>
        <f t="shared" si="206"/>
        <v>12</v>
      </c>
      <c r="C2585" s="191">
        <f t="shared" si="209"/>
        <v>40897</v>
      </c>
      <c r="D2585" s="37" t="s">
        <v>976</v>
      </c>
      <c r="E2585" s="191">
        <v>40897</v>
      </c>
      <c r="F2585" s="192" t="s">
        <v>1353</v>
      </c>
      <c r="G2585" s="498" t="s">
        <v>1352</v>
      </c>
      <c r="H2585" s="193" t="s">
        <v>733</v>
      </c>
      <c r="I2585" s="256">
        <v>5</v>
      </c>
      <c r="J2585" s="256">
        <v>7873.9081858454419</v>
      </c>
      <c r="K2585" s="866">
        <f t="shared" si="210"/>
        <v>39370</v>
      </c>
      <c r="L2585" s="854" t="s">
        <v>165</v>
      </c>
      <c r="M2585" s="854" t="s">
        <v>159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94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>
        <f t="shared" si="206"/>
        <v>12</v>
      </c>
      <c r="C2586" s="191">
        <f t="shared" si="209"/>
        <v>40897</v>
      </c>
      <c r="D2586" s="37" t="s">
        <v>976</v>
      </c>
      <c r="E2586" s="191">
        <v>40897</v>
      </c>
      <c r="F2586" s="192" t="s">
        <v>748</v>
      </c>
      <c r="G2586" s="498" t="s">
        <v>1352</v>
      </c>
      <c r="H2586" s="193" t="s">
        <v>733</v>
      </c>
      <c r="I2586" s="256">
        <v>33</v>
      </c>
      <c r="J2586" s="256">
        <v>11882.477882815141</v>
      </c>
      <c r="K2586" s="866">
        <f t="shared" si="210"/>
        <v>392122</v>
      </c>
      <c r="L2586" s="854" t="s">
        <v>165</v>
      </c>
      <c r="M2586" s="854" t="s">
        <v>159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94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>
        <f t="shared" si="206"/>
        <v>12</v>
      </c>
      <c r="C2587" s="191">
        <f t="shared" si="209"/>
        <v>40897</v>
      </c>
      <c r="D2587" s="37" t="s">
        <v>976</v>
      </c>
      <c r="E2587" s="191">
        <v>40897</v>
      </c>
      <c r="F2587" s="192" t="s">
        <v>1354</v>
      </c>
      <c r="G2587" s="498" t="s">
        <v>1352</v>
      </c>
      <c r="H2587" s="193" t="s">
        <v>733</v>
      </c>
      <c r="I2587" s="256">
        <v>147</v>
      </c>
      <c r="J2587" s="256">
        <v>14753.501383124356</v>
      </c>
      <c r="K2587" s="866">
        <f t="shared" si="210"/>
        <v>2168765</v>
      </c>
      <c r="L2587" s="854" t="s">
        <v>165</v>
      </c>
      <c r="M2587" s="854" t="s">
        <v>159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94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>
        <f t="shared" si="206"/>
        <v>12</v>
      </c>
      <c r="C2588" s="191">
        <f t="shared" si="209"/>
        <v>40897</v>
      </c>
      <c r="D2588" s="37" t="s">
        <v>976</v>
      </c>
      <c r="E2588" s="191">
        <v>40897</v>
      </c>
      <c r="F2588" s="192" t="s">
        <v>1355</v>
      </c>
      <c r="G2588" s="498" t="s">
        <v>1352</v>
      </c>
      <c r="H2588" s="193" t="s">
        <v>733</v>
      </c>
      <c r="I2588" s="256">
        <v>52</v>
      </c>
      <c r="J2588" s="256">
        <v>14753.488955076211</v>
      </c>
      <c r="K2588" s="866">
        <f t="shared" si="210"/>
        <v>767181</v>
      </c>
      <c r="L2588" s="854" t="s">
        <v>165</v>
      </c>
      <c r="M2588" s="854" t="s">
        <v>159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94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>
        <f t="shared" si="206"/>
        <v>12</v>
      </c>
      <c r="C2589" s="191">
        <f t="shared" si="209"/>
        <v>40897</v>
      </c>
      <c r="D2589" s="37" t="s">
        <v>976</v>
      </c>
      <c r="E2589" s="191">
        <v>40897</v>
      </c>
      <c r="F2589" s="192" t="s">
        <v>1356</v>
      </c>
      <c r="G2589" s="498" t="s">
        <v>1352</v>
      </c>
      <c r="H2589" s="193" t="s">
        <v>733</v>
      </c>
      <c r="I2589" s="256">
        <v>61</v>
      </c>
      <c r="J2589" s="256">
        <v>17800.49179240282</v>
      </c>
      <c r="K2589" s="866">
        <f t="shared" si="210"/>
        <v>1085830</v>
      </c>
      <c r="L2589" s="854" t="s">
        <v>165</v>
      </c>
      <c r="M2589" s="854" t="s">
        <v>159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94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>
        <f t="shared" si="206"/>
        <v>12</v>
      </c>
      <c r="C2590" s="191">
        <f t="shared" si="209"/>
        <v>40897</v>
      </c>
      <c r="D2590" s="37" t="s">
        <v>976</v>
      </c>
      <c r="E2590" s="191">
        <v>40897</v>
      </c>
      <c r="F2590" s="192" t="s">
        <v>1357</v>
      </c>
      <c r="G2590" s="498" t="s">
        <v>1352</v>
      </c>
      <c r="H2590" s="193" t="s">
        <v>733</v>
      </c>
      <c r="I2590" s="256">
        <v>505</v>
      </c>
      <c r="J2590" s="256">
        <v>17929.50620564742</v>
      </c>
      <c r="K2590" s="866">
        <f t="shared" si="210"/>
        <v>9054401</v>
      </c>
      <c r="L2590" s="854" t="s">
        <v>165</v>
      </c>
      <c r="M2590" s="854" t="s">
        <v>159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94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>
        <f t="shared" si="206"/>
        <v>12</v>
      </c>
      <c r="C2591" s="191">
        <f t="shared" si="209"/>
        <v>40897</v>
      </c>
      <c r="D2591" s="37" t="s">
        <v>976</v>
      </c>
      <c r="E2591" s="191">
        <v>40897</v>
      </c>
      <c r="F2591" s="192" t="s">
        <v>1358</v>
      </c>
      <c r="G2591" s="498" t="s">
        <v>1352</v>
      </c>
      <c r="H2591" s="193" t="s">
        <v>733</v>
      </c>
      <c r="I2591" s="256">
        <v>61</v>
      </c>
      <c r="J2591" s="256">
        <v>11252.49179240282</v>
      </c>
      <c r="K2591" s="866">
        <f t="shared" si="210"/>
        <v>686402</v>
      </c>
      <c r="L2591" s="854" t="s">
        <v>165</v>
      </c>
      <c r="M2591" s="854" t="s">
        <v>159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94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>
        <f t="shared" ref="B2592:B2655" si="211">IF(C2592&lt;&gt;"",MONTH(C2592),"")</f>
        <v>12</v>
      </c>
      <c r="C2592" s="191">
        <f t="shared" si="209"/>
        <v>40897</v>
      </c>
      <c r="D2592" s="37" t="s">
        <v>976</v>
      </c>
      <c r="E2592" s="191">
        <v>40897</v>
      </c>
      <c r="F2592" s="192" t="s">
        <v>747</v>
      </c>
      <c r="G2592" s="498" t="s">
        <v>1352</v>
      </c>
      <c r="H2592" s="193" t="s">
        <v>733</v>
      </c>
      <c r="I2592" s="256">
        <v>4</v>
      </c>
      <c r="J2592" s="256">
        <v>10011.758185845443</v>
      </c>
      <c r="K2592" s="866">
        <f t="shared" si="210"/>
        <v>40047</v>
      </c>
      <c r="L2592" s="854" t="s">
        <v>165</v>
      </c>
      <c r="M2592" s="854" t="s">
        <v>159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94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>
        <f t="shared" si="211"/>
        <v>12</v>
      </c>
      <c r="C2593" s="191">
        <f t="shared" si="209"/>
        <v>40897</v>
      </c>
      <c r="D2593" s="37" t="s">
        <v>976</v>
      </c>
      <c r="E2593" s="191">
        <v>40897</v>
      </c>
      <c r="F2593" s="192" t="s">
        <v>1359</v>
      </c>
      <c r="G2593" s="498" t="s">
        <v>1352</v>
      </c>
      <c r="H2593" s="193" t="s">
        <v>733</v>
      </c>
      <c r="I2593" s="256">
        <v>16</v>
      </c>
      <c r="J2593" s="256">
        <v>18725.445685845447</v>
      </c>
      <c r="K2593" s="866">
        <f t="shared" si="210"/>
        <v>299607</v>
      </c>
      <c r="L2593" s="854" t="s">
        <v>165</v>
      </c>
      <c r="M2593" s="854" t="s">
        <v>159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94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>
        <f t="shared" si="211"/>
        <v>12</v>
      </c>
      <c r="C2594" s="191">
        <f t="shared" si="209"/>
        <v>40897</v>
      </c>
      <c r="D2594" s="37" t="s">
        <v>976</v>
      </c>
      <c r="E2594" s="191">
        <v>40897</v>
      </c>
      <c r="F2594" s="192" t="s">
        <v>1360</v>
      </c>
      <c r="G2594" s="498" t="s">
        <v>1352</v>
      </c>
      <c r="H2594" s="193" t="s">
        <v>733</v>
      </c>
      <c r="I2594" s="256">
        <v>10</v>
      </c>
      <c r="J2594" s="256">
        <v>16741.408185845445</v>
      </c>
      <c r="K2594" s="866">
        <f t="shared" si="210"/>
        <v>167414</v>
      </c>
      <c r="L2594" s="854" t="s">
        <v>165</v>
      </c>
      <c r="M2594" s="854" t="s">
        <v>159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94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>
        <f t="shared" si="211"/>
        <v>12</v>
      </c>
      <c r="C2595" s="191">
        <f t="shared" si="209"/>
        <v>40897</v>
      </c>
      <c r="D2595" s="37" t="s">
        <v>976</v>
      </c>
      <c r="E2595" s="191">
        <v>40897</v>
      </c>
      <c r="F2595" s="192" t="s">
        <v>1361</v>
      </c>
      <c r="G2595" s="498" t="s">
        <v>1352</v>
      </c>
      <c r="H2595" s="193" t="s">
        <v>733</v>
      </c>
      <c r="I2595" s="256">
        <v>134</v>
      </c>
      <c r="J2595" s="256">
        <v>21727.829081367832</v>
      </c>
      <c r="K2595" s="866">
        <f t="shared" si="210"/>
        <v>2911529</v>
      </c>
      <c r="L2595" s="854" t="s">
        <v>165</v>
      </c>
      <c r="M2595" s="854" t="s">
        <v>159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94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>
        <f t="shared" si="211"/>
        <v>12</v>
      </c>
      <c r="C2596" s="191">
        <f t="shared" si="209"/>
        <v>40897</v>
      </c>
      <c r="D2596" s="37" t="s">
        <v>976</v>
      </c>
      <c r="E2596" s="191">
        <v>40897</v>
      </c>
      <c r="F2596" s="192" t="s">
        <v>1270</v>
      </c>
      <c r="G2596" s="498" t="s">
        <v>1352</v>
      </c>
      <c r="H2596" s="193" t="s">
        <v>733</v>
      </c>
      <c r="I2596" s="256">
        <v>223</v>
      </c>
      <c r="J2596" s="256">
        <v>14753.503701540511</v>
      </c>
      <c r="K2596" s="866">
        <f t="shared" si="210"/>
        <v>3290031</v>
      </c>
      <c r="L2596" s="854" t="s">
        <v>165</v>
      </c>
      <c r="M2596" s="854" t="s">
        <v>159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94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>
        <f t="shared" si="211"/>
        <v>12</v>
      </c>
      <c r="C2597" s="191">
        <f t="shared" si="209"/>
        <v>40897</v>
      </c>
      <c r="D2597" s="37" t="s">
        <v>976</v>
      </c>
      <c r="E2597" s="191">
        <v>40897</v>
      </c>
      <c r="F2597" s="192" t="s">
        <v>1362</v>
      </c>
      <c r="G2597" s="498" t="s">
        <v>1352</v>
      </c>
      <c r="H2597" s="193" t="s">
        <v>733</v>
      </c>
      <c r="I2597" s="256">
        <v>10</v>
      </c>
      <c r="J2597" s="256">
        <v>18672.408185845445</v>
      </c>
      <c r="K2597" s="866">
        <f t="shared" si="210"/>
        <v>186724</v>
      </c>
      <c r="L2597" s="854" t="s">
        <v>165</v>
      </c>
      <c r="M2597" s="854" t="s">
        <v>159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94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>
        <f t="shared" si="211"/>
        <v>12</v>
      </c>
      <c r="C2598" s="191">
        <f t="shared" si="209"/>
        <v>40897</v>
      </c>
      <c r="D2598" s="37" t="s">
        <v>976</v>
      </c>
      <c r="E2598" s="191">
        <v>40897</v>
      </c>
      <c r="F2598" s="192" t="s">
        <v>1267</v>
      </c>
      <c r="G2598" s="498" t="s">
        <v>1352</v>
      </c>
      <c r="H2598" s="193" t="s">
        <v>733</v>
      </c>
      <c r="I2598" s="256">
        <v>20</v>
      </c>
      <c r="J2598" s="256">
        <v>16741.458185845444</v>
      </c>
      <c r="K2598" s="866">
        <f t="shared" si="210"/>
        <v>334829</v>
      </c>
      <c r="L2598" s="854" t="s">
        <v>165</v>
      </c>
      <c r="M2598" s="854" t="s">
        <v>159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94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>
        <f t="shared" si="211"/>
        <v>12</v>
      </c>
      <c r="C2599" s="191">
        <f t="shared" si="209"/>
        <v>40897</v>
      </c>
      <c r="D2599" s="37" t="s">
        <v>976</v>
      </c>
      <c r="E2599" s="191">
        <v>40897</v>
      </c>
      <c r="F2599" s="192" t="s">
        <v>1298</v>
      </c>
      <c r="G2599" s="498" t="s">
        <v>1352</v>
      </c>
      <c r="H2599" s="193" t="s">
        <v>733</v>
      </c>
      <c r="I2599" s="256">
        <v>2</v>
      </c>
      <c r="J2599" s="256">
        <v>14753.008185845443</v>
      </c>
      <c r="K2599" s="866">
        <f t="shared" si="210"/>
        <v>29506</v>
      </c>
      <c r="L2599" s="854" t="s">
        <v>165</v>
      </c>
      <c r="M2599" s="854" t="s">
        <v>159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94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>
        <f t="shared" si="211"/>
        <v>12</v>
      </c>
      <c r="C2600" s="191">
        <f t="shared" si="209"/>
        <v>40897</v>
      </c>
      <c r="D2600" s="37" t="s">
        <v>976</v>
      </c>
      <c r="E2600" s="191">
        <v>40897</v>
      </c>
      <c r="F2600" s="192" t="s">
        <v>1363</v>
      </c>
      <c r="G2600" s="498" t="s">
        <v>1352</v>
      </c>
      <c r="H2600" s="193" t="s">
        <v>733</v>
      </c>
      <c r="I2600" s="256">
        <v>379</v>
      </c>
      <c r="J2600" s="256">
        <v>18672.505547323013</v>
      </c>
      <c r="K2600" s="866">
        <f t="shared" si="210"/>
        <v>7076880</v>
      </c>
      <c r="L2600" s="854" t="s">
        <v>165</v>
      </c>
      <c r="M2600" s="854" t="s">
        <v>159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94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>
        <f t="shared" si="211"/>
        <v>12</v>
      </c>
      <c r="C2601" s="191">
        <f t="shared" si="209"/>
        <v>40897</v>
      </c>
      <c r="D2601" s="37" t="s">
        <v>976</v>
      </c>
      <c r="E2601" s="191">
        <v>40897</v>
      </c>
      <c r="F2601" s="192" t="s">
        <v>1364</v>
      </c>
      <c r="G2601" s="498" t="s">
        <v>1352</v>
      </c>
      <c r="H2601" s="193" t="s">
        <v>733</v>
      </c>
      <c r="I2601" s="256">
        <v>82</v>
      </c>
      <c r="J2601" s="256">
        <v>17929.495990723492</v>
      </c>
      <c r="K2601" s="866">
        <f t="shared" si="210"/>
        <v>1470219</v>
      </c>
      <c r="L2601" s="854" t="s">
        <v>165</v>
      </c>
      <c r="M2601" s="854" t="s">
        <v>159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94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>
        <f t="shared" si="211"/>
        <v>12</v>
      </c>
      <c r="C2602" s="191">
        <f t="shared" ref="C2602:C2617" si="212">E2602</f>
        <v>40897</v>
      </c>
      <c r="D2602" s="37" t="s">
        <v>976</v>
      </c>
      <c r="E2602" s="191">
        <v>40897</v>
      </c>
      <c r="F2602" s="192" t="s">
        <v>1365</v>
      </c>
      <c r="G2602" s="498" t="s">
        <v>1352</v>
      </c>
      <c r="H2602" s="193" t="s">
        <v>733</v>
      </c>
      <c r="I2602" s="256">
        <v>72</v>
      </c>
      <c r="J2602" s="256">
        <v>14753.494296956553</v>
      </c>
      <c r="K2602" s="866">
        <f t="shared" ref="K2602:K2617" si="213">ROUND(I2602*J2602,0)</f>
        <v>1062252</v>
      </c>
      <c r="L2602" s="854" t="s">
        <v>165</v>
      </c>
      <c r="M2602" s="854" t="s">
        <v>159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94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>
        <f t="shared" si="211"/>
        <v>12</v>
      </c>
      <c r="C2603" s="191">
        <f t="shared" si="212"/>
        <v>40897</v>
      </c>
      <c r="D2603" s="37" t="s">
        <v>976</v>
      </c>
      <c r="E2603" s="191">
        <v>40897</v>
      </c>
      <c r="F2603" s="192" t="s">
        <v>1366</v>
      </c>
      <c r="G2603" s="498" t="s">
        <v>1352</v>
      </c>
      <c r="H2603" s="193" t="s">
        <v>733</v>
      </c>
      <c r="I2603" s="256">
        <v>52</v>
      </c>
      <c r="J2603" s="256">
        <v>14753.488955076211</v>
      </c>
      <c r="K2603" s="866">
        <f t="shared" si="213"/>
        <v>767181</v>
      </c>
      <c r="L2603" s="854" t="s">
        <v>165</v>
      </c>
      <c r="M2603" s="854" t="s">
        <v>159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94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>
        <f t="shared" si="211"/>
        <v>12</v>
      </c>
      <c r="C2604" s="191">
        <f t="shared" si="212"/>
        <v>40897</v>
      </c>
      <c r="D2604" s="37" t="s">
        <v>976</v>
      </c>
      <c r="E2604" s="191">
        <v>40897</v>
      </c>
      <c r="F2604" s="192" t="s">
        <v>1367</v>
      </c>
      <c r="G2604" s="498" t="s">
        <v>1352</v>
      </c>
      <c r="H2604" s="193" t="s">
        <v>733</v>
      </c>
      <c r="I2604" s="256">
        <v>51</v>
      </c>
      <c r="J2604" s="256">
        <v>14753.488578002303</v>
      </c>
      <c r="K2604" s="866">
        <f t="shared" si="213"/>
        <v>752428</v>
      </c>
      <c r="L2604" s="854" t="s">
        <v>165</v>
      </c>
      <c r="M2604" s="854" t="s">
        <v>159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94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>
        <f t="shared" si="211"/>
        <v>12</v>
      </c>
      <c r="C2605" s="191">
        <f t="shared" si="212"/>
        <v>40897</v>
      </c>
      <c r="D2605" s="37" t="s">
        <v>976</v>
      </c>
      <c r="E2605" s="191">
        <v>40897</v>
      </c>
      <c r="F2605" s="192" t="s">
        <v>1368</v>
      </c>
      <c r="G2605" s="498" t="s">
        <v>1352</v>
      </c>
      <c r="H2605" s="193" t="s">
        <v>733</v>
      </c>
      <c r="I2605" s="256">
        <v>51</v>
      </c>
      <c r="J2605" s="256">
        <v>17737.488578002303</v>
      </c>
      <c r="K2605" s="866">
        <f t="shared" si="213"/>
        <v>904612</v>
      </c>
      <c r="L2605" s="854" t="s">
        <v>165</v>
      </c>
      <c r="M2605" s="854" t="s">
        <v>159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94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>
        <f t="shared" si="211"/>
        <v>12</v>
      </c>
      <c r="C2606" s="191">
        <f t="shared" si="212"/>
        <v>40897</v>
      </c>
      <c r="D2606" s="37" t="s">
        <v>976</v>
      </c>
      <c r="E2606" s="191">
        <v>40897</v>
      </c>
      <c r="F2606" s="192" t="s">
        <v>1369</v>
      </c>
      <c r="G2606" s="498" t="s">
        <v>1352</v>
      </c>
      <c r="H2606" s="193" t="s">
        <v>733</v>
      </c>
      <c r="I2606" s="256">
        <v>57</v>
      </c>
      <c r="J2606" s="256">
        <v>17737.490641985794</v>
      </c>
      <c r="K2606" s="866">
        <f t="shared" si="213"/>
        <v>1011037</v>
      </c>
      <c r="L2606" s="854" t="s">
        <v>165</v>
      </c>
      <c r="M2606" s="854" t="s">
        <v>159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94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>
        <f t="shared" si="211"/>
        <v>12</v>
      </c>
      <c r="C2607" s="191">
        <f t="shared" si="212"/>
        <v>40897</v>
      </c>
      <c r="D2607" s="37" t="s">
        <v>976</v>
      </c>
      <c r="E2607" s="191">
        <v>40897</v>
      </c>
      <c r="F2607" s="192" t="s">
        <v>1325</v>
      </c>
      <c r="G2607" s="498" t="s">
        <v>1352</v>
      </c>
      <c r="H2607" s="193" t="s">
        <v>733</v>
      </c>
      <c r="I2607" s="256">
        <v>150</v>
      </c>
      <c r="J2607" s="256">
        <v>1530.1548525121093</v>
      </c>
      <c r="K2607" s="866">
        <f t="shared" si="213"/>
        <v>229523</v>
      </c>
      <c r="L2607" s="854" t="s">
        <v>165</v>
      </c>
      <c r="M2607" s="854" t="s">
        <v>159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94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>
        <f t="shared" si="211"/>
        <v>12</v>
      </c>
      <c r="C2608" s="191">
        <f t="shared" si="212"/>
        <v>40897</v>
      </c>
      <c r="D2608" s="37" t="s">
        <v>976</v>
      </c>
      <c r="E2608" s="191">
        <v>40897</v>
      </c>
      <c r="F2608" s="192" t="s">
        <v>1316</v>
      </c>
      <c r="G2608" s="498" t="s">
        <v>1352</v>
      </c>
      <c r="H2608" s="193" t="s">
        <v>733</v>
      </c>
      <c r="I2608" s="256">
        <v>315</v>
      </c>
      <c r="J2608" s="256">
        <v>1641.6827890200459</v>
      </c>
      <c r="K2608" s="866">
        <f t="shared" si="213"/>
        <v>517130</v>
      </c>
      <c r="L2608" s="854" t="s">
        <v>165</v>
      </c>
      <c r="M2608" s="854" t="s">
        <v>159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94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>
        <f t="shared" si="211"/>
        <v>12</v>
      </c>
      <c r="C2609" s="191">
        <f t="shared" si="212"/>
        <v>40897</v>
      </c>
      <c r="D2609" s="37" t="s">
        <v>976</v>
      </c>
      <c r="E2609" s="191">
        <v>40897</v>
      </c>
      <c r="F2609" s="192" t="s">
        <v>1318</v>
      </c>
      <c r="G2609" s="498" t="s">
        <v>1352</v>
      </c>
      <c r="H2609" s="193" t="s">
        <v>733</v>
      </c>
      <c r="I2609" s="256">
        <v>120</v>
      </c>
      <c r="J2609" s="256">
        <v>1877.6331858454428</v>
      </c>
      <c r="K2609" s="866">
        <f t="shared" si="213"/>
        <v>225316</v>
      </c>
      <c r="L2609" s="854" t="s">
        <v>165</v>
      </c>
      <c r="M2609" s="854" t="s">
        <v>159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94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>
        <f t="shared" si="211"/>
        <v>12</v>
      </c>
      <c r="C2610" s="191">
        <f t="shared" si="212"/>
        <v>40897</v>
      </c>
      <c r="D2610" s="37" t="s">
        <v>976</v>
      </c>
      <c r="E2610" s="191">
        <v>40897</v>
      </c>
      <c r="F2610" s="192" t="s">
        <v>1315</v>
      </c>
      <c r="G2610" s="498" t="s">
        <v>1352</v>
      </c>
      <c r="H2610" s="193" t="s">
        <v>733</v>
      </c>
      <c r="I2610" s="256">
        <v>120</v>
      </c>
      <c r="J2610" s="256">
        <v>1877.6331858454428</v>
      </c>
      <c r="K2610" s="866">
        <f t="shared" si="213"/>
        <v>225316</v>
      </c>
      <c r="L2610" s="854" t="s">
        <v>165</v>
      </c>
      <c r="M2610" s="854" t="s">
        <v>159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94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>
        <f t="shared" si="211"/>
        <v>12</v>
      </c>
      <c r="C2611" s="191">
        <f t="shared" si="212"/>
        <v>40897</v>
      </c>
      <c r="D2611" s="37" t="s">
        <v>976</v>
      </c>
      <c r="E2611" s="191">
        <v>40897</v>
      </c>
      <c r="F2611" s="192" t="s">
        <v>1370</v>
      </c>
      <c r="G2611" s="498" t="s">
        <v>1352</v>
      </c>
      <c r="H2611" s="193" t="s">
        <v>733</v>
      </c>
      <c r="I2611" s="256">
        <v>272</v>
      </c>
      <c r="J2611" s="256">
        <v>2154.1662740807369</v>
      </c>
      <c r="K2611" s="866">
        <f t="shared" si="213"/>
        <v>585933</v>
      </c>
      <c r="L2611" s="854" t="s">
        <v>165</v>
      </c>
      <c r="M2611" s="854" t="s">
        <v>159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94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>
        <f t="shared" si="211"/>
        <v>12</v>
      </c>
      <c r="C2612" s="191">
        <f t="shared" si="212"/>
        <v>40897</v>
      </c>
      <c r="D2612" s="37" t="s">
        <v>976</v>
      </c>
      <c r="E2612" s="191">
        <v>40897</v>
      </c>
      <c r="F2612" s="192" t="s">
        <v>1324</v>
      </c>
      <c r="G2612" s="498" t="s">
        <v>1352</v>
      </c>
      <c r="H2612" s="193" t="s">
        <v>733</v>
      </c>
      <c r="I2612" s="256">
        <v>30</v>
      </c>
      <c r="J2612" s="256">
        <v>1877.6081858454427</v>
      </c>
      <c r="K2612" s="866">
        <f t="shared" si="213"/>
        <v>56328</v>
      </c>
      <c r="L2612" s="854" t="s">
        <v>165</v>
      </c>
      <c r="M2612" s="854" t="s">
        <v>159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94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>
        <f t="shared" si="211"/>
        <v>12</v>
      </c>
      <c r="C2613" s="191">
        <f t="shared" si="212"/>
        <v>40897</v>
      </c>
      <c r="D2613" s="37" t="s">
        <v>976</v>
      </c>
      <c r="E2613" s="191">
        <v>40897</v>
      </c>
      <c r="F2613" s="192" t="s">
        <v>1371</v>
      </c>
      <c r="G2613" s="498" t="s">
        <v>1352</v>
      </c>
      <c r="H2613" s="193" t="s">
        <v>733</v>
      </c>
      <c r="I2613" s="256">
        <v>60</v>
      </c>
      <c r="J2613" s="256">
        <v>1877.6248525121093</v>
      </c>
      <c r="K2613" s="866">
        <f t="shared" si="213"/>
        <v>112657</v>
      </c>
      <c r="L2613" s="854" t="s">
        <v>165</v>
      </c>
      <c r="M2613" s="854" t="s">
        <v>159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94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>
        <f t="shared" si="211"/>
        <v>12</v>
      </c>
      <c r="C2614" s="191">
        <f t="shared" si="212"/>
        <v>40897</v>
      </c>
      <c r="D2614" s="37" t="s">
        <v>976</v>
      </c>
      <c r="E2614" s="191">
        <v>40897</v>
      </c>
      <c r="F2614" s="192" t="s">
        <v>1320</v>
      </c>
      <c r="G2614" s="498" t="s">
        <v>1352</v>
      </c>
      <c r="H2614" s="193" t="s">
        <v>733</v>
      </c>
      <c r="I2614" s="256">
        <v>150</v>
      </c>
      <c r="J2614" s="256">
        <v>1848.5681858454427</v>
      </c>
      <c r="K2614" s="866">
        <f t="shared" si="213"/>
        <v>277285</v>
      </c>
      <c r="L2614" s="854" t="s">
        <v>165</v>
      </c>
      <c r="M2614" s="854" t="s">
        <v>159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94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>
        <f t="shared" si="211"/>
        <v>12</v>
      </c>
      <c r="C2615" s="191">
        <f t="shared" si="212"/>
        <v>40897</v>
      </c>
      <c r="D2615" s="37" t="s">
        <v>976</v>
      </c>
      <c r="E2615" s="191">
        <v>40897</v>
      </c>
      <c r="F2615" s="192" t="s">
        <v>1321</v>
      </c>
      <c r="G2615" s="498" t="s">
        <v>1352</v>
      </c>
      <c r="H2615" s="193" t="s">
        <v>733</v>
      </c>
      <c r="I2615" s="256">
        <v>136</v>
      </c>
      <c r="J2615" s="256">
        <v>1782.0008329042664</v>
      </c>
      <c r="K2615" s="866">
        <f t="shared" si="213"/>
        <v>242352</v>
      </c>
      <c r="L2615" s="854" t="s">
        <v>165</v>
      </c>
      <c r="M2615" s="854" t="s">
        <v>159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94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>
        <f t="shared" si="211"/>
        <v>12</v>
      </c>
      <c r="C2616" s="191">
        <f t="shared" si="212"/>
        <v>40897</v>
      </c>
      <c r="D2616" s="37" t="s">
        <v>976</v>
      </c>
      <c r="E2616" s="191">
        <v>40897</v>
      </c>
      <c r="F2616" s="192" t="s">
        <v>1323</v>
      </c>
      <c r="G2616" s="498" t="s">
        <v>1352</v>
      </c>
      <c r="H2616" s="193" t="s">
        <v>733</v>
      </c>
      <c r="I2616" s="256">
        <v>15</v>
      </c>
      <c r="J2616" s="256">
        <v>1873.1081858454427</v>
      </c>
      <c r="K2616" s="866">
        <f t="shared" si="213"/>
        <v>28097</v>
      </c>
      <c r="L2616" s="854" t="s">
        <v>165</v>
      </c>
      <c r="M2616" s="854" t="s">
        <v>159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94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>
        <f t="shared" si="211"/>
        <v>12</v>
      </c>
      <c r="C2617" s="191">
        <f t="shared" si="212"/>
        <v>40897</v>
      </c>
      <c r="D2617" s="37" t="s">
        <v>976</v>
      </c>
      <c r="E2617" s="191">
        <v>40897</v>
      </c>
      <c r="F2617" s="192" t="s">
        <v>1319</v>
      </c>
      <c r="G2617" s="498" t="s">
        <v>1352</v>
      </c>
      <c r="H2617" s="193" t="s">
        <v>733</v>
      </c>
      <c r="I2617" s="256">
        <v>75</v>
      </c>
      <c r="J2617" s="256">
        <v>2026.0415191787761</v>
      </c>
      <c r="K2617" s="866">
        <f t="shared" si="213"/>
        <v>151953</v>
      </c>
      <c r="L2617" s="854" t="s">
        <v>165</v>
      </c>
      <c r="M2617" s="854" t="s">
        <v>159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94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>
        <f t="shared" si="211"/>
        <v>12</v>
      </c>
      <c r="C2618" s="191">
        <v>40898</v>
      </c>
      <c r="D2618" s="191" t="s">
        <v>977</v>
      </c>
      <c r="E2618" s="191">
        <v>40898</v>
      </c>
      <c r="F2618" s="192" t="s">
        <v>1364</v>
      </c>
      <c r="G2618" s="498" t="s">
        <v>1372</v>
      </c>
      <c r="H2618" s="193" t="s">
        <v>733</v>
      </c>
      <c r="I2618" s="256">
        <v>227</v>
      </c>
      <c r="J2618" s="256">
        <v>23012</v>
      </c>
      <c r="K2618" s="614">
        <v>5223724</v>
      </c>
      <c r="L2618" s="194" t="s">
        <v>259</v>
      </c>
      <c r="M2618" s="194" t="s">
        <v>167</v>
      </c>
      <c r="N2618" s="52" t="str">
        <f>IF(AND('331-CT'!$E$7=TH!H2618,OR(L2618="331",M2618="331")),"331",IF(AND(OR(L2618="131",M2618="131"),H2618='131-CT'!$E$7),"131",""))</f>
        <v>131</v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94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>
        <f t="shared" si="211"/>
        <v>12</v>
      </c>
      <c r="C2619" s="191">
        <v>40898</v>
      </c>
      <c r="D2619" s="191" t="s">
        <v>977</v>
      </c>
      <c r="E2619" s="191">
        <v>40898</v>
      </c>
      <c r="F2619" s="192" t="s">
        <v>1359</v>
      </c>
      <c r="G2619" s="498" t="s">
        <v>1372</v>
      </c>
      <c r="H2619" s="193" t="s">
        <v>733</v>
      </c>
      <c r="I2619" s="256">
        <v>195</v>
      </c>
      <c r="J2619" s="256">
        <v>18928</v>
      </c>
      <c r="K2619" s="614">
        <v>3690960</v>
      </c>
      <c r="L2619" s="194" t="s">
        <v>259</v>
      </c>
      <c r="M2619" s="194" t="s">
        <v>167</v>
      </c>
      <c r="N2619" s="52" t="str">
        <f>IF(AND('331-CT'!$E$7=TH!H2619,OR(L2619="331",M2619="331")),"331",IF(AND(OR(L2619="131",M2619="131"),H2619='131-CT'!$E$7),"131",""))</f>
        <v>131</v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94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>
        <f t="shared" si="211"/>
        <v>12</v>
      </c>
      <c r="C2620" s="191">
        <v>40898</v>
      </c>
      <c r="D2620" s="191" t="s">
        <v>977</v>
      </c>
      <c r="E2620" s="191">
        <v>40898</v>
      </c>
      <c r="F2620" s="192" t="s">
        <v>1373</v>
      </c>
      <c r="G2620" s="498" t="s">
        <v>1372</v>
      </c>
      <c r="H2620" s="193" t="s">
        <v>733</v>
      </c>
      <c r="I2620" s="256">
        <v>232</v>
      </c>
      <c r="J2620" s="256">
        <v>20070</v>
      </c>
      <c r="K2620" s="614">
        <v>4656240</v>
      </c>
      <c r="L2620" s="194" t="s">
        <v>259</v>
      </c>
      <c r="M2620" s="194" t="s">
        <v>167</v>
      </c>
      <c r="N2620" s="52" t="str">
        <f>IF(AND('331-CT'!$E$7=TH!H2620,OR(L2620="331",M2620="331")),"331",IF(AND(OR(L2620="131",M2620="131"),H2620='131-CT'!$E$7),"131",""))</f>
        <v>131</v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94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>
        <f t="shared" si="211"/>
        <v>12</v>
      </c>
      <c r="C2621" s="191">
        <v>40898</v>
      </c>
      <c r="D2621" s="191" t="s">
        <v>977</v>
      </c>
      <c r="E2621" s="191">
        <v>40898</v>
      </c>
      <c r="F2621" s="192" t="s">
        <v>1176</v>
      </c>
      <c r="G2621" s="498" t="s">
        <v>1372</v>
      </c>
      <c r="H2621" s="193" t="s">
        <v>733</v>
      </c>
      <c r="I2621" s="256"/>
      <c r="J2621" s="256"/>
      <c r="K2621" s="614">
        <v>1357092</v>
      </c>
      <c r="L2621" s="194" t="s">
        <v>259</v>
      </c>
      <c r="M2621" s="194" t="s">
        <v>731</v>
      </c>
      <c r="N2621" s="52" t="str">
        <f>IF(AND('331-CT'!$E$7=TH!H2621,OR(L2621="331",M2621="331")),"331",IF(AND(OR(L2621="131",M2621="131"),H2621='131-CT'!$E$7),"131",""))</f>
        <v>131</v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94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>
        <f t="shared" si="211"/>
        <v>12</v>
      </c>
      <c r="C2622" s="191">
        <f t="shared" ref="C2622:C2627" si="214">E2622</f>
        <v>40898</v>
      </c>
      <c r="D2622" s="48" t="s">
        <v>1410</v>
      </c>
      <c r="E2622" s="191">
        <v>40898</v>
      </c>
      <c r="F2622" s="40" t="s">
        <v>1364</v>
      </c>
      <c r="G2622" s="40"/>
      <c r="H2622" s="628" t="s">
        <v>1092</v>
      </c>
      <c r="I2622" s="256">
        <v>227</v>
      </c>
      <c r="J2622" s="256">
        <v>17929.503780559098</v>
      </c>
      <c r="K2622" s="614">
        <f t="shared" ref="K2622:K2627" si="215">ROUND(I2622*J2622,0)</f>
        <v>4069997</v>
      </c>
      <c r="L2622" s="39" t="s">
        <v>159</v>
      </c>
      <c r="M2622" s="39" t="s">
        <v>157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94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>
        <f t="shared" si="211"/>
        <v>12</v>
      </c>
      <c r="C2623" s="191">
        <f t="shared" si="214"/>
        <v>40898</v>
      </c>
      <c r="D2623" s="48" t="s">
        <v>1410</v>
      </c>
      <c r="E2623" s="191">
        <v>40898</v>
      </c>
      <c r="F2623" s="40" t="s">
        <v>1359</v>
      </c>
      <c r="G2623" s="40"/>
      <c r="H2623" s="628" t="s">
        <v>1092</v>
      </c>
      <c r="I2623" s="256">
        <v>195</v>
      </c>
      <c r="J2623" s="256">
        <v>17929.503057640315</v>
      </c>
      <c r="K2623" s="614">
        <f t="shared" si="215"/>
        <v>3496253</v>
      </c>
      <c r="L2623" s="39" t="s">
        <v>159</v>
      </c>
      <c r="M2623" s="39" t="s">
        <v>157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94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>
        <f t="shared" si="211"/>
        <v>12</v>
      </c>
      <c r="C2624" s="191">
        <f t="shared" si="214"/>
        <v>40898</v>
      </c>
      <c r="D2624" s="48" t="s">
        <v>1410</v>
      </c>
      <c r="E2624" s="191">
        <v>40898</v>
      </c>
      <c r="F2624" s="40" t="s">
        <v>1373</v>
      </c>
      <c r="G2624" s="40"/>
      <c r="H2624" s="628" t="s">
        <v>1092</v>
      </c>
      <c r="I2624" s="256">
        <v>232</v>
      </c>
      <c r="J2624" s="256">
        <v>17737.503875500617</v>
      </c>
      <c r="K2624" s="614">
        <f t="shared" si="215"/>
        <v>4115101</v>
      </c>
      <c r="L2624" s="39" t="s">
        <v>159</v>
      </c>
      <c r="M2624" s="39" t="s">
        <v>157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94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>
        <f t="shared" si="211"/>
        <v>12</v>
      </c>
      <c r="C2625" s="191">
        <f t="shared" si="214"/>
        <v>40898</v>
      </c>
      <c r="D2625" s="37" t="s">
        <v>977</v>
      </c>
      <c r="E2625" s="191">
        <v>40898</v>
      </c>
      <c r="F2625" s="192" t="s">
        <v>1364</v>
      </c>
      <c r="G2625" s="498" t="s">
        <v>1372</v>
      </c>
      <c r="H2625" s="193" t="s">
        <v>733</v>
      </c>
      <c r="I2625" s="256">
        <v>227</v>
      </c>
      <c r="J2625" s="256">
        <v>17929.503780559098</v>
      </c>
      <c r="K2625" s="866">
        <f t="shared" si="215"/>
        <v>4069997</v>
      </c>
      <c r="L2625" s="854" t="s">
        <v>165</v>
      </c>
      <c r="M2625" s="854" t="s">
        <v>159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94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>
        <f t="shared" si="211"/>
        <v>12</v>
      </c>
      <c r="C2626" s="191">
        <f t="shared" si="214"/>
        <v>40898</v>
      </c>
      <c r="D2626" s="37" t="s">
        <v>977</v>
      </c>
      <c r="E2626" s="191">
        <v>40898</v>
      </c>
      <c r="F2626" s="192" t="s">
        <v>1359</v>
      </c>
      <c r="G2626" s="498" t="s">
        <v>1372</v>
      </c>
      <c r="H2626" s="193" t="s">
        <v>733</v>
      </c>
      <c r="I2626" s="256">
        <v>195</v>
      </c>
      <c r="J2626" s="256">
        <v>17929.503057640315</v>
      </c>
      <c r="K2626" s="866">
        <f t="shared" si="215"/>
        <v>3496253</v>
      </c>
      <c r="L2626" s="854" t="s">
        <v>165</v>
      </c>
      <c r="M2626" s="854" t="s">
        <v>159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94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>
        <f t="shared" si="211"/>
        <v>12</v>
      </c>
      <c r="C2627" s="191">
        <f t="shared" si="214"/>
        <v>40898</v>
      </c>
      <c r="D2627" s="37" t="s">
        <v>977</v>
      </c>
      <c r="E2627" s="191">
        <v>40898</v>
      </c>
      <c r="F2627" s="192" t="s">
        <v>1373</v>
      </c>
      <c r="G2627" s="498" t="s">
        <v>1372</v>
      </c>
      <c r="H2627" s="193" t="s">
        <v>733</v>
      </c>
      <c r="I2627" s="256">
        <v>232</v>
      </c>
      <c r="J2627" s="256">
        <v>17737.503875500617</v>
      </c>
      <c r="K2627" s="866">
        <f t="shared" si="215"/>
        <v>4115101</v>
      </c>
      <c r="L2627" s="854" t="s">
        <v>165</v>
      </c>
      <c r="M2627" s="854" t="s">
        <v>159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94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>
        <f t="shared" si="211"/>
        <v>12</v>
      </c>
      <c r="C2628" s="191">
        <v>40899</v>
      </c>
      <c r="D2628" s="191" t="s">
        <v>978</v>
      </c>
      <c r="E2628" s="191">
        <v>40899</v>
      </c>
      <c r="F2628" s="192" t="s">
        <v>1374</v>
      </c>
      <c r="G2628" s="498" t="s">
        <v>1375</v>
      </c>
      <c r="H2628" s="193" t="s">
        <v>733</v>
      </c>
      <c r="I2628" s="256">
        <v>76</v>
      </c>
      <c r="J2628" s="256">
        <v>6275</v>
      </c>
      <c r="K2628" s="614">
        <v>476900</v>
      </c>
      <c r="L2628" s="194" t="s">
        <v>259</v>
      </c>
      <c r="M2628" s="194" t="s">
        <v>167</v>
      </c>
      <c r="N2628" s="52" t="str">
        <f>IF(AND('331-CT'!$E$7=TH!H2628,OR(L2628="331",M2628="331")),"331",IF(AND(OR(L2628="131",M2628="131"),H2628='131-CT'!$E$7),"131",""))</f>
        <v>131</v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94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>
        <f t="shared" si="211"/>
        <v>12</v>
      </c>
      <c r="C2629" s="191">
        <v>40899</v>
      </c>
      <c r="D2629" s="191" t="s">
        <v>978</v>
      </c>
      <c r="E2629" s="191">
        <v>40899</v>
      </c>
      <c r="F2629" s="192" t="s">
        <v>1376</v>
      </c>
      <c r="G2629" s="498" t="s">
        <v>1375</v>
      </c>
      <c r="H2629" s="193" t="s">
        <v>733</v>
      </c>
      <c r="I2629" s="256">
        <v>261</v>
      </c>
      <c r="J2629" s="256">
        <v>10678</v>
      </c>
      <c r="K2629" s="614">
        <v>2786958</v>
      </c>
      <c r="L2629" s="194" t="s">
        <v>259</v>
      </c>
      <c r="M2629" s="194" t="s">
        <v>167</v>
      </c>
      <c r="N2629" s="52" t="str">
        <f>IF(AND('331-CT'!$E$7=TH!H2629,OR(L2629="331",M2629="331")),"331",IF(AND(OR(L2629="131",M2629="131"),H2629='131-CT'!$E$7),"131",""))</f>
        <v>131</v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94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>
        <f t="shared" si="211"/>
        <v>12</v>
      </c>
      <c r="C2630" s="191">
        <v>40899</v>
      </c>
      <c r="D2630" s="191" t="s">
        <v>978</v>
      </c>
      <c r="E2630" s="191">
        <v>40899</v>
      </c>
      <c r="F2630" s="192" t="s">
        <v>903</v>
      </c>
      <c r="G2630" s="498" t="s">
        <v>1375</v>
      </c>
      <c r="H2630" s="193" t="s">
        <v>733</v>
      </c>
      <c r="I2630" s="256">
        <v>65</v>
      </c>
      <c r="J2630" s="256">
        <v>10501</v>
      </c>
      <c r="K2630" s="614">
        <v>682565</v>
      </c>
      <c r="L2630" s="194" t="s">
        <v>259</v>
      </c>
      <c r="M2630" s="194" t="s">
        <v>167</v>
      </c>
      <c r="N2630" s="52" t="str">
        <f>IF(AND('331-CT'!$E$7=TH!H2630,OR(L2630="331",M2630="331")),"331",IF(AND(OR(L2630="131",M2630="131"),H2630='131-CT'!$E$7),"131",""))</f>
        <v>131</v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94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>
        <f t="shared" si="211"/>
        <v>12</v>
      </c>
      <c r="C2631" s="191">
        <v>40899</v>
      </c>
      <c r="D2631" s="191" t="s">
        <v>978</v>
      </c>
      <c r="E2631" s="191">
        <v>40899</v>
      </c>
      <c r="F2631" s="192" t="s">
        <v>932</v>
      </c>
      <c r="G2631" s="498" t="s">
        <v>1375</v>
      </c>
      <c r="H2631" s="193" t="s">
        <v>733</v>
      </c>
      <c r="I2631" s="256">
        <v>1069</v>
      </c>
      <c r="J2631" s="256">
        <v>11840</v>
      </c>
      <c r="K2631" s="614">
        <v>12656960</v>
      </c>
      <c r="L2631" s="194" t="s">
        <v>259</v>
      </c>
      <c r="M2631" s="194" t="s">
        <v>167</v>
      </c>
      <c r="N2631" s="52" t="str">
        <f>IF(AND('331-CT'!$E$7=TH!H2631,OR(L2631="331",M2631="331")),"331",IF(AND(OR(L2631="131",M2631="131"),H2631='131-CT'!$E$7),"131",""))</f>
        <v>131</v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94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>
        <f t="shared" si="211"/>
        <v>12</v>
      </c>
      <c r="C2632" s="191">
        <v>40899</v>
      </c>
      <c r="D2632" s="191" t="s">
        <v>978</v>
      </c>
      <c r="E2632" s="191">
        <v>40899</v>
      </c>
      <c r="F2632" s="192" t="s">
        <v>904</v>
      </c>
      <c r="G2632" s="498" t="s">
        <v>1375</v>
      </c>
      <c r="H2632" s="193" t="s">
        <v>733</v>
      </c>
      <c r="I2632" s="256">
        <v>276</v>
      </c>
      <c r="J2632" s="256">
        <v>13258</v>
      </c>
      <c r="K2632" s="614">
        <v>3659208</v>
      </c>
      <c r="L2632" s="194" t="s">
        <v>259</v>
      </c>
      <c r="M2632" s="194" t="s">
        <v>167</v>
      </c>
      <c r="N2632" s="52" t="str">
        <f>IF(AND('331-CT'!$E$7=TH!H2632,OR(L2632="331",M2632="331")),"331",IF(AND(OR(L2632="131",M2632="131"),H2632='131-CT'!$E$7),"131",""))</f>
        <v>131</v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94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>
        <f t="shared" si="211"/>
        <v>12</v>
      </c>
      <c r="C2633" s="191">
        <v>40899</v>
      </c>
      <c r="D2633" s="191" t="s">
        <v>978</v>
      </c>
      <c r="E2633" s="191">
        <v>40899</v>
      </c>
      <c r="F2633" s="192" t="s">
        <v>1359</v>
      </c>
      <c r="G2633" s="498" t="s">
        <v>1375</v>
      </c>
      <c r="H2633" s="193" t="s">
        <v>733</v>
      </c>
      <c r="I2633" s="256">
        <v>47</v>
      </c>
      <c r="J2633" s="256">
        <v>18928</v>
      </c>
      <c r="K2633" s="614">
        <v>889616</v>
      </c>
      <c r="L2633" s="194" t="s">
        <v>259</v>
      </c>
      <c r="M2633" s="194" t="s">
        <v>167</v>
      </c>
      <c r="N2633" s="52" t="str">
        <f>IF(AND('331-CT'!$E$7=TH!H2633,OR(L2633="331",M2633="331")),"331",IF(AND(OR(L2633="131",M2633="131"),H2633='131-CT'!$E$7),"131",""))</f>
        <v>131</v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94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>
        <f t="shared" si="211"/>
        <v>12</v>
      </c>
      <c r="C2634" s="191">
        <v>40899</v>
      </c>
      <c r="D2634" s="191" t="s">
        <v>978</v>
      </c>
      <c r="E2634" s="191">
        <v>40899</v>
      </c>
      <c r="F2634" s="192" t="s">
        <v>1364</v>
      </c>
      <c r="G2634" s="498" t="s">
        <v>1375</v>
      </c>
      <c r="H2634" s="193" t="s">
        <v>733</v>
      </c>
      <c r="I2634" s="256">
        <v>260</v>
      </c>
      <c r="J2634" s="256">
        <v>23012</v>
      </c>
      <c r="K2634" s="614">
        <v>5983120</v>
      </c>
      <c r="L2634" s="194" t="s">
        <v>259</v>
      </c>
      <c r="M2634" s="194" t="s">
        <v>167</v>
      </c>
      <c r="N2634" s="52" t="str">
        <f>IF(AND('331-CT'!$E$7=TH!H2634,OR(L2634="331",M2634="331")),"331",IF(AND(OR(L2634="131",M2634="131"),H2634='131-CT'!$E$7),"131",""))</f>
        <v>131</v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94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>
        <f t="shared" si="211"/>
        <v>12</v>
      </c>
      <c r="C2635" s="191">
        <v>40899</v>
      </c>
      <c r="D2635" s="191" t="s">
        <v>978</v>
      </c>
      <c r="E2635" s="191">
        <v>40899</v>
      </c>
      <c r="F2635" s="192" t="s">
        <v>1377</v>
      </c>
      <c r="G2635" s="498" t="s">
        <v>1375</v>
      </c>
      <c r="H2635" s="193" t="s">
        <v>733</v>
      </c>
      <c r="I2635" s="256">
        <v>274</v>
      </c>
      <c r="J2635" s="256">
        <v>1474</v>
      </c>
      <c r="K2635" s="614">
        <v>403876</v>
      </c>
      <c r="L2635" s="194" t="s">
        <v>259</v>
      </c>
      <c r="M2635" s="194" t="s">
        <v>167</v>
      </c>
      <c r="N2635" s="52" t="str">
        <f>IF(AND('331-CT'!$E$7=TH!H2635,OR(L2635="331",M2635="331")),"331",IF(AND(OR(L2635="131",M2635="131"),H2635='131-CT'!$E$7),"131",""))</f>
        <v>131</v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94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>
        <f t="shared" si="211"/>
        <v>12</v>
      </c>
      <c r="C2636" s="191">
        <v>40899</v>
      </c>
      <c r="D2636" s="191" t="s">
        <v>978</v>
      </c>
      <c r="E2636" s="191">
        <v>40899</v>
      </c>
      <c r="F2636" s="192" t="s">
        <v>1378</v>
      </c>
      <c r="G2636" s="498" t="s">
        <v>1375</v>
      </c>
      <c r="H2636" s="193" t="s">
        <v>733</v>
      </c>
      <c r="I2636" s="256">
        <v>44</v>
      </c>
      <c r="J2636" s="256">
        <v>1146</v>
      </c>
      <c r="K2636" s="614">
        <v>50424</v>
      </c>
      <c r="L2636" s="194" t="s">
        <v>259</v>
      </c>
      <c r="M2636" s="194" t="s">
        <v>167</v>
      </c>
      <c r="N2636" s="52" t="str">
        <f>IF(AND('331-CT'!$E$7=TH!H2636,OR(L2636="331",M2636="331")),"331",IF(AND(OR(L2636="131",M2636="131"),H2636='131-CT'!$E$7),"131",""))</f>
        <v>131</v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94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>
        <f t="shared" si="211"/>
        <v>12</v>
      </c>
      <c r="C2637" s="191">
        <v>40899</v>
      </c>
      <c r="D2637" s="191" t="s">
        <v>978</v>
      </c>
      <c r="E2637" s="191">
        <v>40899</v>
      </c>
      <c r="F2637" s="192" t="s">
        <v>1379</v>
      </c>
      <c r="G2637" s="498" t="s">
        <v>1375</v>
      </c>
      <c r="H2637" s="193" t="s">
        <v>733</v>
      </c>
      <c r="I2637" s="256">
        <v>262</v>
      </c>
      <c r="J2637" s="256">
        <v>1187</v>
      </c>
      <c r="K2637" s="614">
        <v>310994</v>
      </c>
      <c r="L2637" s="194" t="s">
        <v>259</v>
      </c>
      <c r="M2637" s="194" t="s">
        <v>167</v>
      </c>
      <c r="N2637" s="52" t="str">
        <f>IF(AND('331-CT'!$E$7=TH!H2637,OR(L2637="331",M2637="331")),"331",IF(AND(OR(L2637="131",M2637="131"),H2637='131-CT'!$E$7),"131",""))</f>
        <v>131</v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94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>
        <f t="shared" si="211"/>
        <v>12</v>
      </c>
      <c r="C2638" s="191">
        <v>40899</v>
      </c>
      <c r="D2638" s="191" t="s">
        <v>978</v>
      </c>
      <c r="E2638" s="191">
        <v>40899</v>
      </c>
      <c r="F2638" s="192" t="s">
        <v>1380</v>
      </c>
      <c r="G2638" s="498" t="s">
        <v>1375</v>
      </c>
      <c r="H2638" s="193" t="s">
        <v>733</v>
      </c>
      <c r="I2638" s="256">
        <v>262</v>
      </c>
      <c r="J2638" s="256">
        <v>1515</v>
      </c>
      <c r="K2638" s="614">
        <v>396930</v>
      </c>
      <c r="L2638" s="194" t="s">
        <v>259</v>
      </c>
      <c r="M2638" s="194" t="s">
        <v>167</v>
      </c>
      <c r="N2638" s="52" t="str">
        <f>IF(AND('331-CT'!$E$7=TH!H2638,OR(L2638="331",M2638="331")),"331",IF(AND(OR(L2638="131",M2638="131"),H2638='131-CT'!$E$7),"131",""))</f>
        <v>131</v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94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>
        <f t="shared" si="211"/>
        <v>12</v>
      </c>
      <c r="C2639" s="191">
        <v>40899</v>
      </c>
      <c r="D2639" s="191" t="s">
        <v>978</v>
      </c>
      <c r="E2639" s="191">
        <v>40899</v>
      </c>
      <c r="F2639" s="192" t="s">
        <v>1381</v>
      </c>
      <c r="G2639" s="498" t="s">
        <v>1375</v>
      </c>
      <c r="H2639" s="193" t="s">
        <v>733</v>
      </c>
      <c r="I2639" s="256">
        <v>318</v>
      </c>
      <c r="J2639" s="256">
        <v>1556</v>
      </c>
      <c r="K2639" s="614">
        <v>494808</v>
      </c>
      <c r="L2639" s="194" t="s">
        <v>259</v>
      </c>
      <c r="M2639" s="194" t="s">
        <v>167</v>
      </c>
      <c r="N2639" s="52" t="str">
        <f>IF(AND('331-CT'!$E$7=TH!H2639,OR(L2639="331",M2639="331")),"331",IF(AND(OR(L2639="131",M2639="131"),H2639='131-CT'!$E$7),"131",""))</f>
        <v>131</v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94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>
        <f t="shared" si="211"/>
        <v>12</v>
      </c>
      <c r="C2640" s="191">
        <v>40899</v>
      </c>
      <c r="D2640" s="191" t="s">
        <v>978</v>
      </c>
      <c r="E2640" s="191">
        <v>40899</v>
      </c>
      <c r="F2640" s="192" t="s">
        <v>1176</v>
      </c>
      <c r="G2640" s="498" t="s">
        <v>1375</v>
      </c>
      <c r="H2640" s="193" t="s">
        <v>733</v>
      </c>
      <c r="I2640" s="256"/>
      <c r="J2640" s="256"/>
      <c r="K2640" s="614">
        <v>2879236</v>
      </c>
      <c r="L2640" s="194" t="s">
        <v>259</v>
      </c>
      <c r="M2640" s="194" t="s">
        <v>731</v>
      </c>
      <c r="N2640" s="52" t="str">
        <f>IF(AND('331-CT'!$E$7=TH!H2640,OR(L2640="331",M2640="331")),"331",IF(AND(OR(L2640="131",M2640="131"),H2640='131-CT'!$E$7),"131",""))</f>
        <v>131</v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94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>
        <f t="shared" si="211"/>
        <v>12</v>
      </c>
      <c r="C2641" s="191">
        <f t="shared" ref="C2641:C2673" si="216">E2641</f>
        <v>40899</v>
      </c>
      <c r="D2641" s="860" t="s">
        <v>1421</v>
      </c>
      <c r="E2641" s="191">
        <v>40899</v>
      </c>
      <c r="F2641" s="40" t="s">
        <v>655</v>
      </c>
      <c r="G2641" s="40"/>
      <c r="H2641" s="628" t="s">
        <v>1092</v>
      </c>
      <c r="I2641" s="256">
        <v>196</v>
      </c>
      <c r="J2641" s="256">
        <v>13455</v>
      </c>
      <c r="K2641" s="614">
        <f t="shared" ref="K2641:K2673" si="217">ROUND(I2641*J2641,0)</f>
        <v>2637180</v>
      </c>
      <c r="L2641" s="52" t="s">
        <v>157</v>
      </c>
      <c r="M2641" s="52" t="s">
        <v>151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94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>
        <f t="shared" si="211"/>
        <v>12</v>
      </c>
      <c r="C2642" s="191">
        <f t="shared" si="216"/>
        <v>40899</v>
      </c>
      <c r="D2642" s="860" t="s">
        <v>1421</v>
      </c>
      <c r="E2642" s="191">
        <v>40899</v>
      </c>
      <c r="F2642" s="40" t="s">
        <v>645</v>
      </c>
      <c r="G2642" s="40"/>
      <c r="H2642" s="628" t="s">
        <v>1092</v>
      </c>
      <c r="I2642" s="256">
        <v>32.5</v>
      </c>
      <c r="J2642" s="256">
        <v>32878</v>
      </c>
      <c r="K2642" s="614">
        <f t="shared" si="217"/>
        <v>1068535</v>
      </c>
      <c r="L2642" s="52" t="s">
        <v>157</v>
      </c>
      <c r="M2642" s="52" t="s">
        <v>151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94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>
        <f t="shared" si="211"/>
        <v>12</v>
      </c>
      <c r="C2643" s="191">
        <f t="shared" si="216"/>
        <v>40899</v>
      </c>
      <c r="D2643" s="860" t="s">
        <v>1421</v>
      </c>
      <c r="E2643" s="191">
        <v>40899</v>
      </c>
      <c r="F2643" s="189" t="s">
        <v>490</v>
      </c>
      <c r="G2643" s="40"/>
      <c r="H2643" s="628" t="s">
        <v>1092</v>
      </c>
      <c r="I2643" s="256">
        <v>10</v>
      </c>
      <c r="J2643" s="256">
        <v>17427</v>
      </c>
      <c r="K2643" s="614">
        <f t="shared" si="217"/>
        <v>174270</v>
      </c>
      <c r="L2643" s="52" t="s">
        <v>157</v>
      </c>
      <c r="M2643" s="52" t="s">
        <v>151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94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>
        <f t="shared" si="211"/>
        <v>12</v>
      </c>
      <c r="C2644" s="191">
        <f t="shared" si="216"/>
        <v>40899</v>
      </c>
      <c r="D2644" s="860" t="s">
        <v>1421</v>
      </c>
      <c r="E2644" s="191">
        <v>40899</v>
      </c>
      <c r="F2644" s="40" t="s">
        <v>656</v>
      </c>
      <c r="G2644" s="40"/>
      <c r="H2644" s="628" t="s">
        <v>1092</v>
      </c>
      <c r="I2644" s="256">
        <v>106</v>
      </c>
      <c r="J2644" s="256">
        <v>16631</v>
      </c>
      <c r="K2644" s="614">
        <f t="shared" si="217"/>
        <v>1762886</v>
      </c>
      <c r="L2644" s="52" t="s">
        <v>157</v>
      </c>
      <c r="M2644" s="52" t="s">
        <v>151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94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>
        <f t="shared" si="211"/>
        <v>12</v>
      </c>
      <c r="C2645" s="191">
        <f t="shared" si="216"/>
        <v>40899</v>
      </c>
      <c r="D2645" s="860" t="s">
        <v>1421</v>
      </c>
      <c r="E2645" s="191">
        <v>40899</v>
      </c>
      <c r="F2645" s="40" t="s">
        <v>655</v>
      </c>
      <c r="G2645" s="40"/>
      <c r="H2645" s="628" t="s">
        <v>1092</v>
      </c>
      <c r="I2645" s="256">
        <v>76</v>
      </c>
      <c r="J2645" s="256">
        <v>13455</v>
      </c>
      <c r="K2645" s="614">
        <f t="shared" si="217"/>
        <v>1022580</v>
      </c>
      <c r="L2645" s="52" t="s">
        <v>157</v>
      </c>
      <c r="M2645" s="52" t="s">
        <v>151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94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>
        <f t="shared" si="211"/>
        <v>12</v>
      </c>
      <c r="C2646" s="191">
        <f t="shared" si="216"/>
        <v>40899</v>
      </c>
      <c r="D2646" s="860" t="s">
        <v>1421</v>
      </c>
      <c r="E2646" s="191">
        <v>40899</v>
      </c>
      <c r="F2646" s="40" t="s">
        <v>656</v>
      </c>
      <c r="G2646" s="40"/>
      <c r="H2646" s="628" t="s">
        <v>1092</v>
      </c>
      <c r="I2646" s="256">
        <v>208</v>
      </c>
      <c r="J2646" s="256">
        <v>16631</v>
      </c>
      <c r="K2646" s="614">
        <f t="shared" si="217"/>
        <v>3459248</v>
      </c>
      <c r="L2646" s="52" t="s">
        <v>157</v>
      </c>
      <c r="M2646" s="52" t="s">
        <v>151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94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>
        <f t="shared" si="211"/>
        <v>12</v>
      </c>
      <c r="C2647" s="191">
        <f t="shared" si="216"/>
        <v>40899</v>
      </c>
      <c r="D2647" s="860" t="s">
        <v>1421</v>
      </c>
      <c r="E2647" s="191">
        <v>40899</v>
      </c>
      <c r="F2647" s="189" t="s">
        <v>507</v>
      </c>
      <c r="G2647" s="40"/>
      <c r="H2647" s="628" t="s">
        <v>1092</v>
      </c>
      <c r="I2647" s="256">
        <v>1</v>
      </c>
      <c r="J2647" s="256">
        <v>8620</v>
      </c>
      <c r="K2647" s="614">
        <f t="shared" si="217"/>
        <v>8620</v>
      </c>
      <c r="L2647" s="52" t="s">
        <v>157</v>
      </c>
      <c r="M2647" s="52" t="s">
        <v>151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94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>
        <f t="shared" si="211"/>
        <v>12</v>
      </c>
      <c r="C2648" s="191">
        <f t="shared" si="216"/>
        <v>40899</v>
      </c>
      <c r="D2648" s="860" t="s">
        <v>1421</v>
      </c>
      <c r="E2648" s="191">
        <v>40899</v>
      </c>
      <c r="F2648" s="40" t="s">
        <v>645</v>
      </c>
      <c r="G2648" s="40"/>
      <c r="H2648" s="628" t="s">
        <v>1092</v>
      </c>
      <c r="I2648" s="256">
        <v>4</v>
      </c>
      <c r="J2648" s="256">
        <v>32878</v>
      </c>
      <c r="K2648" s="614">
        <f t="shared" si="217"/>
        <v>131512</v>
      </c>
      <c r="L2648" s="52" t="s">
        <v>157</v>
      </c>
      <c r="M2648" s="52" t="s">
        <v>151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94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>
        <f t="shared" si="211"/>
        <v>12</v>
      </c>
      <c r="C2649" s="191">
        <f t="shared" si="216"/>
        <v>40899</v>
      </c>
      <c r="D2649" s="860" t="s">
        <v>1421</v>
      </c>
      <c r="E2649" s="191">
        <v>40899</v>
      </c>
      <c r="F2649" s="189" t="s">
        <v>630</v>
      </c>
      <c r="G2649" s="40"/>
      <c r="H2649" s="628" t="s">
        <v>1092</v>
      </c>
      <c r="I2649" s="256">
        <v>91</v>
      </c>
      <c r="J2649" s="256">
        <v>9954</v>
      </c>
      <c r="K2649" s="614">
        <f t="shared" si="217"/>
        <v>905814</v>
      </c>
      <c r="L2649" s="52" t="s">
        <v>157</v>
      </c>
      <c r="M2649" s="52" t="s">
        <v>151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94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>
        <f t="shared" si="211"/>
        <v>12</v>
      </c>
      <c r="C2650" s="191">
        <f t="shared" si="216"/>
        <v>40899</v>
      </c>
      <c r="D2650" s="48" t="s">
        <v>1411</v>
      </c>
      <c r="E2650" s="191">
        <v>40899</v>
      </c>
      <c r="F2650" s="40" t="s">
        <v>1374</v>
      </c>
      <c r="G2650" s="40"/>
      <c r="H2650" s="628" t="s">
        <v>1092</v>
      </c>
      <c r="I2650" s="256">
        <v>76</v>
      </c>
      <c r="J2650" s="256">
        <v>5456.2450279507066</v>
      </c>
      <c r="K2650" s="614">
        <f t="shared" si="217"/>
        <v>414675</v>
      </c>
      <c r="L2650" s="39" t="s">
        <v>159</v>
      </c>
      <c r="M2650" s="39" t="s">
        <v>157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94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>
        <f t="shared" si="211"/>
        <v>12</v>
      </c>
      <c r="C2651" s="191">
        <f t="shared" si="216"/>
        <v>40899</v>
      </c>
      <c r="D2651" s="48" t="s">
        <v>1411</v>
      </c>
      <c r="E2651" s="191">
        <v>40899</v>
      </c>
      <c r="F2651" s="40" t="s">
        <v>1376</v>
      </c>
      <c r="G2651" s="40"/>
      <c r="H2651" s="628" t="s">
        <v>1092</v>
      </c>
      <c r="I2651" s="256">
        <v>261</v>
      </c>
      <c r="J2651" s="256">
        <v>9918.5043544278178</v>
      </c>
      <c r="K2651" s="614">
        <f t="shared" si="217"/>
        <v>2588730</v>
      </c>
      <c r="L2651" s="39" t="s">
        <v>159</v>
      </c>
      <c r="M2651" s="39" t="s">
        <v>157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94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>
        <f t="shared" si="211"/>
        <v>12</v>
      </c>
      <c r="C2652" s="191">
        <f t="shared" si="216"/>
        <v>40899</v>
      </c>
      <c r="D2652" s="48" t="s">
        <v>1411</v>
      </c>
      <c r="E2652" s="191">
        <v>40899</v>
      </c>
      <c r="F2652" s="40" t="s">
        <v>903</v>
      </c>
      <c r="G2652" s="40"/>
      <c r="H2652" s="628" t="s">
        <v>1092</v>
      </c>
      <c r="I2652" s="256">
        <v>65</v>
      </c>
      <c r="J2652" s="256">
        <v>9579.2774166146737</v>
      </c>
      <c r="K2652" s="614">
        <f t="shared" si="217"/>
        <v>622653</v>
      </c>
      <c r="L2652" s="39" t="s">
        <v>159</v>
      </c>
      <c r="M2652" s="39" t="s">
        <v>157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94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>
        <f t="shared" si="211"/>
        <v>12</v>
      </c>
      <c r="C2653" s="191">
        <f t="shared" si="216"/>
        <v>40899</v>
      </c>
      <c r="D2653" s="48" t="s">
        <v>1411</v>
      </c>
      <c r="E2653" s="191">
        <v>40899</v>
      </c>
      <c r="F2653" s="40" t="s">
        <v>932</v>
      </c>
      <c r="G2653" s="40"/>
      <c r="H2653" s="628" t="s">
        <v>1092</v>
      </c>
      <c r="I2653" s="256">
        <v>1069</v>
      </c>
      <c r="J2653" s="256">
        <v>8032.3005151251436</v>
      </c>
      <c r="K2653" s="614">
        <f t="shared" si="217"/>
        <v>8586529</v>
      </c>
      <c r="L2653" s="39" t="s">
        <v>159</v>
      </c>
      <c r="M2653" s="39" t="s">
        <v>157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94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>
        <f t="shared" si="211"/>
        <v>12</v>
      </c>
      <c r="C2654" s="191">
        <f t="shared" si="216"/>
        <v>40899</v>
      </c>
      <c r="D2654" s="48" t="s">
        <v>1411</v>
      </c>
      <c r="E2654" s="191">
        <v>40899</v>
      </c>
      <c r="F2654" s="40" t="s">
        <v>904</v>
      </c>
      <c r="G2654" s="40"/>
      <c r="H2654" s="628" t="s">
        <v>1092</v>
      </c>
      <c r="I2654" s="256">
        <v>276</v>
      </c>
      <c r="J2654" s="256">
        <v>14753.504562657037</v>
      </c>
      <c r="K2654" s="614">
        <f t="shared" si="217"/>
        <v>4071967</v>
      </c>
      <c r="L2654" s="39" t="s">
        <v>159</v>
      </c>
      <c r="M2654" s="39" t="s">
        <v>157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94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>
        <f t="shared" si="211"/>
        <v>12</v>
      </c>
      <c r="C2655" s="191">
        <f t="shared" si="216"/>
        <v>40899</v>
      </c>
      <c r="D2655" s="48" t="s">
        <v>1411</v>
      </c>
      <c r="E2655" s="191">
        <v>40899</v>
      </c>
      <c r="F2655" s="40" t="s">
        <v>1359</v>
      </c>
      <c r="G2655" s="40"/>
      <c r="H2655" s="628" t="s">
        <v>1092</v>
      </c>
      <c r="I2655" s="256">
        <v>47</v>
      </c>
      <c r="J2655" s="256">
        <v>18087.252866696508</v>
      </c>
      <c r="K2655" s="614">
        <f t="shared" si="217"/>
        <v>850101</v>
      </c>
      <c r="L2655" s="39" t="s">
        <v>159</v>
      </c>
      <c r="M2655" s="39" t="s">
        <v>157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94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>
        <f t="shared" ref="B2656:B2719" si="218">IF(C2656&lt;&gt;"",MONTH(C2656),"")</f>
        <v>12</v>
      </c>
      <c r="C2656" s="191">
        <f t="shared" si="216"/>
        <v>40899</v>
      </c>
      <c r="D2656" s="48" t="s">
        <v>1411</v>
      </c>
      <c r="E2656" s="191">
        <v>40899</v>
      </c>
      <c r="F2656" s="40" t="s">
        <v>1364</v>
      </c>
      <c r="G2656" s="40"/>
      <c r="H2656" s="628" t="s">
        <v>1092</v>
      </c>
      <c r="I2656" s="256">
        <v>260</v>
      </c>
      <c r="J2656" s="256">
        <v>17929.504339691601</v>
      </c>
      <c r="K2656" s="614">
        <f t="shared" si="217"/>
        <v>4661671</v>
      </c>
      <c r="L2656" s="39" t="s">
        <v>159</v>
      </c>
      <c r="M2656" s="39" t="s">
        <v>157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94"/>
    </row>
    <row r="2657" spans="1:27" ht="15.75" customHeight="1">
      <c r="A2657" s="204" t="str">
        <f>IF(B2657&lt;&gt;"",IF(AND(B2657&gt;=_TM1,B2657&lt;=_TM2,OR(TH!L2657="1111",TH!M2657="1111")),TH!D2657,""),"")</f>
        <v/>
      </c>
      <c r="B2657" s="36">
        <f t="shared" si="218"/>
        <v>12</v>
      </c>
      <c r="C2657" s="191">
        <f t="shared" si="216"/>
        <v>40899</v>
      </c>
      <c r="D2657" s="48" t="s">
        <v>1412</v>
      </c>
      <c r="E2657" s="191">
        <v>40899</v>
      </c>
      <c r="F2657" s="40" t="s">
        <v>1377</v>
      </c>
      <c r="G2657" s="40"/>
      <c r="H2657" s="628" t="s">
        <v>1092</v>
      </c>
      <c r="I2657" s="256">
        <v>274</v>
      </c>
      <c r="J2657" s="256">
        <v>1995.5154851155157</v>
      </c>
      <c r="K2657" s="614">
        <f t="shared" si="217"/>
        <v>546771</v>
      </c>
      <c r="L2657" s="39" t="s">
        <v>159</v>
      </c>
      <c r="M2657" s="39" t="s">
        <v>157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94"/>
    </row>
    <row r="2658" spans="1:27" ht="15.75" customHeight="1">
      <c r="A2658" s="204" t="str">
        <f>IF(B2658&lt;&gt;"",IF(AND(B2658&gt;=_TM1,B2658&lt;=_TM2,OR(TH!L2658="1111",TH!M2658="1111")),TH!D2658,""),"")</f>
        <v/>
      </c>
      <c r="B2658" s="36">
        <f t="shared" si="218"/>
        <v>12</v>
      </c>
      <c r="C2658" s="191">
        <f t="shared" si="216"/>
        <v>40899</v>
      </c>
      <c r="D2658" s="48" t="s">
        <v>1412</v>
      </c>
      <c r="E2658" s="191">
        <v>40899</v>
      </c>
      <c r="F2658" s="40" t="s">
        <v>1378</v>
      </c>
      <c r="G2658" s="40"/>
      <c r="H2658" s="628" t="s">
        <v>1092</v>
      </c>
      <c r="I2658" s="256">
        <v>44</v>
      </c>
      <c r="J2658" s="256">
        <v>1918.5536403908975</v>
      </c>
      <c r="K2658" s="614">
        <f t="shared" si="217"/>
        <v>84416</v>
      </c>
      <c r="L2658" s="39" t="s">
        <v>159</v>
      </c>
      <c r="M2658" s="39" t="s">
        <v>157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94"/>
    </row>
    <row r="2659" spans="1:27" ht="15.75" customHeight="1">
      <c r="A2659" s="204" t="str">
        <f>IF(B2659&lt;&gt;"",IF(AND(B2659&gt;=_TM1,B2659&lt;=_TM2,OR(TH!L2659="1111",TH!M2659="1111")),TH!D2659,""),"")</f>
        <v/>
      </c>
      <c r="B2659" s="36">
        <f t="shared" si="218"/>
        <v>12</v>
      </c>
      <c r="C2659" s="191">
        <f t="shared" si="216"/>
        <v>40899</v>
      </c>
      <c r="D2659" s="48" t="s">
        <v>1412</v>
      </c>
      <c r="E2659" s="191">
        <v>40899</v>
      </c>
      <c r="F2659" s="40" t="s">
        <v>1379</v>
      </c>
      <c r="G2659" s="40"/>
      <c r="H2659" s="628" t="s">
        <v>1092</v>
      </c>
      <c r="I2659" s="256">
        <v>262</v>
      </c>
      <c r="J2659" s="256">
        <v>1662.0768881355191</v>
      </c>
      <c r="K2659" s="614">
        <f t="shared" si="217"/>
        <v>435464</v>
      </c>
      <c r="L2659" s="39" t="s">
        <v>159</v>
      </c>
      <c r="M2659" s="39" t="s">
        <v>157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94"/>
    </row>
    <row r="2660" spans="1:27" ht="15.75" customHeight="1">
      <c r="A2660" s="204" t="str">
        <f>IF(B2660&lt;&gt;"",IF(AND(B2660&gt;=_TM1,B2660&lt;=_TM2,OR(TH!L2660="1111",TH!M2660="1111")),TH!D2660,""),"")</f>
        <v/>
      </c>
      <c r="B2660" s="36">
        <f t="shared" si="218"/>
        <v>12</v>
      </c>
      <c r="C2660" s="191">
        <f t="shared" si="216"/>
        <v>40899</v>
      </c>
      <c r="D2660" s="48" t="s">
        <v>1412</v>
      </c>
      <c r="E2660" s="191">
        <v>40899</v>
      </c>
      <c r="F2660" s="40" t="s">
        <v>1380</v>
      </c>
      <c r="G2660" s="40"/>
      <c r="H2660" s="628" t="s">
        <v>1092</v>
      </c>
      <c r="I2660" s="256">
        <v>262</v>
      </c>
      <c r="J2660" s="256">
        <v>2186.8249797385729</v>
      </c>
      <c r="K2660" s="614">
        <f t="shared" si="217"/>
        <v>572948</v>
      </c>
      <c r="L2660" s="39" t="s">
        <v>159</v>
      </c>
      <c r="M2660" s="39" t="s">
        <v>157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94"/>
    </row>
    <row r="2661" spans="1:27" ht="15.75" customHeight="1">
      <c r="A2661" s="204" t="str">
        <f>IF(B2661&lt;&gt;"",IF(AND(B2661&gt;=_TM1,B2661&lt;=_TM2,OR(TH!L2661="1111",TH!M2661="1111")),TH!D2661,""),"")</f>
        <v/>
      </c>
      <c r="B2661" s="36">
        <f t="shared" si="218"/>
        <v>12</v>
      </c>
      <c r="C2661" s="191">
        <f t="shared" si="216"/>
        <v>40899</v>
      </c>
      <c r="D2661" s="48" t="s">
        <v>1412</v>
      </c>
      <c r="E2661" s="191">
        <v>40899</v>
      </c>
      <c r="F2661" s="40" t="s">
        <v>1381</v>
      </c>
      <c r="G2661" s="40"/>
      <c r="H2661" s="628" t="s">
        <v>1092</v>
      </c>
      <c r="I2661" s="256">
        <v>318</v>
      </c>
      <c r="J2661" s="256">
        <v>2070.6654185498455</v>
      </c>
      <c r="K2661" s="614">
        <f t="shared" si="217"/>
        <v>658472</v>
      </c>
      <c r="L2661" s="39" t="s">
        <v>159</v>
      </c>
      <c r="M2661" s="39" t="s">
        <v>157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94"/>
    </row>
    <row r="2662" spans="1:27" ht="15.75" customHeight="1">
      <c r="A2662" s="204" t="str">
        <f>IF(B2662&lt;&gt;"",IF(AND(B2662&gt;=_TM1,B2662&lt;=_TM2,OR(TH!L2662="1111",TH!M2662="1111")),TH!D2662,""),"")</f>
        <v/>
      </c>
      <c r="B2662" s="36">
        <f t="shared" si="218"/>
        <v>12</v>
      </c>
      <c r="C2662" s="191">
        <f t="shared" si="216"/>
        <v>40899</v>
      </c>
      <c r="D2662" s="37" t="s">
        <v>978</v>
      </c>
      <c r="E2662" s="191">
        <v>40899</v>
      </c>
      <c r="F2662" s="192" t="s">
        <v>1374</v>
      </c>
      <c r="G2662" s="498" t="s">
        <v>1375</v>
      </c>
      <c r="H2662" s="193" t="s">
        <v>733</v>
      </c>
      <c r="I2662" s="256">
        <v>76</v>
      </c>
      <c r="J2662" s="256">
        <v>5456.2450279507066</v>
      </c>
      <c r="K2662" s="866">
        <f t="shared" si="217"/>
        <v>414675</v>
      </c>
      <c r="L2662" s="854" t="s">
        <v>165</v>
      </c>
      <c r="M2662" s="854" t="s">
        <v>159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94"/>
    </row>
    <row r="2663" spans="1:27" ht="15.75" customHeight="1">
      <c r="A2663" s="204" t="str">
        <f>IF(B2663&lt;&gt;"",IF(AND(B2663&gt;=_TM1,B2663&lt;=_TM2,OR(TH!L2663="1111",TH!M2663="1111")),TH!D2663,""),"")</f>
        <v/>
      </c>
      <c r="B2663" s="36">
        <f t="shared" si="218"/>
        <v>12</v>
      </c>
      <c r="C2663" s="191">
        <f t="shared" si="216"/>
        <v>40899</v>
      </c>
      <c r="D2663" s="37" t="s">
        <v>978</v>
      </c>
      <c r="E2663" s="191">
        <v>40899</v>
      </c>
      <c r="F2663" s="192" t="s">
        <v>1376</v>
      </c>
      <c r="G2663" s="498" t="s">
        <v>1375</v>
      </c>
      <c r="H2663" s="193" t="s">
        <v>733</v>
      </c>
      <c r="I2663" s="256">
        <v>261</v>
      </c>
      <c r="J2663" s="256">
        <v>9918.5043544278178</v>
      </c>
      <c r="K2663" s="866">
        <f t="shared" si="217"/>
        <v>2588730</v>
      </c>
      <c r="L2663" s="854" t="s">
        <v>165</v>
      </c>
      <c r="M2663" s="854" t="s">
        <v>159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94"/>
    </row>
    <row r="2664" spans="1:27" ht="15.75" customHeight="1">
      <c r="A2664" s="204" t="str">
        <f>IF(B2664&lt;&gt;"",IF(AND(B2664&gt;=_TM1,B2664&lt;=_TM2,OR(TH!L2664="1111",TH!M2664="1111")),TH!D2664,""),"")</f>
        <v/>
      </c>
      <c r="B2664" s="36">
        <f t="shared" si="218"/>
        <v>12</v>
      </c>
      <c r="C2664" s="191">
        <f t="shared" si="216"/>
        <v>40899</v>
      </c>
      <c r="D2664" s="37" t="s">
        <v>978</v>
      </c>
      <c r="E2664" s="191">
        <v>40899</v>
      </c>
      <c r="F2664" s="192" t="s">
        <v>903</v>
      </c>
      <c r="G2664" s="498" t="s">
        <v>1375</v>
      </c>
      <c r="H2664" s="193" t="s">
        <v>733</v>
      </c>
      <c r="I2664" s="256">
        <v>65</v>
      </c>
      <c r="J2664" s="256">
        <v>9579.2774166146737</v>
      </c>
      <c r="K2664" s="866">
        <f t="shared" si="217"/>
        <v>622653</v>
      </c>
      <c r="L2664" s="854" t="s">
        <v>165</v>
      </c>
      <c r="M2664" s="854" t="s">
        <v>159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94"/>
    </row>
    <row r="2665" spans="1:27" ht="15.75" customHeight="1">
      <c r="A2665" s="204" t="str">
        <f>IF(B2665&lt;&gt;"",IF(AND(B2665&gt;=_TM1,B2665&lt;=_TM2,OR(TH!L2665="1111",TH!M2665="1111")),TH!D2665,""),"")</f>
        <v/>
      </c>
      <c r="B2665" s="36">
        <f t="shared" si="218"/>
        <v>12</v>
      </c>
      <c r="C2665" s="191">
        <f t="shared" si="216"/>
        <v>40899</v>
      </c>
      <c r="D2665" s="37" t="s">
        <v>978</v>
      </c>
      <c r="E2665" s="191">
        <v>40899</v>
      </c>
      <c r="F2665" s="192" t="s">
        <v>932</v>
      </c>
      <c r="G2665" s="498" t="s">
        <v>1375</v>
      </c>
      <c r="H2665" s="193" t="s">
        <v>733</v>
      </c>
      <c r="I2665" s="256">
        <v>1069</v>
      </c>
      <c r="J2665" s="256">
        <v>8032.3005151251436</v>
      </c>
      <c r="K2665" s="866">
        <f t="shared" si="217"/>
        <v>8586529</v>
      </c>
      <c r="L2665" s="854" t="s">
        <v>165</v>
      </c>
      <c r="M2665" s="854" t="s">
        <v>159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94"/>
    </row>
    <row r="2666" spans="1:27" ht="15.75" customHeight="1">
      <c r="A2666" s="204" t="str">
        <f>IF(B2666&lt;&gt;"",IF(AND(B2666&gt;=_TM1,B2666&lt;=_TM2,OR(TH!L2666="1111",TH!M2666="1111")),TH!D2666,""),"")</f>
        <v/>
      </c>
      <c r="B2666" s="36">
        <f t="shared" si="218"/>
        <v>12</v>
      </c>
      <c r="C2666" s="191">
        <f t="shared" si="216"/>
        <v>40899</v>
      </c>
      <c r="D2666" s="37" t="s">
        <v>978</v>
      </c>
      <c r="E2666" s="191">
        <v>40899</v>
      </c>
      <c r="F2666" s="192" t="s">
        <v>904</v>
      </c>
      <c r="G2666" s="498" t="s">
        <v>1375</v>
      </c>
      <c r="H2666" s="193" t="s">
        <v>733</v>
      </c>
      <c r="I2666" s="256">
        <v>276</v>
      </c>
      <c r="J2666" s="256">
        <v>14753.504562657037</v>
      </c>
      <c r="K2666" s="866">
        <f t="shared" si="217"/>
        <v>4071967</v>
      </c>
      <c r="L2666" s="854" t="s">
        <v>165</v>
      </c>
      <c r="M2666" s="854" t="s">
        <v>159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94"/>
    </row>
    <row r="2667" spans="1:27" ht="15.75" customHeight="1">
      <c r="A2667" s="204" t="str">
        <f>IF(B2667&lt;&gt;"",IF(AND(B2667&gt;=_TM1,B2667&lt;=_TM2,OR(TH!L2667="1111",TH!M2667="1111")),TH!D2667,""),"")</f>
        <v/>
      </c>
      <c r="B2667" s="36">
        <f t="shared" si="218"/>
        <v>12</v>
      </c>
      <c r="C2667" s="191">
        <f t="shared" si="216"/>
        <v>40899</v>
      </c>
      <c r="D2667" s="37" t="s">
        <v>978</v>
      </c>
      <c r="E2667" s="191">
        <v>40899</v>
      </c>
      <c r="F2667" s="192" t="s">
        <v>1359</v>
      </c>
      <c r="G2667" s="498" t="s">
        <v>1375</v>
      </c>
      <c r="H2667" s="193" t="s">
        <v>733</v>
      </c>
      <c r="I2667" s="256">
        <v>47</v>
      </c>
      <c r="J2667" s="256">
        <v>18087.252866696508</v>
      </c>
      <c r="K2667" s="866">
        <f t="shared" si="217"/>
        <v>850101</v>
      </c>
      <c r="L2667" s="854" t="s">
        <v>165</v>
      </c>
      <c r="M2667" s="854" t="s">
        <v>159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94"/>
    </row>
    <row r="2668" spans="1:27" ht="15.75" customHeight="1">
      <c r="A2668" s="204" t="str">
        <f>IF(B2668&lt;&gt;"",IF(AND(B2668&gt;=_TM1,B2668&lt;=_TM2,OR(TH!L2668="1111",TH!M2668="1111")),TH!D2668,""),"")</f>
        <v/>
      </c>
      <c r="B2668" s="36">
        <f t="shared" si="218"/>
        <v>12</v>
      </c>
      <c r="C2668" s="191">
        <f t="shared" si="216"/>
        <v>40899</v>
      </c>
      <c r="D2668" s="37" t="s">
        <v>978</v>
      </c>
      <c r="E2668" s="191">
        <v>40899</v>
      </c>
      <c r="F2668" s="192" t="s">
        <v>1364</v>
      </c>
      <c r="G2668" s="498" t="s">
        <v>1375</v>
      </c>
      <c r="H2668" s="193" t="s">
        <v>733</v>
      </c>
      <c r="I2668" s="256">
        <v>260</v>
      </c>
      <c r="J2668" s="256">
        <v>17929.504339691601</v>
      </c>
      <c r="K2668" s="866">
        <f t="shared" si="217"/>
        <v>4661671</v>
      </c>
      <c r="L2668" s="854" t="s">
        <v>165</v>
      </c>
      <c r="M2668" s="854" t="s">
        <v>159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94"/>
    </row>
    <row r="2669" spans="1:27" ht="15.75" customHeight="1">
      <c r="A2669" s="204" t="str">
        <f>IF(B2669&lt;&gt;"",IF(AND(B2669&gt;=_TM1,B2669&lt;=_TM2,OR(TH!L2669="1111",TH!M2669="1111")),TH!D2669,""),"")</f>
        <v/>
      </c>
      <c r="B2669" s="36">
        <f t="shared" si="218"/>
        <v>12</v>
      </c>
      <c r="C2669" s="191">
        <f t="shared" si="216"/>
        <v>40899</v>
      </c>
      <c r="D2669" s="37" t="s">
        <v>978</v>
      </c>
      <c r="E2669" s="191">
        <v>40899</v>
      </c>
      <c r="F2669" s="192" t="s">
        <v>1377</v>
      </c>
      <c r="G2669" s="498" t="s">
        <v>1375</v>
      </c>
      <c r="H2669" s="193" t="s">
        <v>733</v>
      </c>
      <c r="I2669" s="256">
        <v>274</v>
      </c>
      <c r="J2669" s="256">
        <v>1995.5154851155157</v>
      </c>
      <c r="K2669" s="866">
        <f t="shared" si="217"/>
        <v>546771</v>
      </c>
      <c r="L2669" s="854" t="s">
        <v>165</v>
      </c>
      <c r="M2669" s="854" t="s">
        <v>159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94"/>
    </row>
    <row r="2670" spans="1:27" ht="15.75" customHeight="1">
      <c r="A2670" s="204" t="str">
        <f>IF(B2670&lt;&gt;"",IF(AND(B2670&gt;=_TM1,B2670&lt;=_TM2,OR(TH!L2670="1111",TH!M2670="1111")),TH!D2670,""),"")</f>
        <v/>
      </c>
      <c r="B2670" s="36">
        <f t="shared" si="218"/>
        <v>12</v>
      </c>
      <c r="C2670" s="191">
        <f t="shared" si="216"/>
        <v>40899</v>
      </c>
      <c r="D2670" s="37" t="s">
        <v>978</v>
      </c>
      <c r="E2670" s="191">
        <v>40899</v>
      </c>
      <c r="F2670" s="192" t="s">
        <v>1378</v>
      </c>
      <c r="G2670" s="498" t="s">
        <v>1375</v>
      </c>
      <c r="H2670" s="193" t="s">
        <v>733</v>
      </c>
      <c r="I2670" s="256">
        <v>44</v>
      </c>
      <c r="J2670" s="256">
        <v>1918.5536403908975</v>
      </c>
      <c r="K2670" s="866">
        <f t="shared" si="217"/>
        <v>84416</v>
      </c>
      <c r="L2670" s="854" t="s">
        <v>165</v>
      </c>
      <c r="M2670" s="854" t="s">
        <v>159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94"/>
    </row>
    <row r="2671" spans="1:27" ht="15.75" customHeight="1">
      <c r="A2671" s="204" t="str">
        <f>IF(B2671&lt;&gt;"",IF(AND(B2671&gt;=_TM1,B2671&lt;=_TM2,OR(TH!L2671="1111",TH!M2671="1111")),TH!D2671,""),"")</f>
        <v/>
      </c>
      <c r="B2671" s="36">
        <f t="shared" si="218"/>
        <v>12</v>
      </c>
      <c r="C2671" s="191">
        <f t="shared" si="216"/>
        <v>40899</v>
      </c>
      <c r="D2671" s="37" t="s">
        <v>978</v>
      </c>
      <c r="E2671" s="191">
        <v>40899</v>
      </c>
      <c r="F2671" s="192" t="s">
        <v>1379</v>
      </c>
      <c r="G2671" s="498" t="s">
        <v>1375</v>
      </c>
      <c r="H2671" s="193" t="s">
        <v>733</v>
      </c>
      <c r="I2671" s="256">
        <v>262</v>
      </c>
      <c r="J2671" s="256">
        <v>1662.0768881355191</v>
      </c>
      <c r="K2671" s="866">
        <f t="shared" si="217"/>
        <v>435464</v>
      </c>
      <c r="L2671" s="854" t="s">
        <v>165</v>
      </c>
      <c r="M2671" s="854" t="s">
        <v>159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94"/>
    </row>
    <row r="2672" spans="1:27" ht="15.75" customHeight="1">
      <c r="A2672" s="204" t="str">
        <f>IF(B2672&lt;&gt;"",IF(AND(B2672&gt;=_TM1,B2672&lt;=_TM2,OR(TH!L2672="1111",TH!M2672="1111")),TH!D2672,""),"")</f>
        <v/>
      </c>
      <c r="B2672" s="36">
        <f t="shared" si="218"/>
        <v>12</v>
      </c>
      <c r="C2672" s="191">
        <f t="shared" si="216"/>
        <v>40899</v>
      </c>
      <c r="D2672" s="37" t="s">
        <v>978</v>
      </c>
      <c r="E2672" s="191">
        <v>40899</v>
      </c>
      <c r="F2672" s="192" t="s">
        <v>1380</v>
      </c>
      <c r="G2672" s="498" t="s">
        <v>1375</v>
      </c>
      <c r="H2672" s="193" t="s">
        <v>733</v>
      </c>
      <c r="I2672" s="256">
        <v>262</v>
      </c>
      <c r="J2672" s="256">
        <v>2186.8249797385729</v>
      </c>
      <c r="K2672" s="866">
        <f t="shared" si="217"/>
        <v>572948</v>
      </c>
      <c r="L2672" s="854" t="s">
        <v>165</v>
      </c>
      <c r="M2672" s="854" t="s">
        <v>159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94"/>
    </row>
    <row r="2673" spans="1:30" ht="15.75" customHeight="1">
      <c r="A2673" s="204" t="str">
        <f>IF(B2673&lt;&gt;"",IF(AND(B2673&gt;=_TM1,B2673&lt;=_TM2,OR(TH!L2673="1111",TH!M2673="1111")),TH!D2673,""),"")</f>
        <v/>
      </c>
      <c r="B2673" s="36">
        <f t="shared" si="218"/>
        <v>12</v>
      </c>
      <c r="C2673" s="191">
        <f t="shared" si="216"/>
        <v>40899</v>
      </c>
      <c r="D2673" s="37" t="s">
        <v>978</v>
      </c>
      <c r="E2673" s="191">
        <v>40899</v>
      </c>
      <c r="F2673" s="192" t="s">
        <v>1381</v>
      </c>
      <c r="G2673" s="498" t="s">
        <v>1375</v>
      </c>
      <c r="H2673" s="193" t="s">
        <v>733</v>
      </c>
      <c r="I2673" s="256">
        <v>318</v>
      </c>
      <c r="J2673" s="256">
        <v>2070.6654185498455</v>
      </c>
      <c r="K2673" s="866">
        <f t="shared" si="217"/>
        <v>658472</v>
      </c>
      <c r="L2673" s="854" t="s">
        <v>165</v>
      </c>
      <c r="M2673" s="854" t="s">
        <v>159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94"/>
    </row>
    <row r="2674" spans="1:30" ht="15.75" customHeight="1">
      <c r="A2674" s="204" t="str">
        <f>IF(B2674&lt;&gt;"",IF(AND(B2674&gt;=_TM1,B2674&lt;=_TM2,OR(TH!L2674="1111",TH!M2674="1111")),TH!D2674,""),"")</f>
        <v/>
      </c>
      <c r="B2674" s="36">
        <f t="shared" si="218"/>
        <v>12</v>
      </c>
      <c r="C2674" s="184">
        <v>40901</v>
      </c>
      <c r="D2674" s="184" t="s">
        <v>333</v>
      </c>
      <c r="E2674" s="184">
        <v>40901</v>
      </c>
      <c r="F2674" s="189" t="s">
        <v>364</v>
      </c>
      <c r="G2674" s="616" t="s">
        <v>330</v>
      </c>
      <c r="H2674" s="628"/>
      <c r="I2674" s="256"/>
      <c r="J2674" s="256"/>
      <c r="K2674" s="614">
        <v>62339</v>
      </c>
      <c r="L2674" s="615" t="s">
        <v>23</v>
      </c>
      <c r="M2674" s="615" t="s">
        <v>39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94"/>
    </row>
    <row r="2675" spans="1:30" ht="15.75" customHeight="1">
      <c r="A2675" s="204" t="str">
        <f>IF(B2675&lt;&gt;"",IF(AND(B2675&gt;=_TM1,B2675&lt;=_TM2,OR(TH!L2675="1111",TH!M2675="1111")),TH!D2675,""),"")</f>
        <v>C21</v>
      </c>
      <c r="B2675" s="36">
        <f t="shared" si="218"/>
        <v>12</v>
      </c>
      <c r="C2675" s="191">
        <f t="shared" ref="C2675:C2706" si="219">E2675</f>
        <v>40901</v>
      </c>
      <c r="D2675" s="184" t="s">
        <v>671</v>
      </c>
      <c r="E2675" s="184">
        <v>40901</v>
      </c>
      <c r="F2675" s="189" t="s">
        <v>1080</v>
      </c>
      <c r="G2675" s="498"/>
      <c r="H2675" s="7" t="s">
        <v>499</v>
      </c>
      <c r="I2675" s="256"/>
      <c r="J2675" s="256"/>
      <c r="K2675" s="38">
        <v>1715994</v>
      </c>
      <c r="L2675" s="194" t="s">
        <v>8</v>
      </c>
      <c r="M2675" s="194" t="s">
        <v>46</v>
      </c>
      <c r="N2675" s="52" t="str">
        <f>IF(AND('331-CT'!$E$7=TH!H2675,OR(L2675="331",M2675="331")),"331",IF(AND(OR(L2675="131",M2675="131"),H2675='131-CT'!$E$7),"131",""))</f>
        <v>331</v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94"/>
      <c r="AB2675" s="606"/>
      <c r="AC2675" s="606"/>
      <c r="AD2675" s="211"/>
    </row>
    <row r="2676" spans="1:30" ht="15.75" customHeight="1">
      <c r="A2676" s="204" t="str">
        <f>IF(B2676&lt;&gt;"",IF(AND(B2676&gt;=_TM1,B2676&lt;=_TM2,OR(TH!L2676="1111",TH!M2676="1111")),TH!D2676,""),"")</f>
        <v>C22</v>
      </c>
      <c r="B2676" s="36">
        <f t="shared" si="218"/>
        <v>12</v>
      </c>
      <c r="C2676" s="191">
        <f t="shared" si="219"/>
        <v>40901</v>
      </c>
      <c r="D2676" s="184" t="s">
        <v>672</v>
      </c>
      <c r="E2676" s="184">
        <v>40901</v>
      </c>
      <c r="F2676" s="189" t="s">
        <v>1080</v>
      </c>
      <c r="G2676" s="498"/>
      <c r="H2676" s="7" t="s">
        <v>548</v>
      </c>
      <c r="I2676" s="256"/>
      <c r="J2676" s="256"/>
      <c r="K2676" s="38">
        <v>9998</v>
      </c>
      <c r="L2676" s="194" t="s">
        <v>8</v>
      </c>
      <c r="M2676" s="194" t="s">
        <v>46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94"/>
      <c r="AB2676" s="606"/>
      <c r="AC2676" s="606"/>
      <c r="AD2676" s="211"/>
    </row>
    <row r="2677" spans="1:30" ht="15.75" customHeight="1">
      <c r="A2677" s="204" t="str">
        <f>IF(B2677&lt;&gt;"",IF(AND(B2677&gt;=_TM1,B2677&lt;=_TM2,OR(TH!L2677="1111",TH!M2677="1111")),TH!D2677,""),"")</f>
        <v>T06</v>
      </c>
      <c r="B2677" s="36">
        <f t="shared" si="218"/>
        <v>12</v>
      </c>
      <c r="C2677" s="191">
        <f t="shared" si="219"/>
        <v>40901</v>
      </c>
      <c r="D2677" s="191" t="s">
        <v>954</v>
      </c>
      <c r="E2677" s="184">
        <v>40901</v>
      </c>
      <c r="F2677" s="192" t="s">
        <v>1206</v>
      </c>
      <c r="G2677" s="498"/>
      <c r="H2677" s="834" t="s">
        <v>766</v>
      </c>
      <c r="I2677" s="256"/>
      <c r="J2677" s="256"/>
      <c r="K2677" s="614">
        <v>1001286</v>
      </c>
      <c r="L2677" s="194" t="s">
        <v>46</v>
      </c>
      <c r="M2677" s="194" t="s">
        <v>259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94"/>
    </row>
    <row r="2678" spans="1:30" ht="15.75" customHeight="1">
      <c r="A2678" s="204" t="str">
        <f>IF(B2678&lt;&gt;"",IF(AND(B2678&gt;=_TM1,B2678&lt;=_TM2,OR(TH!L2678="1111",TH!M2678="1111")),TH!D2678,""),"")</f>
        <v/>
      </c>
      <c r="B2678" s="36">
        <f t="shared" si="218"/>
        <v>12</v>
      </c>
      <c r="C2678" s="191">
        <f t="shared" si="219"/>
        <v>40902</v>
      </c>
      <c r="D2678" s="860" t="s">
        <v>1422</v>
      </c>
      <c r="E2678" s="191">
        <v>40902</v>
      </c>
      <c r="F2678" s="189" t="s">
        <v>630</v>
      </c>
      <c r="G2678" s="40"/>
      <c r="H2678" s="628" t="s">
        <v>1092</v>
      </c>
      <c r="I2678" s="256">
        <v>54</v>
      </c>
      <c r="J2678" s="256">
        <v>9954</v>
      </c>
      <c r="K2678" s="614">
        <f t="shared" ref="K2678:K2706" si="220">ROUND(I2678*J2678,0)</f>
        <v>537516</v>
      </c>
      <c r="L2678" s="52" t="s">
        <v>157</v>
      </c>
      <c r="M2678" s="52" t="s">
        <v>151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94"/>
    </row>
    <row r="2679" spans="1:30" ht="15.75" customHeight="1">
      <c r="A2679" s="204" t="str">
        <f>IF(B2679&lt;&gt;"",IF(AND(B2679&gt;=_TM1,B2679&lt;=_TM2,OR(TH!L2679="1111",TH!M2679="1111")),TH!D2679,""),"")</f>
        <v/>
      </c>
      <c r="B2679" s="36">
        <f t="shared" si="218"/>
        <v>12</v>
      </c>
      <c r="C2679" s="191">
        <f t="shared" si="219"/>
        <v>40902</v>
      </c>
      <c r="D2679" s="860" t="s">
        <v>1422</v>
      </c>
      <c r="E2679" s="191">
        <v>40902</v>
      </c>
      <c r="F2679" s="189" t="s">
        <v>630</v>
      </c>
      <c r="G2679" s="40"/>
      <c r="H2679" s="628" t="s">
        <v>1092</v>
      </c>
      <c r="I2679" s="256">
        <v>54</v>
      </c>
      <c r="J2679" s="256">
        <v>9954</v>
      </c>
      <c r="K2679" s="614">
        <f t="shared" si="220"/>
        <v>537516</v>
      </c>
      <c r="L2679" s="52" t="s">
        <v>157</v>
      </c>
      <c r="M2679" s="52" t="s">
        <v>151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94"/>
    </row>
    <row r="2680" spans="1:30" ht="15.75" customHeight="1">
      <c r="A2680" s="204" t="str">
        <f>IF(B2680&lt;&gt;"",IF(AND(B2680&gt;=_TM1,B2680&lt;=_TM2,OR(TH!L2680="1111",TH!M2680="1111")),TH!D2680,""),"")</f>
        <v/>
      </c>
      <c r="B2680" s="36">
        <f t="shared" si="218"/>
        <v>12</v>
      </c>
      <c r="C2680" s="191">
        <f t="shared" si="219"/>
        <v>40902</v>
      </c>
      <c r="D2680" s="860" t="s">
        <v>1422</v>
      </c>
      <c r="E2680" s="191">
        <v>40902</v>
      </c>
      <c r="F2680" s="189" t="s">
        <v>490</v>
      </c>
      <c r="G2680" s="40"/>
      <c r="H2680" s="628" t="s">
        <v>1092</v>
      </c>
      <c r="I2680" s="256">
        <v>1</v>
      </c>
      <c r="J2680" s="256">
        <v>17427</v>
      </c>
      <c r="K2680" s="614">
        <f t="shared" si="220"/>
        <v>17427</v>
      </c>
      <c r="L2680" s="52" t="s">
        <v>157</v>
      </c>
      <c r="M2680" s="52" t="s">
        <v>151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94"/>
    </row>
    <row r="2681" spans="1:30" ht="15.75" customHeight="1">
      <c r="A2681" s="204" t="str">
        <f>IF(B2681&lt;&gt;"",IF(AND(B2681&gt;=_TM1,B2681&lt;=_TM2,OR(TH!L2681="1111",TH!M2681="1111")),TH!D2681,""),"")</f>
        <v/>
      </c>
      <c r="B2681" s="36">
        <f t="shared" si="218"/>
        <v>12</v>
      </c>
      <c r="C2681" s="191">
        <f t="shared" si="219"/>
        <v>40902</v>
      </c>
      <c r="D2681" s="860" t="s">
        <v>1422</v>
      </c>
      <c r="E2681" s="191">
        <v>40902</v>
      </c>
      <c r="F2681" s="40" t="s">
        <v>650</v>
      </c>
      <c r="G2681" s="40"/>
      <c r="H2681" s="628" t="s">
        <v>1092</v>
      </c>
      <c r="I2681" s="256">
        <v>7</v>
      </c>
      <c r="J2681" s="256">
        <v>15443</v>
      </c>
      <c r="K2681" s="614">
        <f t="shared" si="220"/>
        <v>108101</v>
      </c>
      <c r="L2681" s="52" t="s">
        <v>157</v>
      </c>
      <c r="M2681" s="52" t="s">
        <v>151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94"/>
    </row>
    <row r="2682" spans="1:30" ht="15.75" customHeight="1">
      <c r="A2682" s="204" t="str">
        <f>IF(B2682&lt;&gt;"",IF(AND(B2682&gt;=_TM1,B2682&lt;=_TM2,OR(TH!L2682="1111",TH!M2682="1111")),TH!D2682,""),"")</f>
        <v/>
      </c>
      <c r="B2682" s="36">
        <f t="shared" si="218"/>
        <v>12</v>
      </c>
      <c r="C2682" s="191">
        <f t="shared" si="219"/>
        <v>40902</v>
      </c>
      <c r="D2682" s="860" t="s">
        <v>1422</v>
      </c>
      <c r="E2682" s="191">
        <v>40902</v>
      </c>
      <c r="F2682" s="40" t="s">
        <v>642</v>
      </c>
      <c r="G2682" s="40"/>
      <c r="H2682" s="628" t="s">
        <v>1092</v>
      </c>
      <c r="I2682" s="256">
        <v>20</v>
      </c>
      <c r="J2682" s="256">
        <v>20278</v>
      </c>
      <c r="K2682" s="614">
        <f t="shared" si="220"/>
        <v>405560</v>
      </c>
      <c r="L2682" s="52" t="s">
        <v>157</v>
      </c>
      <c r="M2682" s="52" t="s">
        <v>151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94"/>
    </row>
    <row r="2683" spans="1:30" ht="15.75" customHeight="1">
      <c r="A2683" s="204" t="str">
        <f>IF(B2683&lt;&gt;"",IF(AND(B2683&gt;=_TM1,B2683&lt;=_TM2,OR(TH!L2683="1111",TH!M2683="1111")),TH!D2683,""),"")</f>
        <v/>
      </c>
      <c r="B2683" s="36">
        <f t="shared" si="218"/>
        <v>12</v>
      </c>
      <c r="C2683" s="191">
        <f t="shared" si="219"/>
        <v>40902</v>
      </c>
      <c r="D2683" s="860" t="s">
        <v>1422</v>
      </c>
      <c r="E2683" s="191">
        <v>40902</v>
      </c>
      <c r="F2683" s="40" t="s">
        <v>598</v>
      </c>
      <c r="G2683" s="40"/>
      <c r="H2683" s="628" t="s">
        <v>1092</v>
      </c>
      <c r="I2683" s="256">
        <v>10</v>
      </c>
      <c r="J2683" s="256">
        <v>17374</v>
      </c>
      <c r="K2683" s="614">
        <f t="shared" si="220"/>
        <v>173740</v>
      </c>
      <c r="L2683" s="52" t="s">
        <v>157</v>
      </c>
      <c r="M2683" s="52" t="s">
        <v>151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94"/>
    </row>
    <row r="2684" spans="1:30" ht="15.75" customHeight="1">
      <c r="A2684" s="204" t="str">
        <f>IF(B2684&lt;&gt;"",IF(AND(B2684&gt;=_TM1,B2684&lt;=_TM2,OR(TH!L2684="1111",TH!M2684="1111")),TH!D2684,""),"")</f>
        <v/>
      </c>
      <c r="B2684" s="36">
        <f t="shared" si="218"/>
        <v>12</v>
      </c>
      <c r="C2684" s="191">
        <f t="shared" si="219"/>
        <v>40902</v>
      </c>
      <c r="D2684" s="860" t="s">
        <v>1422</v>
      </c>
      <c r="E2684" s="191">
        <v>40902</v>
      </c>
      <c r="F2684" s="40" t="s">
        <v>650</v>
      </c>
      <c r="G2684" s="40"/>
      <c r="H2684" s="628" t="s">
        <v>1092</v>
      </c>
      <c r="I2684" s="256">
        <v>2</v>
      </c>
      <c r="J2684" s="256">
        <v>15443</v>
      </c>
      <c r="K2684" s="614">
        <f t="shared" si="220"/>
        <v>30886</v>
      </c>
      <c r="L2684" s="52" t="s">
        <v>157</v>
      </c>
      <c r="M2684" s="52" t="s">
        <v>151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94"/>
    </row>
    <row r="2685" spans="1:30" ht="15.75" customHeight="1">
      <c r="A2685" s="204" t="str">
        <f>IF(B2685&lt;&gt;"",IF(AND(B2685&gt;=_TM1,B2685&lt;=_TM2,OR(TH!L2685="1111",TH!M2685="1111")),TH!D2685,""),"")</f>
        <v/>
      </c>
      <c r="B2685" s="36">
        <f t="shared" si="218"/>
        <v>12</v>
      </c>
      <c r="C2685" s="191">
        <f t="shared" si="219"/>
        <v>40902</v>
      </c>
      <c r="D2685" s="860" t="s">
        <v>1422</v>
      </c>
      <c r="E2685" s="191">
        <v>40902</v>
      </c>
      <c r="F2685" s="40" t="s">
        <v>656</v>
      </c>
      <c r="G2685" s="40"/>
      <c r="H2685" s="628" t="s">
        <v>1092</v>
      </c>
      <c r="I2685" s="256">
        <v>108</v>
      </c>
      <c r="J2685" s="256">
        <v>16631</v>
      </c>
      <c r="K2685" s="614">
        <f t="shared" si="220"/>
        <v>1796148</v>
      </c>
      <c r="L2685" s="52" t="s">
        <v>157</v>
      </c>
      <c r="M2685" s="52" t="s">
        <v>151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94"/>
    </row>
    <row r="2686" spans="1:30" ht="15.75" customHeight="1">
      <c r="A2686" s="204" t="str">
        <f>IF(B2686&lt;&gt;"",IF(AND(B2686&gt;=_TM1,B2686&lt;=_TM2,OR(TH!L2686="1111",TH!M2686="1111")),TH!D2686,""),"")</f>
        <v/>
      </c>
      <c r="B2686" s="36">
        <f t="shared" si="218"/>
        <v>12</v>
      </c>
      <c r="C2686" s="191">
        <f t="shared" si="219"/>
        <v>40902</v>
      </c>
      <c r="D2686" s="860" t="s">
        <v>1422</v>
      </c>
      <c r="E2686" s="191">
        <v>40902</v>
      </c>
      <c r="F2686" s="40" t="s">
        <v>650</v>
      </c>
      <c r="G2686" s="40"/>
      <c r="H2686" s="628" t="s">
        <v>1092</v>
      </c>
      <c r="I2686" s="256">
        <v>2</v>
      </c>
      <c r="J2686" s="256">
        <v>15443</v>
      </c>
      <c r="K2686" s="614">
        <f t="shared" si="220"/>
        <v>30886</v>
      </c>
      <c r="L2686" s="52" t="s">
        <v>157</v>
      </c>
      <c r="M2686" s="52" t="s">
        <v>151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94"/>
    </row>
    <row r="2687" spans="1:30" ht="15.75" customHeight="1">
      <c r="A2687" s="204" t="str">
        <f>IF(B2687&lt;&gt;"",IF(AND(B2687&gt;=_TM1,B2687&lt;=_TM2,OR(TH!L2687="1111",TH!M2687="1111")),TH!D2687,""),"")</f>
        <v/>
      </c>
      <c r="B2687" s="36">
        <f t="shared" si="218"/>
        <v>12</v>
      </c>
      <c r="C2687" s="191">
        <f t="shared" si="219"/>
        <v>40902</v>
      </c>
      <c r="D2687" s="860" t="s">
        <v>1423</v>
      </c>
      <c r="E2687" s="191">
        <v>40902</v>
      </c>
      <c r="F2687" s="189" t="s">
        <v>507</v>
      </c>
      <c r="G2687" s="40"/>
      <c r="H2687" s="628" t="s">
        <v>1092</v>
      </c>
      <c r="I2687" s="256">
        <v>3</v>
      </c>
      <c r="J2687" s="256">
        <v>8620</v>
      </c>
      <c r="K2687" s="614">
        <f t="shared" si="220"/>
        <v>25860</v>
      </c>
      <c r="L2687" s="52" t="s">
        <v>157</v>
      </c>
      <c r="M2687" s="52" t="s">
        <v>151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94"/>
    </row>
    <row r="2688" spans="1:30" ht="15.75" customHeight="1">
      <c r="A2688" s="204" t="str">
        <f>IF(B2688&lt;&gt;"",IF(AND(B2688&gt;=_TM1,B2688&lt;=_TM2,OR(TH!L2688="1111",TH!M2688="1111")),TH!D2688,""),"")</f>
        <v/>
      </c>
      <c r="B2688" s="36">
        <f t="shared" si="218"/>
        <v>12</v>
      </c>
      <c r="C2688" s="191">
        <f t="shared" si="219"/>
        <v>40902</v>
      </c>
      <c r="D2688" s="860" t="s">
        <v>1423</v>
      </c>
      <c r="E2688" s="191">
        <v>40902</v>
      </c>
      <c r="F2688" s="189" t="s">
        <v>549</v>
      </c>
      <c r="G2688" s="40"/>
      <c r="H2688" s="628" t="s">
        <v>1092</v>
      </c>
      <c r="I2688" s="256">
        <v>2</v>
      </c>
      <c r="J2688" s="256">
        <v>13954</v>
      </c>
      <c r="K2688" s="614">
        <f t="shared" si="220"/>
        <v>27908</v>
      </c>
      <c r="L2688" s="52" t="s">
        <v>157</v>
      </c>
      <c r="M2688" s="52" t="s">
        <v>151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94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>
        <f t="shared" si="218"/>
        <v>12</v>
      </c>
      <c r="C2689" s="191">
        <f t="shared" si="219"/>
        <v>40902</v>
      </c>
      <c r="D2689" s="860" t="s">
        <v>1423</v>
      </c>
      <c r="E2689" s="191">
        <v>40902</v>
      </c>
      <c r="F2689" s="189" t="s">
        <v>490</v>
      </c>
      <c r="G2689" s="40"/>
      <c r="H2689" s="628" t="s">
        <v>1092</v>
      </c>
      <c r="I2689" s="256">
        <v>2</v>
      </c>
      <c r="J2689" s="256">
        <v>17427</v>
      </c>
      <c r="K2689" s="614">
        <f t="shared" si="220"/>
        <v>34854</v>
      </c>
      <c r="L2689" s="52" t="s">
        <v>157</v>
      </c>
      <c r="M2689" s="52" t="s">
        <v>151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94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>
        <f t="shared" si="218"/>
        <v>12</v>
      </c>
      <c r="C2690" s="191">
        <f t="shared" si="219"/>
        <v>40902</v>
      </c>
      <c r="D2690" s="860" t="s">
        <v>1423</v>
      </c>
      <c r="E2690" s="191">
        <v>40902</v>
      </c>
      <c r="F2690" s="40" t="s">
        <v>655</v>
      </c>
      <c r="G2690" s="40"/>
      <c r="H2690" s="628" t="s">
        <v>1092</v>
      </c>
      <c r="I2690" s="256">
        <v>2</v>
      </c>
      <c r="J2690" s="256">
        <v>13455</v>
      </c>
      <c r="K2690" s="614">
        <f t="shared" si="220"/>
        <v>26910</v>
      </c>
      <c r="L2690" s="52" t="s">
        <v>157</v>
      </c>
      <c r="M2690" s="52" t="s">
        <v>151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94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>
        <f t="shared" si="218"/>
        <v>12</v>
      </c>
      <c r="C2691" s="191">
        <f t="shared" si="219"/>
        <v>40902</v>
      </c>
      <c r="D2691" s="860" t="s">
        <v>1423</v>
      </c>
      <c r="E2691" s="191">
        <v>40902</v>
      </c>
      <c r="F2691" s="40" t="s">
        <v>655</v>
      </c>
      <c r="G2691" s="40"/>
      <c r="H2691" s="628" t="s">
        <v>1092</v>
      </c>
      <c r="I2691" s="256">
        <v>1</v>
      </c>
      <c r="J2691" s="256">
        <v>13455</v>
      </c>
      <c r="K2691" s="614">
        <f t="shared" si="220"/>
        <v>13455</v>
      </c>
      <c r="L2691" s="52" t="s">
        <v>157</v>
      </c>
      <c r="M2691" s="52" t="s">
        <v>151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94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>
        <f t="shared" si="218"/>
        <v>12</v>
      </c>
      <c r="C2692" s="191">
        <f t="shared" si="219"/>
        <v>40902</v>
      </c>
      <c r="D2692" s="860" t="s">
        <v>1423</v>
      </c>
      <c r="E2692" s="191">
        <v>40902</v>
      </c>
      <c r="F2692" s="40" t="s">
        <v>650</v>
      </c>
      <c r="G2692" s="40"/>
      <c r="H2692" s="628" t="s">
        <v>1092</v>
      </c>
      <c r="I2692" s="256">
        <v>1</v>
      </c>
      <c r="J2692" s="256">
        <v>15443</v>
      </c>
      <c r="K2692" s="614">
        <f t="shared" si="220"/>
        <v>15443</v>
      </c>
      <c r="L2692" s="52" t="s">
        <v>157</v>
      </c>
      <c r="M2692" s="52" t="s">
        <v>151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94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>
        <f t="shared" si="218"/>
        <v>12</v>
      </c>
      <c r="C2693" s="191">
        <f t="shared" si="219"/>
        <v>40902</v>
      </c>
      <c r="D2693" s="860" t="s">
        <v>1423</v>
      </c>
      <c r="E2693" s="191">
        <v>40902</v>
      </c>
      <c r="F2693" s="40" t="s">
        <v>655</v>
      </c>
      <c r="G2693" s="40"/>
      <c r="H2693" s="628" t="s">
        <v>1092</v>
      </c>
      <c r="I2693" s="256">
        <v>2</v>
      </c>
      <c r="J2693" s="256">
        <v>13455</v>
      </c>
      <c r="K2693" s="614">
        <f t="shared" si="220"/>
        <v>26910</v>
      </c>
      <c r="L2693" s="52" t="s">
        <v>157</v>
      </c>
      <c r="M2693" s="52" t="s">
        <v>151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94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>
        <f t="shared" si="218"/>
        <v>12</v>
      </c>
      <c r="C2694" s="191">
        <f t="shared" si="219"/>
        <v>40902</v>
      </c>
      <c r="D2694" s="860" t="s">
        <v>1423</v>
      </c>
      <c r="E2694" s="191">
        <v>40902</v>
      </c>
      <c r="F2694" s="40" t="s">
        <v>655</v>
      </c>
      <c r="G2694" s="40"/>
      <c r="H2694" s="628" t="s">
        <v>1092</v>
      </c>
      <c r="I2694" s="256">
        <v>1</v>
      </c>
      <c r="J2694" s="256">
        <v>13455</v>
      </c>
      <c r="K2694" s="614">
        <f t="shared" si="220"/>
        <v>13455</v>
      </c>
      <c r="L2694" s="52" t="s">
        <v>157</v>
      </c>
      <c r="M2694" s="52" t="s">
        <v>151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94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>
        <f t="shared" si="218"/>
        <v>12</v>
      </c>
      <c r="C2695" s="191">
        <f t="shared" si="219"/>
        <v>40902</v>
      </c>
      <c r="D2695" s="860" t="s">
        <v>1423</v>
      </c>
      <c r="E2695" s="191">
        <v>40902</v>
      </c>
      <c r="F2695" s="40" t="s">
        <v>650</v>
      </c>
      <c r="G2695" s="40"/>
      <c r="H2695" s="628" t="s">
        <v>1092</v>
      </c>
      <c r="I2695" s="256">
        <v>1</v>
      </c>
      <c r="J2695" s="256">
        <v>15443</v>
      </c>
      <c r="K2695" s="614">
        <f t="shared" si="220"/>
        <v>15443</v>
      </c>
      <c r="L2695" s="52" t="s">
        <v>157</v>
      </c>
      <c r="M2695" s="52" t="s">
        <v>151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94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>
        <f t="shared" si="218"/>
        <v>12</v>
      </c>
      <c r="C2696" s="191">
        <f t="shared" si="219"/>
        <v>40904</v>
      </c>
      <c r="D2696" s="860" t="s">
        <v>1424</v>
      </c>
      <c r="E2696" s="191">
        <v>40904</v>
      </c>
      <c r="F2696" s="40" t="s">
        <v>655</v>
      </c>
      <c r="G2696" s="40"/>
      <c r="H2696" s="628" t="s">
        <v>1092</v>
      </c>
      <c r="I2696" s="256">
        <v>1</v>
      </c>
      <c r="J2696" s="256">
        <v>13455</v>
      </c>
      <c r="K2696" s="614">
        <f t="shared" si="220"/>
        <v>13455</v>
      </c>
      <c r="L2696" s="52" t="s">
        <v>157</v>
      </c>
      <c r="M2696" s="52" t="s">
        <v>151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94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>
        <f t="shared" si="218"/>
        <v>12</v>
      </c>
      <c r="C2697" s="191">
        <f t="shared" si="219"/>
        <v>40904</v>
      </c>
      <c r="D2697" s="860" t="s">
        <v>1424</v>
      </c>
      <c r="E2697" s="191">
        <v>40904</v>
      </c>
      <c r="F2697" s="40" t="s">
        <v>645</v>
      </c>
      <c r="G2697" s="40"/>
      <c r="H2697" s="628" t="s">
        <v>1092</v>
      </c>
      <c r="I2697" s="256">
        <v>0.5</v>
      </c>
      <c r="J2697" s="256">
        <v>32878</v>
      </c>
      <c r="K2697" s="614">
        <f t="shared" si="220"/>
        <v>16439</v>
      </c>
      <c r="L2697" s="52" t="s">
        <v>157</v>
      </c>
      <c r="M2697" s="52" t="s">
        <v>151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94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>
        <f t="shared" si="218"/>
        <v>12</v>
      </c>
      <c r="C2698" s="191">
        <f t="shared" si="219"/>
        <v>40904</v>
      </c>
      <c r="D2698" s="860" t="s">
        <v>1424</v>
      </c>
      <c r="E2698" s="191">
        <v>40904</v>
      </c>
      <c r="F2698" s="40" t="s">
        <v>655</v>
      </c>
      <c r="G2698" s="40"/>
      <c r="H2698" s="628" t="s">
        <v>1092</v>
      </c>
      <c r="I2698" s="256">
        <v>11</v>
      </c>
      <c r="J2698" s="256">
        <v>13455</v>
      </c>
      <c r="K2698" s="614">
        <f t="shared" si="220"/>
        <v>148005</v>
      </c>
      <c r="L2698" s="52" t="s">
        <v>157</v>
      </c>
      <c r="M2698" s="52" t="s">
        <v>151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94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>
        <f t="shared" si="218"/>
        <v>12</v>
      </c>
      <c r="C2699" s="191">
        <f t="shared" si="219"/>
        <v>40904</v>
      </c>
      <c r="D2699" s="860" t="s">
        <v>1424</v>
      </c>
      <c r="E2699" s="191">
        <v>40904</v>
      </c>
      <c r="F2699" s="40" t="s">
        <v>656</v>
      </c>
      <c r="G2699" s="40"/>
      <c r="H2699" s="628" t="s">
        <v>1092</v>
      </c>
      <c r="I2699" s="256">
        <v>260</v>
      </c>
      <c r="J2699" s="256">
        <v>16631</v>
      </c>
      <c r="K2699" s="614">
        <f t="shared" si="220"/>
        <v>4324060</v>
      </c>
      <c r="L2699" s="52" t="s">
        <v>157</v>
      </c>
      <c r="M2699" s="52" t="s">
        <v>151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94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>
        <f t="shared" si="218"/>
        <v>12</v>
      </c>
      <c r="C2700" s="191">
        <f t="shared" si="219"/>
        <v>40904</v>
      </c>
      <c r="D2700" s="860" t="s">
        <v>1424</v>
      </c>
      <c r="E2700" s="191">
        <v>40904</v>
      </c>
      <c r="F2700" s="40" t="s">
        <v>650</v>
      </c>
      <c r="G2700" s="40"/>
      <c r="H2700" s="628" t="s">
        <v>1092</v>
      </c>
      <c r="I2700" s="256">
        <v>50</v>
      </c>
      <c r="J2700" s="256">
        <v>15443</v>
      </c>
      <c r="K2700" s="614">
        <f t="shared" si="220"/>
        <v>772150</v>
      </c>
      <c r="L2700" s="52" t="s">
        <v>157</v>
      </c>
      <c r="M2700" s="52" t="s">
        <v>151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94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>
        <f t="shared" si="218"/>
        <v>12</v>
      </c>
      <c r="C2701" s="191">
        <f t="shared" si="219"/>
        <v>40904</v>
      </c>
      <c r="D2701" s="860" t="s">
        <v>1424</v>
      </c>
      <c r="E2701" s="191">
        <v>40904</v>
      </c>
      <c r="F2701" s="40" t="s">
        <v>656</v>
      </c>
      <c r="G2701" s="40"/>
      <c r="H2701" s="628" t="s">
        <v>1092</v>
      </c>
      <c r="I2701" s="256">
        <v>100</v>
      </c>
      <c r="J2701" s="256">
        <v>16631</v>
      </c>
      <c r="K2701" s="614">
        <f t="shared" si="220"/>
        <v>1663100</v>
      </c>
      <c r="L2701" s="52" t="s">
        <v>157</v>
      </c>
      <c r="M2701" s="52" t="s">
        <v>151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94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>
        <f t="shared" si="218"/>
        <v>12</v>
      </c>
      <c r="C2702" s="191">
        <f t="shared" si="219"/>
        <v>40904</v>
      </c>
      <c r="D2702" s="860" t="s">
        <v>1424</v>
      </c>
      <c r="E2702" s="191">
        <v>40904</v>
      </c>
      <c r="F2702" s="40" t="s">
        <v>645</v>
      </c>
      <c r="G2702" s="40"/>
      <c r="H2702" s="628" t="s">
        <v>1092</v>
      </c>
      <c r="I2702" s="256">
        <v>25</v>
      </c>
      <c r="J2702" s="256">
        <v>32878</v>
      </c>
      <c r="K2702" s="614">
        <f t="shared" si="220"/>
        <v>821950</v>
      </c>
      <c r="L2702" s="52" t="s">
        <v>157</v>
      </c>
      <c r="M2702" s="52" t="s">
        <v>151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94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>
        <f t="shared" si="218"/>
        <v>12</v>
      </c>
      <c r="C2703" s="191">
        <f t="shared" si="219"/>
        <v>40904</v>
      </c>
      <c r="D2703" s="860" t="s">
        <v>1425</v>
      </c>
      <c r="E2703" s="191">
        <v>40904</v>
      </c>
      <c r="F2703" s="40" t="s">
        <v>656</v>
      </c>
      <c r="G2703" s="40"/>
      <c r="H2703" s="628" t="s">
        <v>1092</v>
      </c>
      <c r="I2703" s="256">
        <v>190</v>
      </c>
      <c r="J2703" s="256">
        <v>16631</v>
      </c>
      <c r="K2703" s="614">
        <f t="shared" si="220"/>
        <v>3159890</v>
      </c>
      <c r="L2703" s="52" t="s">
        <v>157</v>
      </c>
      <c r="M2703" s="52" t="s">
        <v>151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94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>
        <f t="shared" si="218"/>
        <v>12</v>
      </c>
      <c r="C2704" s="191">
        <f t="shared" si="219"/>
        <v>40904</v>
      </c>
      <c r="D2704" s="860" t="s">
        <v>1425</v>
      </c>
      <c r="E2704" s="191">
        <v>40904</v>
      </c>
      <c r="F2704" s="40" t="s">
        <v>656</v>
      </c>
      <c r="G2704" s="40"/>
      <c r="H2704" s="628" t="s">
        <v>1092</v>
      </c>
      <c r="I2704" s="256">
        <v>130</v>
      </c>
      <c r="J2704" s="256">
        <v>16631</v>
      </c>
      <c r="K2704" s="614">
        <f t="shared" si="220"/>
        <v>2162030</v>
      </c>
      <c r="L2704" s="52" t="s">
        <v>157</v>
      </c>
      <c r="M2704" s="52" t="s">
        <v>151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94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>
        <f t="shared" si="218"/>
        <v>12</v>
      </c>
      <c r="C2705" s="191">
        <f t="shared" si="219"/>
        <v>40904</v>
      </c>
      <c r="D2705" s="860" t="s">
        <v>1425</v>
      </c>
      <c r="E2705" s="191">
        <v>40904</v>
      </c>
      <c r="F2705" s="40" t="s">
        <v>656</v>
      </c>
      <c r="G2705" s="40"/>
      <c r="H2705" s="628" t="s">
        <v>1092</v>
      </c>
      <c r="I2705" s="256">
        <v>110</v>
      </c>
      <c r="J2705" s="256">
        <v>16631</v>
      </c>
      <c r="K2705" s="614">
        <f t="shared" si="220"/>
        <v>1829410</v>
      </c>
      <c r="L2705" s="52" t="s">
        <v>157</v>
      </c>
      <c r="M2705" s="52" t="s">
        <v>151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94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>
        <f t="shared" si="218"/>
        <v>12</v>
      </c>
      <c r="C2706" s="191">
        <f t="shared" si="219"/>
        <v>40904</v>
      </c>
      <c r="D2706" s="860" t="s">
        <v>1425</v>
      </c>
      <c r="E2706" s="191">
        <v>40904</v>
      </c>
      <c r="F2706" s="40" t="s">
        <v>645</v>
      </c>
      <c r="G2706" s="40"/>
      <c r="H2706" s="628" t="s">
        <v>1092</v>
      </c>
      <c r="I2706" s="256">
        <v>6</v>
      </c>
      <c r="J2706" s="256">
        <v>32878</v>
      </c>
      <c r="K2706" s="614">
        <f t="shared" si="220"/>
        <v>197268</v>
      </c>
      <c r="L2706" s="52" t="s">
        <v>157</v>
      </c>
      <c r="M2706" s="52" t="s">
        <v>151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94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>
        <f t="shared" si="218"/>
        <v>12</v>
      </c>
      <c r="C2707" s="191">
        <v>40907</v>
      </c>
      <c r="D2707" s="191" t="s">
        <v>979</v>
      </c>
      <c r="E2707" s="191">
        <v>40907</v>
      </c>
      <c r="F2707" s="192" t="s">
        <v>1382</v>
      </c>
      <c r="G2707" s="498" t="s">
        <v>1383</v>
      </c>
      <c r="H2707" s="193" t="s">
        <v>764</v>
      </c>
      <c r="I2707" s="256">
        <v>392</v>
      </c>
      <c r="J2707" s="256">
        <v>11800</v>
      </c>
      <c r="K2707" s="614">
        <v>4625600</v>
      </c>
      <c r="L2707" s="194" t="s">
        <v>259</v>
      </c>
      <c r="M2707" s="194" t="s">
        <v>167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94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>
        <f t="shared" si="218"/>
        <v>12</v>
      </c>
      <c r="C2708" s="191">
        <v>40907</v>
      </c>
      <c r="D2708" s="191" t="s">
        <v>979</v>
      </c>
      <c r="E2708" s="191">
        <v>40907</v>
      </c>
      <c r="F2708" s="192" t="s">
        <v>1176</v>
      </c>
      <c r="G2708" s="498" t="s">
        <v>1383</v>
      </c>
      <c r="H2708" s="193" t="s">
        <v>764</v>
      </c>
      <c r="I2708" s="256"/>
      <c r="J2708" s="256"/>
      <c r="K2708" s="614">
        <f>462560+1</f>
        <v>462561</v>
      </c>
      <c r="L2708" s="194" t="s">
        <v>259</v>
      </c>
      <c r="M2708" s="194" t="s">
        <v>731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94"/>
    </row>
    <row r="2709" spans="1:27" ht="15.75" customHeight="1">
      <c r="A2709" s="204" t="str">
        <f>IF(B2709&lt;&gt;"",IF(AND(B2709&gt;=_TM1,B2709&lt;=_TM2,OR(TH!L2709="1111",TH!M2709="1111")),TH!D2709,""),"")</f>
        <v>T07</v>
      </c>
      <c r="B2709" s="36">
        <f t="shared" si="218"/>
        <v>12</v>
      </c>
      <c r="C2709" s="191">
        <v>40907</v>
      </c>
      <c r="D2709" s="191" t="s">
        <v>950</v>
      </c>
      <c r="E2709" s="191">
        <v>40907</v>
      </c>
      <c r="F2709" s="192" t="s">
        <v>1176</v>
      </c>
      <c r="G2709" s="498" t="s">
        <v>1383</v>
      </c>
      <c r="H2709" s="193" t="s">
        <v>764</v>
      </c>
      <c r="I2709" s="256"/>
      <c r="J2709" s="256"/>
      <c r="K2709" s="614">
        <v>5088161</v>
      </c>
      <c r="L2709" s="194" t="s">
        <v>46</v>
      </c>
      <c r="M2709" s="194" t="s">
        <v>259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94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>
        <f t="shared" si="218"/>
        <v>12</v>
      </c>
      <c r="C2710" s="191">
        <v>40907</v>
      </c>
      <c r="D2710" s="191" t="s">
        <v>980</v>
      </c>
      <c r="E2710" s="191">
        <v>40907</v>
      </c>
      <c r="F2710" s="192" t="s">
        <v>1384</v>
      </c>
      <c r="G2710" s="498" t="s">
        <v>634</v>
      </c>
      <c r="H2710" s="193" t="s">
        <v>733</v>
      </c>
      <c r="I2710" s="256">
        <v>65</v>
      </c>
      <c r="J2710" s="256">
        <v>22324</v>
      </c>
      <c r="K2710" s="614">
        <v>1451060</v>
      </c>
      <c r="L2710" s="194" t="s">
        <v>259</v>
      </c>
      <c r="M2710" s="194" t="s">
        <v>167</v>
      </c>
      <c r="N2710" s="52" t="str">
        <f>IF(AND('331-CT'!$E$7=TH!H2710,OR(L2710="331",M2710="331")),"331",IF(AND(OR(L2710="131",M2710="131"),H2710='131-CT'!$E$7),"131",""))</f>
        <v>131</v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94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>
        <f t="shared" si="218"/>
        <v>12</v>
      </c>
      <c r="C2711" s="191">
        <v>40907</v>
      </c>
      <c r="D2711" s="191" t="s">
        <v>980</v>
      </c>
      <c r="E2711" s="191">
        <v>40907</v>
      </c>
      <c r="F2711" s="192" t="s">
        <v>1385</v>
      </c>
      <c r="G2711" s="498" t="s">
        <v>634</v>
      </c>
      <c r="H2711" s="193" t="s">
        <v>733</v>
      </c>
      <c r="I2711" s="256">
        <v>10</v>
      </c>
      <c r="J2711" s="256">
        <v>18984</v>
      </c>
      <c r="K2711" s="614">
        <v>189840</v>
      </c>
      <c r="L2711" s="194" t="s">
        <v>259</v>
      </c>
      <c r="M2711" s="194" t="s">
        <v>167</v>
      </c>
      <c r="N2711" s="52" t="str">
        <f>IF(AND('331-CT'!$E$7=TH!H2711,OR(L2711="331",M2711="331")),"331",IF(AND(OR(L2711="131",M2711="131"),H2711='131-CT'!$E$7),"131",""))</f>
        <v>131</v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94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>
        <f t="shared" si="218"/>
        <v>12</v>
      </c>
      <c r="C2712" s="191">
        <v>40907</v>
      </c>
      <c r="D2712" s="191" t="s">
        <v>980</v>
      </c>
      <c r="E2712" s="191">
        <v>40907</v>
      </c>
      <c r="F2712" s="192" t="s">
        <v>1386</v>
      </c>
      <c r="G2712" s="498" t="s">
        <v>634</v>
      </c>
      <c r="H2712" s="193" t="s">
        <v>733</v>
      </c>
      <c r="I2712" s="256">
        <v>106</v>
      </c>
      <c r="J2712" s="256">
        <v>24273</v>
      </c>
      <c r="K2712" s="614">
        <v>2572938</v>
      </c>
      <c r="L2712" s="194" t="s">
        <v>259</v>
      </c>
      <c r="M2712" s="194" t="s">
        <v>167</v>
      </c>
      <c r="N2712" s="52" t="str">
        <f>IF(AND('331-CT'!$E$7=TH!H2712,OR(L2712="331",M2712="331")),"331",IF(AND(OR(L2712="131",M2712="131"),H2712='131-CT'!$E$7),"131",""))</f>
        <v>131</v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94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>
        <f t="shared" si="218"/>
        <v>12</v>
      </c>
      <c r="C2713" s="191">
        <v>40907</v>
      </c>
      <c r="D2713" s="191" t="s">
        <v>980</v>
      </c>
      <c r="E2713" s="191">
        <v>40907</v>
      </c>
      <c r="F2713" s="192" t="s">
        <v>1387</v>
      </c>
      <c r="G2713" s="498" t="s">
        <v>634</v>
      </c>
      <c r="H2713" s="193" t="s">
        <v>733</v>
      </c>
      <c r="I2713" s="256">
        <v>76</v>
      </c>
      <c r="J2713" s="256">
        <v>17216</v>
      </c>
      <c r="K2713" s="614">
        <v>1308416</v>
      </c>
      <c r="L2713" s="194" t="s">
        <v>259</v>
      </c>
      <c r="M2713" s="194" t="s">
        <v>167</v>
      </c>
      <c r="N2713" s="52" t="str">
        <f>IF(AND('331-CT'!$E$7=TH!H2713,OR(L2713="331",M2713="331")),"331",IF(AND(OR(L2713="131",M2713="131"),H2713='131-CT'!$E$7),"131",""))</f>
        <v>131</v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94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>
        <f t="shared" si="218"/>
        <v>12</v>
      </c>
      <c r="C2714" s="191">
        <v>40907</v>
      </c>
      <c r="D2714" s="191" t="s">
        <v>980</v>
      </c>
      <c r="E2714" s="191">
        <v>40907</v>
      </c>
      <c r="F2714" s="192" t="s">
        <v>1364</v>
      </c>
      <c r="G2714" s="498" t="s">
        <v>634</v>
      </c>
      <c r="H2714" s="193" t="s">
        <v>733</v>
      </c>
      <c r="I2714" s="256">
        <v>208</v>
      </c>
      <c r="J2714" s="256">
        <v>23012</v>
      </c>
      <c r="K2714" s="614">
        <v>4786496</v>
      </c>
      <c r="L2714" s="194" t="s">
        <v>259</v>
      </c>
      <c r="M2714" s="194" t="s">
        <v>167</v>
      </c>
      <c r="N2714" s="52" t="str">
        <f>IF(AND('331-CT'!$E$7=TH!H2714,OR(L2714="331",M2714="331")),"331",IF(AND(OR(L2714="131",M2714="131"),H2714='131-CT'!$E$7),"131",""))</f>
        <v>131</v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94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>
        <f t="shared" si="218"/>
        <v>12</v>
      </c>
      <c r="C2715" s="191">
        <v>40907</v>
      </c>
      <c r="D2715" s="191" t="s">
        <v>980</v>
      </c>
      <c r="E2715" s="191">
        <v>40907</v>
      </c>
      <c r="F2715" s="192" t="s">
        <v>1388</v>
      </c>
      <c r="G2715" s="498" t="s">
        <v>634</v>
      </c>
      <c r="H2715" s="193" t="s">
        <v>733</v>
      </c>
      <c r="I2715" s="256">
        <v>1</v>
      </c>
      <c r="J2715" s="256">
        <v>10643</v>
      </c>
      <c r="K2715" s="614">
        <v>10643</v>
      </c>
      <c r="L2715" s="194" t="s">
        <v>259</v>
      </c>
      <c r="M2715" s="194" t="s">
        <v>167</v>
      </c>
      <c r="N2715" s="52" t="str">
        <f>IF(AND('331-CT'!$E$7=TH!H2715,OR(L2715="331",M2715="331")),"331",IF(AND(OR(L2715="131",M2715="131"),H2715='131-CT'!$E$7),"131",""))</f>
        <v>131</v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94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>
        <f t="shared" si="218"/>
        <v>12</v>
      </c>
      <c r="C2716" s="191">
        <v>40907</v>
      </c>
      <c r="D2716" s="191" t="s">
        <v>980</v>
      </c>
      <c r="E2716" s="191">
        <v>40907</v>
      </c>
      <c r="F2716" s="192" t="s">
        <v>1389</v>
      </c>
      <c r="G2716" s="498" t="s">
        <v>634</v>
      </c>
      <c r="H2716" s="193" t="s">
        <v>733</v>
      </c>
      <c r="I2716" s="256">
        <v>12</v>
      </c>
      <c r="J2716" s="256">
        <v>14530</v>
      </c>
      <c r="K2716" s="614">
        <v>174360</v>
      </c>
      <c r="L2716" s="194" t="s">
        <v>259</v>
      </c>
      <c r="M2716" s="194" t="s">
        <v>167</v>
      </c>
      <c r="N2716" s="52" t="str">
        <f>IF(AND('331-CT'!$E$7=TH!H2716,OR(L2716="331",M2716="331")),"331",IF(AND(OR(L2716="131",M2716="131"),H2716='131-CT'!$E$7),"131",""))</f>
        <v>131</v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94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>
        <f t="shared" si="218"/>
        <v>12</v>
      </c>
      <c r="C2717" s="191">
        <v>40907</v>
      </c>
      <c r="D2717" s="191" t="s">
        <v>980</v>
      </c>
      <c r="E2717" s="191">
        <v>40907</v>
      </c>
      <c r="F2717" s="192" t="s">
        <v>932</v>
      </c>
      <c r="G2717" s="498" t="s">
        <v>634</v>
      </c>
      <c r="H2717" s="193" t="s">
        <v>733</v>
      </c>
      <c r="I2717" s="256">
        <v>91</v>
      </c>
      <c r="J2717" s="256">
        <v>11840</v>
      </c>
      <c r="K2717" s="614">
        <v>1077440</v>
      </c>
      <c r="L2717" s="194" t="s">
        <v>259</v>
      </c>
      <c r="M2717" s="194" t="s">
        <v>167</v>
      </c>
      <c r="N2717" s="52" t="str">
        <f>IF(AND('331-CT'!$E$7=TH!H2717,OR(L2717="331",M2717="331")),"331",IF(AND(OR(L2717="131",M2717="131"),H2717='131-CT'!$E$7),"131",""))</f>
        <v>131</v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94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>
        <f t="shared" si="218"/>
        <v>12</v>
      </c>
      <c r="C2718" s="191">
        <v>40907</v>
      </c>
      <c r="D2718" s="191" t="s">
        <v>980</v>
      </c>
      <c r="E2718" s="191">
        <v>40907</v>
      </c>
      <c r="F2718" s="192" t="s">
        <v>1390</v>
      </c>
      <c r="G2718" s="498" t="s">
        <v>634</v>
      </c>
      <c r="H2718" s="193" t="s">
        <v>733</v>
      </c>
      <c r="I2718" s="256">
        <v>1140</v>
      </c>
      <c r="J2718" s="256">
        <v>1310</v>
      </c>
      <c r="K2718" s="614">
        <v>1493400</v>
      </c>
      <c r="L2718" s="194" t="s">
        <v>259</v>
      </c>
      <c r="M2718" s="194" t="s">
        <v>167</v>
      </c>
      <c r="N2718" s="52" t="str">
        <f>IF(AND('331-CT'!$E$7=TH!H2718,OR(L2718="331",M2718="331")),"331",IF(AND(OR(L2718="131",M2718="131"),H2718='131-CT'!$E$7),"131",""))</f>
        <v>131</v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94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>
        <f t="shared" si="218"/>
        <v>12</v>
      </c>
      <c r="C2719" s="191">
        <v>40907</v>
      </c>
      <c r="D2719" s="191" t="s">
        <v>980</v>
      </c>
      <c r="E2719" s="191">
        <v>40907</v>
      </c>
      <c r="F2719" s="192" t="s">
        <v>1381</v>
      </c>
      <c r="G2719" s="498" t="s">
        <v>634</v>
      </c>
      <c r="H2719" s="193" t="s">
        <v>733</v>
      </c>
      <c r="I2719" s="256">
        <v>1140</v>
      </c>
      <c r="J2719" s="256">
        <v>1556</v>
      </c>
      <c r="K2719" s="614">
        <v>1773840</v>
      </c>
      <c r="L2719" s="194" t="s">
        <v>259</v>
      </c>
      <c r="M2719" s="194" t="s">
        <v>167</v>
      </c>
      <c r="N2719" s="52" t="str">
        <f>IF(AND('331-CT'!$E$7=TH!H2719,OR(L2719="331",M2719="331")),"331",IF(AND(OR(L2719="131",M2719="131"),H2719='131-CT'!$E$7),"131",""))</f>
        <v>131</v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94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>
        <f t="shared" ref="B2720:B2783" si="221">IF(C2720&lt;&gt;"",MONTH(C2720),"")</f>
        <v>12</v>
      </c>
      <c r="C2720" s="191">
        <v>40907</v>
      </c>
      <c r="D2720" s="191" t="s">
        <v>980</v>
      </c>
      <c r="E2720" s="191">
        <v>40907</v>
      </c>
      <c r="F2720" s="192" t="s">
        <v>1359</v>
      </c>
      <c r="G2720" s="498" t="s">
        <v>634</v>
      </c>
      <c r="H2720" s="193" t="s">
        <v>733</v>
      </c>
      <c r="I2720" s="256">
        <v>1</v>
      </c>
      <c r="J2720" s="256">
        <v>18928</v>
      </c>
      <c r="K2720" s="614">
        <v>18928</v>
      </c>
      <c r="L2720" s="194" t="s">
        <v>259</v>
      </c>
      <c r="M2720" s="194" t="s">
        <v>167</v>
      </c>
      <c r="N2720" s="52" t="str">
        <f>IF(AND('331-CT'!$E$7=TH!H2720,OR(L2720="331",M2720="331")),"331",IF(AND(OR(L2720="131",M2720="131"),H2720='131-CT'!$E$7),"131",""))</f>
        <v>131</v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94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>
        <f t="shared" si="221"/>
        <v>12</v>
      </c>
      <c r="C2721" s="191">
        <v>40907</v>
      </c>
      <c r="D2721" s="191" t="s">
        <v>980</v>
      </c>
      <c r="E2721" s="191">
        <v>40907</v>
      </c>
      <c r="F2721" s="192" t="s">
        <v>1391</v>
      </c>
      <c r="G2721" s="498" t="s">
        <v>634</v>
      </c>
      <c r="H2721" s="193" t="s">
        <v>733</v>
      </c>
      <c r="I2721" s="256">
        <v>7</v>
      </c>
      <c r="J2721" s="256">
        <v>17667</v>
      </c>
      <c r="K2721" s="614">
        <v>123669</v>
      </c>
      <c r="L2721" s="194" t="s">
        <v>259</v>
      </c>
      <c r="M2721" s="194" t="s">
        <v>167</v>
      </c>
      <c r="N2721" s="52" t="str">
        <f>IF(AND('331-CT'!$E$7=TH!H2721,OR(L2721="331",M2721="331")),"331",IF(AND(OR(L2721="131",M2721="131"),H2721='131-CT'!$E$7),"131",""))</f>
        <v>131</v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94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>
        <f t="shared" si="221"/>
        <v>12</v>
      </c>
      <c r="C2722" s="191">
        <v>40907</v>
      </c>
      <c r="D2722" s="191" t="s">
        <v>980</v>
      </c>
      <c r="E2722" s="191">
        <v>40907</v>
      </c>
      <c r="F2722" s="192" t="s">
        <v>1364</v>
      </c>
      <c r="G2722" s="498" t="s">
        <v>634</v>
      </c>
      <c r="H2722" s="193" t="s">
        <v>733</v>
      </c>
      <c r="I2722" s="256">
        <v>20</v>
      </c>
      <c r="J2722" s="256">
        <v>23117</v>
      </c>
      <c r="K2722" s="614">
        <v>462340</v>
      </c>
      <c r="L2722" s="194" t="s">
        <v>259</v>
      </c>
      <c r="M2722" s="194" t="s">
        <v>167</v>
      </c>
      <c r="N2722" s="52" t="str">
        <f>IF(AND('331-CT'!$E$7=TH!H2722,OR(L2722="331",M2722="331")),"331",IF(AND(OR(L2722="131",M2722="131"),H2722='131-CT'!$E$7),"131",""))</f>
        <v>131</v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94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>
        <f t="shared" si="221"/>
        <v>12</v>
      </c>
      <c r="C2723" s="191">
        <v>40907</v>
      </c>
      <c r="D2723" s="191" t="s">
        <v>980</v>
      </c>
      <c r="E2723" s="191">
        <v>40907</v>
      </c>
      <c r="F2723" s="192" t="s">
        <v>1392</v>
      </c>
      <c r="G2723" s="498" t="s">
        <v>634</v>
      </c>
      <c r="H2723" s="193" t="s">
        <v>733</v>
      </c>
      <c r="I2723" s="256">
        <v>10</v>
      </c>
      <c r="J2723" s="256">
        <v>19203</v>
      </c>
      <c r="K2723" s="614">
        <v>192030</v>
      </c>
      <c r="L2723" s="194" t="s">
        <v>259</v>
      </c>
      <c r="M2723" s="194" t="s">
        <v>167</v>
      </c>
      <c r="N2723" s="52" t="str">
        <f>IF(AND('331-CT'!$E$7=TH!H2723,OR(L2723="331",M2723="331")),"331",IF(AND(OR(L2723="131",M2723="131"),H2723='131-CT'!$E$7),"131",""))</f>
        <v>131</v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94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>
        <f t="shared" si="221"/>
        <v>12</v>
      </c>
      <c r="C2724" s="191">
        <v>40907</v>
      </c>
      <c r="D2724" s="191" t="s">
        <v>980</v>
      </c>
      <c r="E2724" s="191">
        <v>40907</v>
      </c>
      <c r="F2724" s="192" t="s">
        <v>1176</v>
      </c>
      <c r="G2724" s="498" t="s">
        <v>634</v>
      </c>
      <c r="H2724" s="193" t="s">
        <v>733</v>
      </c>
      <c r="I2724" s="256"/>
      <c r="J2724" s="256"/>
      <c r="K2724" s="614">
        <v>1563540</v>
      </c>
      <c r="L2724" s="194" t="s">
        <v>259</v>
      </c>
      <c r="M2724" s="194" t="s">
        <v>731</v>
      </c>
      <c r="N2724" s="52" t="str">
        <f>IF(AND('331-CT'!$E$7=TH!H2724,OR(L2724="331",M2724="331")),"331",IF(AND(OR(L2724="131",M2724="131"),H2724='131-CT'!$E$7),"131",""))</f>
        <v>131</v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94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>
        <f t="shared" si="221"/>
        <v>12</v>
      </c>
      <c r="C2725" s="191">
        <v>40907</v>
      </c>
      <c r="D2725" s="191" t="s">
        <v>981</v>
      </c>
      <c r="E2725" s="191">
        <v>40907</v>
      </c>
      <c r="F2725" s="192" t="s">
        <v>1310</v>
      </c>
      <c r="G2725" s="498" t="s">
        <v>1393</v>
      </c>
      <c r="H2725" s="193" t="s">
        <v>733</v>
      </c>
      <c r="I2725" s="256">
        <v>2</v>
      </c>
      <c r="J2725" s="256">
        <v>16215</v>
      </c>
      <c r="K2725" s="614">
        <v>32430</v>
      </c>
      <c r="L2725" s="194" t="s">
        <v>259</v>
      </c>
      <c r="M2725" s="194" t="s">
        <v>167</v>
      </c>
      <c r="N2725" s="52" t="str">
        <f>IF(AND('331-CT'!$E$7=TH!H2725,OR(L2725="331",M2725="331")),"331",IF(AND(OR(L2725="131",M2725="131"),H2725='131-CT'!$E$7),"131",""))</f>
        <v>131</v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94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>
        <f t="shared" si="221"/>
        <v>12</v>
      </c>
      <c r="C2726" s="191">
        <v>40907</v>
      </c>
      <c r="D2726" s="191" t="s">
        <v>981</v>
      </c>
      <c r="E2726" s="191">
        <v>40907</v>
      </c>
      <c r="F2726" s="192" t="s">
        <v>1364</v>
      </c>
      <c r="G2726" s="498" t="s">
        <v>1393</v>
      </c>
      <c r="H2726" s="193" t="s">
        <v>733</v>
      </c>
      <c r="I2726" s="256">
        <v>108</v>
      </c>
      <c r="J2726" s="256">
        <v>23012</v>
      </c>
      <c r="K2726" s="614">
        <v>2485296</v>
      </c>
      <c r="L2726" s="194" t="s">
        <v>259</v>
      </c>
      <c r="M2726" s="194" t="s">
        <v>167</v>
      </c>
      <c r="N2726" s="52" t="str">
        <f>IF(AND('331-CT'!$E$7=TH!H2726,OR(L2726="331",M2726="331")),"331",IF(AND(OR(L2726="131",M2726="131"),H2726='131-CT'!$E$7),"131",""))</f>
        <v>131</v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94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>
        <f t="shared" si="221"/>
        <v>12</v>
      </c>
      <c r="C2727" s="191">
        <v>40907</v>
      </c>
      <c r="D2727" s="191" t="s">
        <v>981</v>
      </c>
      <c r="E2727" s="191">
        <v>40907</v>
      </c>
      <c r="F2727" s="192" t="s">
        <v>1391</v>
      </c>
      <c r="G2727" s="498" t="s">
        <v>1393</v>
      </c>
      <c r="H2727" s="193" t="s">
        <v>733</v>
      </c>
      <c r="I2727" s="256">
        <v>2</v>
      </c>
      <c r="J2727" s="256">
        <v>17667</v>
      </c>
      <c r="K2727" s="614">
        <v>35334</v>
      </c>
      <c r="L2727" s="194" t="s">
        <v>259</v>
      </c>
      <c r="M2727" s="194" t="s">
        <v>167</v>
      </c>
      <c r="N2727" s="52" t="str">
        <f>IF(AND('331-CT'!$E$7=TH!H2727,OR(L2727="331",M2727="331")),"331",IF(AND(OR(L2727="131",M2727="131"),H2727='131-CT'!$E$7),"131",""))</f>
        <v>131</v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94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>
        <f t="shared" si="221"/>
        <v>12</v>
      </c>
      <c r="C2728" s="191">
        <v>40907</v>
      </c>
      <c r="D2728" s="191" t="s">
        <v>981</v>
      </c>
      <c r="E2728" s="191">
        <v>40907</v>
      </c>
      <c r="F2728" s="192" t="s">
        <v>1394</v>
      </c>
      <c r="G2728" s="498" t="s">
        <v>1393</v>
      </c>
      <c r="H2728" s="193" t="s">
        <v>733</v>
      </c>
      <c r="I2728" s="256">
        <v>3</v>
      </c>
      <c r="J2728" s="256">
        <v>10778</v>
      </c>
      <c r="K2728" s="614">
        <v>32334</v>
      </c>
      <c r="L2728" s="194" t="s">
        <v>259</v>
      </c>
      <c r="M2728" s="194" t="s">
        <v>167</v>
      </c>
      <c r="N2728" s="52" t="str">
        <f>IF(AND('331-CT'!$E$7=TH!H2728,OR(L2728="331",M2728="331")),"331",IF(AND(OR(L2728="131",M2728="131"),H2728='131-CT'!$E$7),"131",""))</f>
        <v>131</v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94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>
        <f t="shared" si="221"/>
        <v>12</v>
      </c>
      <c r="C2729" s="191">
        <v>40907</v>
      </c>
      <c r="D2729" s="191" t="s">
        <v>981</v>
      </c>
      <c r="E2729" s="191">
        <v>40907</v>
      </c>
      <c r="F2729" s="192" t="s">
        <v>1395</v>
      </c>
      <c r="G2729" s="498" t="s">
        <v>1393</v>
      </c>
      <c r="H2729" s="193" t="s">
        <v>733</v>
      </c>
      <c r="I2729" s="256">
        <v>2</v>
      </c>
      <c r="J2729" s="256">
        <v>18002</v>
      </c>
      <c r="K2729" s="614">
        <v>36004</v>
      </c>
      <c r="L2729" s="194" t="s">
        <v>259</v>
      </c>
      <c r="M2729" s="194" t="s">
        <v>167</v>
      </c>
      <c r="N2729" s="52" t="str">
        <f>IF(AND('331-CT'!$E$7=TH!H2729,OR(L2729="331",M2729="331")),"331",IF(AND(OR(L2729="131",M2729="131"),H2729='131-CT'!$E$7),"131",""))</f>
        <v>131</v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94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>
        <f t="shared" si="221"/>
        <v>12</v>
      </c>
      <c r="C2730" s="191">
        <v>40907</v>
      </c>
      <c r="D2730" s="191" t="s">
        <v>981</v>
      </c>
      <c r="E2730" s="191">
        <v>40907</v>
      </c>
      <c r="F2730" s="192" t="s">
        <v>1309</v>
      </c>
      <c r="G2730" s="498" t="s">
        <v>1393</v>
      </c>
      <c r="H2730" s="193" t="s">
        <v>733</v>
      </c>
      <c r="I2730" s="256">
        <v>4</v>
      </c>
      <c r="J2730" s="256">
        <v>11987</v>
      </c>
      <c r="K2730" s="614">
        <v>47948</v>
      </c>
      <c r="L2730" s="194" t="s">
        <v>259</v>
      </c>
      <c r="M2730" s="194" t="s">
        <v>167</v>
      </c>
      <c r="N2730" s="52" t="str">
        <f>IF(AND('331-CT'!$E$7=TH!H2730,OR(L2730="331",M2730="331")),"331",IF(AND(OR(L2730="131",M2730="131"),H2730='131-CT'!$E$7),"131",""))</f>
        <v>131</v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94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>
        <f t="shared" si="221"/>
        <v>12</v>
      </c>
      <c r="C2731" s="191">
        <v>40907</v>
      </c>
      <c r="D2731" s="191" t="s">
        <v>981</v>
      </c>
      <c r="E2731" s="191">
        <v>40907</v>
      </c>
      <c r="F2731" s="192" t="s">
        <v>1312</v>
      </c>
      <c r="G2731" s="498" t="s">
        <v>1393</v>
      </c>
      <c r="H2731" s="193" t="s">
        <v>733</v>
      </c>
      <c r="I2731" s="256">
        <v>2</v>
      </c>
      <c r="J2731" s="256">
        <v>14798</v>
      </c>
      <c r="K2731" s="614">
        <v>29596</v>
      </c>
      <c r="L2731" s="194" t="s">
        <v>259</v>
      </c>
      <c r="M2731" s="194" t="s">
        <v>167</v>
      </c>
      <c r="N2731" s="52" t="str">
        <f>IF(AND('331-CT'!$E$7=TH!H2731,OR(L2731="331",M2731="331")),"331",IF(AND(OR(L2731="131",M2731="131"),H2731='131-CT'!$E$7),"131",""))</f>
        <v>131</v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94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>
        <f t="shared" si="221"/>
        <v>12</v>
      </c>
      <c r="C2732" s="191">
        <v>40907</v>
      </c>
      <c r="D2732" s="191" t="s">
        <v>981</v>
      </c>
      <c r="E2732" s="191">
        <v>40907</v>
      </c>
      <c r="F2732" s="192" t="s">
        <v>1396</v>
      </c>
      <c r="G2732" s="498" t="s">
        <v>1393</v>
      </c>
      <c r="H2732" s="193" t="s">
        <v>733</v>
      </c>
      <c r="I2732" s="256">
        <v>1</v>
      </c>
      <c r="J2732" s="256">
        <v>13310</v>
      </c>
      <c r="K2732" s="614">
        <v>13310</v>
      </c>
      <c r="L2732" s="194" t="s">
        <v>259</v>
      </c>
      <c r="M2732" s="194" t="s">
        <v>167</v>
      </c>
      <c r="N2732" s="52" t="str">
        <f>IF(AND('331-CT'!$E$7=TH!H2732,OR(L2732="331",M2732="331")),"331",IF(AND(OR(L2732="131",M2732="131"),H2732='131-CT'!$E$7),"131",""))</f>
        <v>131</v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94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>
        <f t="shared" si="221"/>
        <v>12</v>
      </c>
      <c r="C2733" s="191">
        <v>40907</v>
      </c>
      <c r="D2733" s="191" t="s">
        <v>981</v>
      </c>
      <c r="E2733" s="191">
        <v>40907</v>
      </c>
      <c r="F2733" s="192" t="s">
        <v>1387</v>
      </c>
      <c r="G2733" s="498" t="s">
        <v>1393</v>
      </c>
      <c r="H2733" s="193" t="s">
        <v>733</v>
      </c>
      <c r="I2733" s="256">
        <v>1</v>
      </c>
      <c r="J2733" s="256">
        <v>17216</v>
      </c>
      <c r="K2733" s="614">
        <v>17216</v>
      </c>
      <c r="L2733" s="194" t="s">
        <v>259</v>
      </c>
      <c r="M2733" s="194" t="s">
        <v>167</v>
      </c>
      <c r="N2733" s="52" t="str">
        <f>IF(AND('331-CT'!$E$7=TH!H2733,OR(L2733="331",M2733="331")),"331",IF(AND(OR(L2733="131",M2733="131"),H2733='131-CT'!$E$7),"131",""))</f>
        <v>131</v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94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>
        <f t="shared" si="221"/>
        <v>12</v>
      </c>
      <c r="C2734" s="191">
        <v>40907</v>
      </c>
      <c r="D2734" s="191" t="s">
        <v>981</v>
      </c>
      <c r="E2734" s="191">
        <v>40907</v>
      </c>
      <c r="F2734" s="192" t="s">
        <v>1397</v>
      </c>
      <c r="G2734" s="498" t="s">
        <v>1393</v>
      </c>
      <c r="H2734" s="193" t="s">
        <v>733</v>
      </c>
      <c r="I2734" s="256">
        <v>2</v>
      </c>
      <c r="J2734" s="256">
        <v>15261</v>
      </c>
      <c r="K2734" s="614">
        <v>30522</v>
      </c>
      <c r="L2734" s="194" t="s">
        <v>259</v>
      </c>
      <c r="M2734" s="194" t="s">
        <v>167</v>
      </c>
      <c r="N2734" s="52" t="str">
        <f>IF(AND('331-CT'!$E$7=TH!H2734,OR(L2734="331",M2734="331")),"331",IF(AND(OR(L2734="131",M2734="131"),H2734='131-CT'!$E$7),"131",""))</f>
        <v>131</v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94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>
        <f t="shared" si="221"/>
        <v>12</v>
      </c>
      <c r="C2735" s="191">
        <v>40907</v>
      </c>
      <c r="D2735" s="191" t="s">
        <v>981</v>
      </c>
      <c r="E2735" s="191">
        <v>40907</v>
      </c>
      <c r="F2735" s="192" t="s">
        <v>744</v>
      </c>
      <c r="G2735" s="498" t="s">
        <v>1393</v>
      </c>
      <c r="H2735" s="193" t="s">
        <v>733</v>
      </c>
      <c r="I2735" s="256">
        <v>1</v>
      </c>
      <c r="J2735" s="256">
        <v>14462</v>
      </c>
      <c r="K2735" s="614">
        <v>14462</v>
      </c>
      <c r="L2735" s="194" t="s">
        <v>259</v>
      </c>
      <c r="M2735" s="194" t="s">
        <v>167</v>
      </c>
      <c r="N2735" s="52" t="str">
        <f>IF(AND('331-CT'!$E$7=TH!H2735,OR(L2735="331",M2735="331")),"331",IF(AND(OR(L2735="131",M2735="131"),H2735='131-CT'!$E$7),"131",""))</f>
        <v>131</v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94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>
        <f t="shared" si="221"/>
        <v>12</v>
      </c>
      <c r="C2736" s="191">
        <v>40907</v>
      </c>
      <c r="D2736" s="191" t="s">
        <v>981</v>
      </c>
      <c r="E2736" s="191">
        <v>40907</v>
      </c>
      <c r="F2736" s="192" t="s">
        <v>1398</v>
      </c>
      <c r="G2736" s="498" t="s">
        <v>1393</v>
      </c>
      <c r="H2736" s="193" t="s">
        <v>733</v>
      </c>
      <c r="I2736" s="256">
        <v>1</v>
      </c>
      <c r="J2736" s="256">
        <v>16025</v>
      </c>
      <c r="K2736" s="614">
        <v>16025</v>
      </c>
      <c r="L2736" s="194" t="s">
        <v>259</v>
      </c>
      <c r="M2736" s="194" t="s">
        <v>167</v>
      </c>
      <c r="N2736" s="52" t="str">
        <f>IF(AND('331-CT'!$E$7=TH!H2736,OR(L2736="331",M2736="331")),"331",IF(AND(OR(L2736="131",M2736="131"),H2736='131-CT'!$E$7),"131",""))</f>
        <v>131</v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94"/>
    </row>
    <row r="2737" spans="1:27" ht="15.75" customHeight="1">
      <c r="A2737" s="204" t="str">
        <f>IF(B2737&lt;&gt;"",IF(AND(B2737&gt;=_TM1,B2737&lt;=_TM2,OR(TH!L2737="1111",TH!M2737="1111")),TH!D2737,""),"")</f>
        <v/>
      </c>
      <c r="B2737" s="36">
        <f t="shared" si="221"/>
        <v>12</v>
      </c>
      <c r="C2737" s="191">
        <v>40907</v>
      </c>
      <c r="D2737" s="191" t="s">
        <v>981</v>
      </c>
      <c r="E2737" s="191">
        <v>40907</v>
      </c>
      <c r="F2737" s="192" t="s">
        <v>1399</v>
      </c>
      <c r="G2737" s="498" t="s">
        <v>1393</v>
      </c>
      <c r="H2737" s="193" t="s">
        <v>733</v>
      </c>
      <c r="I2737" s="256">
        <v>1</v>
      </c>
      <c r="J2737" s="256">
        <v>13871</v>
      </c>
      <c r="K2737" s="614">
        <v>13871</v>
      </c>
      <c r="L2737" s="194" t="s">
        <v>259</v>
      </c>
      <c r="M2737" s="194" t="s">
        <v>167</v>
      </c>
      <c r="N2737" s="52" t="str">
        <f>IF(AND('331-CT'!$E$7=TH!H2737,OR(L2737="331",M2737="331")),"331",IF(AND(OR(L2737="131",M2737="131"),H2737='131-CT'!$E$7),"131",""))</f>
        <v>131</v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94"/>
    </row>
    <row r="2738" spans="1:27" ht="15.75" customHeight="1">
      <c r="A2738" s="204" t="str">
        <f>IF(B2738&lt;&gt;"",IF(AND(B2738&gt;=_TM1,B2738&lt;=_TM2,OR(TH!L2738="1111",TH!M2738="1111")),TH!D2738,""),"")</f>
        <v/>
      </c>
      <c r="B2738" s="36">
        <f t="shared" si="221"/>
        <v>12</v>
      </c>
      <c r="C2738" s="191">
        <v>40907</v>
      </c>
      <c r="D2738" s="191" t="s">
        <v>981</v>
      </c>
      <c r="E2738" s="191">
        <v>40907</v>
      </c>
      <c r="F2738" s="192" t="s">
        <v>1400</v>
      </c>
      <c r="G2738" s="498" t="s">
        <v>1393</v>
      </c>
      <c r="H2738" s="193" t="s">
        <v>733</v>
      </c>
      <c r="I2738" s="256">
        <v>1</v>
      </c>
      <c r="J2738" s="256">
        <v>19814</v>
      </c>
      <c r="K2738" s="614">
        <v>19814</v>
      </c>
      <c r="L2738" s="194" t="s">
        <v>259</v>
      </c>
      <c r="M2738" s="194" t="s">
        <v>167</v>
      </c>
      <c r="N2738" s="52" t="str">
        <f>IF(AND('331-CT'!$E$7=TH!H2738,OR(L2738="331",M2738="331")),"331",IF(AND(OR(L2738="131",M2738="131"),H2738='131-CT'!$E$7),"131",""))</f>
        <v>131</v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94"/>
    </row>
    <row r="2739" spans="1:27" ht="15.75" customHeight="1">
      <c r="A2739" s="204" t="str">
        <f>IF(B2739&lt;&gt;"",IF(AND(B2739&gt;=_TM1,B2739&lt;=_TM2,OR(TH!L2739="1111",TH!M2739="1111")),TH!D2739,""),"")</f>
        <v/>
      </c>
      <c r="B2739" s="36">
        <f t="shared" si="221"/>
        <v>12</v>
      </c>
      <c r="C2739" s="191">
        <v>40907</v>
      </c>
      <c r="D2739" s="191" t="s">
        <v>981</v>
      </c>
      <c r="E2739" s="191">
        <v>40907</v>
      </c>
      <c r="F2739" s="192" t="s">
        <v>1360</v>
      </c>
      <c r="G2739" s="498" t="s">
        <v>1393</v>
      </c>
      <c r="H2739" s="193" t="s">
        <v>733</v>
      </c>
      <c r="I2739" s="256">
        <v>11</v>
      </c>
      <c r="J2739" s="256">
        <v>15524</v>
      </c>
      <c r="K2739" s="614">
        <v>170764</v>
      </c>
      <c r="L2739" s="194" t="s">
        <v>259</v>
      </c>
      <c r="M2739" s="194" t="s">
        <v>167</v>
      </c>
      <c r="N2739" s="52" t="str">
        <f>IF(AND('331-CT'!$E$7=TH!H2739,OR(L2739="331",M2739="331")),"331",IF(AND(OR(L2739="131",M2739="131"),H2739='131-CT'!$E$7),"131",""))</f>
        <v>131</v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94"/>
    </row>
    <row r="2740" spans="1:27" ht="15.75" customHeight="1">
      <c r="A2740" s="204" t="str">
        <f>IF(B2740&lt;&gt;"",IF(AND(B2740&gt;=_TM1,B2740&lt;=_TM2,OR(TH!L2740="1111",TH!M2740="1111")),TH!D2740,""),"")</f>
        <v/>
      </c>
      <c r="B2740" s="36">
        <f t="shared" si="221"/>
        <v>12</v>
      </c>
      <c r="C2740" s="191">
        <v>40907</v>
      </c>
      <c r="D2740" s="191" t="s">
        <v>981</v>
      </c>
      <c r="E2740" s="191">
        <v>40907</v>
      </c>
      <c r="F2740" s="192" t="s">
        <v>1361</v>
      </c>
      <c r="G2740" s="498" t="s">
        <v>1393</v>
      </c>
      <c r="H2740" s="193" t="s">
        <v>733</v>
      </c>
      <c r="I2740" s="256">
        <v>260</v>
      </c>
      <c r="J2740" s="256">
        <v>24159</v>
      </c>
      <c r="K2740" s="614">
        <v>6281340</v>
      </c>
      <c r="L2740" s="194" t="s">
        <v>259</v>
      </c>
      <c r="M2740" s="194" t="s">
        <v>167</v>
      </c>
      <c r="N2740" s="52" t="str">
        <f>IF(AND('331-CT'!$E$7=TH!H2740,OR(L2740="331",M2740="331")),"331",IF(AND(OR(L2740="131",M2740="131"),H2740='131-CT'!$E$7),"131",""))</f>
        <v>131</v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94"/>
    </row>
    <row r="2741" spans="1:27" ht="15.75" customHeight="1">
      <c r="A2741" s="204" t="str">
        <f>IF(B2741&lt;&gt;"",IF(AND(B2741&gt;=_TM1,B2741&lt;=_TM2,OR(TH!L2741="1111",TH!M2741="1111")),TH!D2741,""),"")</f>
        <v/>
      </c>
      <c r="B2741" s="36">
        <f t="shared" si="221"/>
        <v>12</v>
      </c>
      <c r="C2741" s="191">
        <v>40907</v>
      </c>
      <c r="D2741" s="191" t="s">
        <v>981</v>
      </c>
      <c r="E2741" s="191">
        <v>40907</v>
      </c>
      <c r="F2741" s="192" t="s">
        <v>1176</v>
      </c>
      <c r="G2741" s="498" t="s">
        <v>1393</v>
      </c>
      <c r="H2741" s="193" t="s">
        <v>733</v>
      </c>
      <c r="I2741" s="256"/>
      <c r="J2741" s="256"/>
      <c r="K2741" s="614">
        <f>927627+1</f>
        <v>927628</v>
      </c>
      <c r="L2741" s="194" t="s">
        <v>259</v>
      </c>
      <c r="M2741" s="194" t="s">
        <v>731</v>
      </c>
      <c r="N2741" s="52" t="str">
        <f>IF(AND('331-CT'!$E$7=TH!H2741,OR(L2741="331",M2741="331")),"331",IF(AND(OR(L2741="131",M2741="131"),H2741='131-CT'!$E$7),"131",""))</f>
        <v>131</v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94"/>
    </row>
    <row r="2742" spans="1:27" ht="15.75" customHeight="1">
      <c r="A2742" s="204" t="str">
        <f>IF(B2742&lt;&gt;"",IF(AND(B2742&gt;=_TM1,B2742&lt;=_TM2,OR(TH!L2742="1111",TH!M2742="1111")),TH!D2742,""),"")</f>
        <v/>
      </c>
      <c r="B2742" s="36">
        <f t="shared" si="221"/>
        <v>12</v>
      </c>
      <c r="C2742" s="191">
        <v>40907</v>
      </c>
      <c r="D2742" s="191" t="s">
        <v>982</v>
      </c>
      <c r="E2742" s="191">
        <v>40907</v>
      </c>
      <c r="F2742" s="192" t="s">
        <v>1329</v>
      </c>
      <c r="G2742" s="498" t="s">
        <v>1401</v>
      </c>
      <c r="H2742" s="193" t="s">
        <v>735</v>
      </c>
      <c r="I2742" s="256">
        <v>50</v>
      </c>
      <c r="J2742" s="256">
        <v>18100</v>
      </c>
      <c r="K2742" s="614">
        <v>905000</v>
      </c>
      <c r="L2742" s="194" t="s">
        <v>259</v>
      </c>
      <c r="M2742" s="194" t="s">
        <v>167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94"/>
    </row>
    <row r="2743" spans="1:27" ht="15.75" customHeight="1">
      <c r="A2743" s="204" t="str">
        <f>IF(B2743&lt;&gt;"",IF(AND(B2743&gt;=_TM1,B2743&lt;=_TM2,OR(TH!L2743="1111",TH!M2743="1111")),TH!D2743,""),"")</f>
        <v/>
      </c>
      <c r="B2743" s="36">
        <f t="shared" si="221"/>
        <v>12</v>
      </c>
      <c r="C2743" s="191">
        <v>40907</v>
      </c>
      <c r="D2743" s="191" t="s">
        <v>982</v>
      </c>
      <c r="E2743" s="191">
        <v>40907</v>
      </c>
      <c r="F2743" s="192" t="s">
        <v>1331</v>
      </c>
      <c r="G2743" s="498" t="s">
        <v>1401</v>
      </c>
      <c r="H2743" s="193" t="s">
        <v>735</v>
      </c>
      <c r="I2743" s="256">
        <v>100</v>
      </c>
      <c r="J2743" s="256">
        <v>23260</v>
      </c>
      <c r="K2743" s="614">
        <v>2326000</v>
      </c>
      <c r="L2743" s="194" t="s">
        <v>259</v>
      </c>
      <c r="M2743" s="194" t="s">
        <v>167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94"/>
    </row>
    <row r="2744" spans="1:27" ht="15.75" customHeight="1">
      <c r="A2744" s="204" t="str">
        <f>IF(B2744&lt;&gt;"",IF(AND(B2744&gt;=_TM1,B2744&lt;=_TM2,OR(TH!L2744="1111",TH!M2744="1111")),TH!D2744,""),"")</f>
        <v/>
      </c>
      <c r="B2744" s="36">
        <f t="shared" si="221"/>
        <v>12</v>
      </c>
      <c r="C2744" s="191">
        <v>40907</v>
      </c>
      <c r="D2744" s="191" t="s">
        <v>982</v>
      </c>
      <c r="E2744" s="191">
        <v>40907</v>
      </c>
      <c r="F2744" s="192" t="s">
        <v>1332</v>
      </c>
      <c r="G2744" s="498" t="s">
        <v>1401</v>
      </c>
      <c r="H2744" s="193" t="s">
        <v>735</v>
      </c>
      <c r="I2744" s="256">
        <v>50</v>
      </c>
      <c r="J2744" s="256">
        <v>20090</v>
      </c>
      <c r="K2744" s="614">
        <v>1004500</v>
      </c>
      <c r="L2744" s="194" t="s">
        <v>259</v>
      </c>
      <c r="M2744" s="194" t="s">
        <v>167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94"/>
    </row>
    <row r="2745" spans="1:27" ht="15.75" customHeight="1">
      <c r="A2745" s="204" t="str">
        <f>IF(B2745&lt;&gt;"",IF(AND(B2745&gt;=_TM1,B2745&lt;=_TM2,OR(TH!L2745="1111",TH!M2745="1111")),TH!D2745,""),"")</f>
        <v/>
      </c>
      <c r="B2745" s="36">
        <f t="shared" si="221"/>
        <v>12</v>
      </c>
      <c r="C2745" s="191">
        <v>40907</v>
      </c>
      <c r="D2745" s="191" t="s">
        <v>982</v>
      </c>
      <c r="E2745" s="191">
        <v>40907</v>
      </c>
      <c r="F2745" s="192" t="s">
        <v>1333</v>
      </c>
      <c r="G2745" s="498" t="s">
        <v>1401</v>
      </c>
      <c r="H2745" s="193" t="s">
        <v>735</v>
      </c>
      <c r="I2745" s="256">
        <v>190</v>
      </c>
      <c r="J2745" s="256">
        <v>18170</v>
      </c>
      <c r="K2745" s="614">
        <v>3452300</v>
      </c>
      <c r="L2745" s="194" t="s">
        <v>259</v>
      </c>
      <c r="M2745" s="194" t="s">
        <v>167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94"/>
    </row>
    <row r="2746" spans="1:27" ht="15.75" customHeight="1">
      <c r="A2746" s="204" t="str">
        <f>IF(B2746&lt;&gt;"",IF(AND(B2746&gt;=_TM1,B2746&lt;=_TM2,OR(TH!L2746="1111",TH!M2746="1111")),TH!D2746,""),"")</f>
        <v/>
      </c>
      <c r="B2746" s="36">
        <f t="shared" si="221"/>
        <v>12</v>
      </c>
      <c r="C2746" s="191">
        <v>40907</v>
      </c>
      <c r="D2746" s="191" t="s">
        <v>982</v>
      </c>
      <c r="E2746" s="191">
        <v>40907</v>
      </c>
      <c r="F2746" s="192" t="s">
        <v>1334</v>
      </c>
      <c r="G2746" s="498" t="s">
        <v>1401</v>
      </c>
      <c r="H2746" s="193" t="s">
        <v>735</v>
      </c>
      <c r="I2746" s="256">
        <v>130</v>
      </c>
      <c r="J2746" s="256">
        <v>19420</v>
      </c>
      <c r="K2746" s="614">
        <v>2524600</v>
      </c>
      <c r="L2746" s="194" t="s">
        <v>259</v>
      </c>
      <c r="M2746" s="194" t="s">
        <v>167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94"/>
    </row>
    <row r="2747" spans="1:27" ht="15.75" customHeight="1">
      <c r="A2747" s="204" t="str">
        <f>IF(B2747&lt;&gt;"",IF(AND(B2747&gt;=_TM1,B2747&lt;=_TM2,OR(TH!L2747="1111",TH!M2747="1111")),TH!D2747,""),"")</f>
        <v/>
      </c>
      <c r="B2747" s="36">
        <f t="shared" si="221"/>
        <v>12</v>
      </c>
      <c r="C2747" s="191">
        <v>40907</v>
      </c>
      <c r="D2747" s="191" t="s">
        <v>982</v>
      </c>
      <c r="E2747" s="191">
        <v>40907</v>
      </c>
      <c r="F2747" s="192" t="s">
        <v>1335</v>
      </c>
      <c r="G2747" s="498" t="s">
        <v>1401</v>
      </c>
      <c r="H2747" s="193" t="s">
        <v>735</v>
      </c>
      <c r="I2747" s="256">
        <v>110</v>
      </c>
      <c r="J2747" s="256">
        <v>19450</v>
      </c>
      <c r="K2747" s="614">
        <v>2139500</v>
      </c>
      <c r="L2747" s="194" t="s">
        <v>259</v>
      </c>
      <c r="M2747" s="194" t="s">
        <v>167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94"/>
    </row>
    <row r="2748" spans="1:27" ht="15.75" customHeight="1">
      <c r="A2748" s="204" t="str">
        <f>IF(B2748&lt;&gt;"",IF(AND(B2748&gt;=_TM1,B2748&lt;=_TM2,OR(TH!L2748="1111",TH!M2748="1111")),TH!D2748,""),"")</f>
        <v/>
      </c>
      <c r="B2748" s="36">
        <f t="shared" si="221"/>
        <v>12</v>
      </c>
      <c r="C2748" s="191">
        <v>40907</v>
      </c>
      <c r="D2748" s="191" t="s">
        <v>982</v>
      </c>
      <c r="E2748" s="191">
        <v>40907</v>
      </c>
      <c r="F2748" s="192" t="s">
        <v>1402</v>
      </c>
      <c r="G2748" s="498" t="s">
        <v>1401</v>
      </c>
      <c r="H2748" s="193" t="s">
        <v>735</v>
      </c>
      <c r="I2748" s="256">
        <v>12</v>
      </c>
      <c r="J2748" s="256">
        <v>19625</v>
      </c>
      <c r="K2748" s="614">
        <v>235500</v>
      </c>
      <c r="L2748" s="194" t="s">
        <v>259</v>
      </c>
      <c r="M2748" s="194" t="s">
        <v>167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94"/>
    </row>
    <row r="2749" spans="1:27" ht="15.75" customHeight="1">
      <c r="A2749" s="204" t="str">
        <f>IF(B2749&lt;&gt;"",IF(AND(B2749&gt;=_TM1,B2749&lt;=_TM2,OR(TH!L2749="1111",TH!M2749="1111")),TH!D2749,""),"")</f>
        <v/>
      </c>
      <c r="B2749" s="36">
        <f t="shared" si="221"/>
        <v>12</v>
      </c>
      <c r="C2749" s="191">
        <v>40907</v>
      </c>
      <c r="D2749" s="191" t="s">
        <v>982</v>
      </c>
      <c r="E2749" s="191">
        <v>40907</v>
      </c>
      <c r="F2749" s="192" t="s">
        <v>1176</v>
      </c>
      <c r="G2749" s="498" t="s">
        <v>1401</v>
      </c>
      <c r="H2749" s="193" t="s">
        <v>735</v>
      </c>
      <c r="I2749" s="256"/>
      <c r="J2749" s="256"/>
      <c r="K2749" s="614">
        <v>1258740</v>
      </c>
      <c r="L2749" s="194" t="s">
        <v>259</v>
      </c>
      <c r="M2749" s="194" t="s">
        <v>731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94"/>
    </row>
    <row r="2750" spans="1:27" ht="15.75" customHeight="1">
      <c r="A2750" s="204" t="str">
        <f>IF(B2750&lt;&gt;"",IF(AND(B2750&gt;=_TM1,B2750&lt;=_TM2,OR(TH!L2750="1111",TH!M2750="1111")),TH!D2750,""),"")</f>
        <v/>
      </c>
      <c r="B2750" s="36">
        <f t="shared" si="221"/>
        <v>12</v>
      </c>
      <c r="C2750" s="191">
        <f t="shared" ref="C2750:C2781" si="222">E2750</f>
        <v>40907</v>
      </c>
      <c r="D2750" s="48" t="s">
        <v>1413</v>
      </c>
      <c r="E2750" s="191">
        <v>40907</v>
      </c>
      <c r="F2750" s="40" t="s">
        <v>1382</v>
      </c>
      <c r="G2750" s="40"/>
      <c r="H2750" s="628" t="s">
        <v>1092</v>
      </c>
      <c r="I2750" s="256">
        <v>392</v>
      </c>
      <c r="J2750" s="256">
        <v>8026.0056348250355</v>
      </c>
      <c r="K2750" s="614">
        <f t="shared" ref="K2750:K2781" si="223">ROUND(I2750*J2750,0)</f>
        <v>3146194</v>
      </c>
      <c r="L2750" s="39" t="s">
        <v>159</v>
      </c>
      <c r="M2750" s="39" t="s">
        <v>157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94"/>
    </row>
    <row r="2751" spans="1:27" ht="15.75" customHeight="1">
      <c r="A2751" s="204" t="str">
        <f>IF(B2751&lt;&gt;"",IF(AND(B2751&gt;=_TM1,B2751&lt;=_TM2,OR(TH!L2751="1111",TH!M2751="1111")),TH!D2751,""),"")</f>
        <v/>
      </c>
      <c r="B2751" s="36">
        <f t="shared" si="221"/>
        <v>12</v>
      </c>
      <c r="C2751" s="191">
        <f t="shared" si="222"/>
        <v>40907</v>
      </c>
      <c r="D2751" s="48" t="s">
        <v>1413</v>
      </c>
      <c r="E2751" s="191">
        <v>40907</v>
      </c>
      <c r="F2751" s="40" t="s">
        <v>1384</v>
      </c>
      <c r="G2751" s="40"/>
      <c r="H2751" s="628" t="s">
        <v>1092</v>
      </c>
      <c r="I2751" s="256">
        <v>65</v>
      </c>
      <c r="J2751" s="256">
        <v>17737.492801230059</v>
      </c>
      <c r="K2751" s="614">
        <f t="shared" si="223"/>
        <v>1152937</v>
      </c>
      <c r="L2751" s="39" t="s">
        <v>159</v>
      </c>
      <c r="M2751" s="39" t="s">
        <v>157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94"/>
    </row>
    <row r="2752" spans="1:27" ht="15.75" customHeight="1">
      <c r="A2752" s="204" t="str">
        <f>IF(B2752&lt;&gt;"",IF(AND(B2752&gt;=_TM1,B2752&lt;=_TM2,OR(TH!L2752="1111",TH!M2752="1111")),TH!D2752,""),"")</f>
        <v/>
      </c>
      <c r="B2752" s="36">
        <f t="shared" si="221"/>
        <v>12</v>
      </c>
      <c r="C2752" s="191">
        <f t="shared" si="222"/>
        <v>40907</v>
      </c>
      <c r="D2752" s="48" t="s">
        <v>1413</v>
      </c>
      <c r="E2752" s="191">
        <v>40907</v>
      </c>
      <c r="F2752" s="40" t="s">
        <v>1385</v>
      </c>
      <c r="G2752" s="40"/>
      <c r="H2752" s="628" t="s">
        <v>1092</v>
      </c>
      <c r="I2752" s="256">
        <v>10</v>
      </c>
      <c r="J2752" s="256">
        <v>18725.408185845445</v>
      </c>
      <c r="K2752" s="614">
        <f t="shared" si="223"/>
        <v>187254</v>
      </c>
      <c r="L2752" s="39" t="s">
        <v>159</v>
      </c>
      <c r="M2752" s="39" t="s">
        <v>157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94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>
        <f t="shared" si="221"/>
        <v>12</v>
      </c>
      <c r="C2753" s="191">
        <f t="shared" si="222"/>
        <v>40907</v>
      </c>
      <c r="D2753" s="48" t="s">
        <v>1413</v>
      </c>
      <c r="E2753" s="191">
        <v>40907</v>
      </c>
      <c r="F2753" s="40" t="s">
        <v>1386</v>
      </c>
      <c r="G2753" s="40"/>
      <c r="H2753" s="628" t="s">
        <v>1092</v>
      </c>
      <c r="I2753" s="256">
        <v>106</v>
      </c>
      <c r="J2753" s="256">
        <v>17929.49875188318</v>
      </c>
      <c r="K2753" s="614">
        <f t="shared" si="223"/>
        <v>1900527</v>
      </c>
      <c r="L2753" s="39" t="s">
        <v>159</v>
      </c>
      <c r="M2753" s="39" t="s">
        <v>157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94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>
        <f t="shared" si="221"/>
        <v>12</v>
      </c>
      <c r="C2754" s="191">
        <f t="shared" si="222"/>
        <v>40907</v>
      </c>
      <c r="D2754" s="48" t="s">
        <v>1413</v>
      </c>
      <c r="E2754" s="191">
        <v>40907</v>
      </c>
      <c r="F2754" s="40" t="s">
        <v>1387</v>
      </c>
      <c r="G2754" s="40"/>
      <c r="H2754" s="628" t="s">
        <v>1092</v>
      </c>
      <c r="I2754" s="256">
        <v>76</v>
      </c>
      <c r="J2754" s="256">
        <v>14753.495027950701</v>
      </c>
      <c r="K2754" s="614">
        <f t="shared" si="223"/>
        <v>1121266</v>
      </c>
      <c r="L2754" s="39" t="s">
        <v>159</v>
      </c>
      <c r="M2754" s="39" t="s">
        <v>157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94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>
        <f t="shared" si="221"/>
        <v>12</v>
      </c>
      <c r="C2755" s="191">
        <f t="shared" si="222"/>
        <v>40907</v>
      </c>
      <c r="D2755" s="48" t="s">
        <v>1413</v>
      </c>
      <c r="E2755" s="191">
        <v>40907</v>
      </c>
      <c r="F2755" s="40" t="s">
        <v>1364</v>
      </c>
      <c r="G2755" s="40"/>
      <c r="H2755" s="628" t="s">
        <v>1092</v>
      </c>
      <c r="I2755" s="256">
        <v>208</v>
      </c>
      <c r="J2755" s="256">
        <v>17929.503378153135</v>
      </c>
      <c r="K2755" s="614">
        <f t="shared" si="223"/>
        <v>3729337</v>
      </c>
      <c r="L2755" s="39" t="s">
        <v>159</v>
      </c>
      <c r="M2755" s="39" t="s">
        <v>157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94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>
        <f t="shared" si="221"/>
        <v>12</v>
      </c>
      <c r="C2756" s="191">
        <f t="shared" si="222"/>
        <v>40907</v>
      </c>
      <c r="D2756" s="48" t="s">
        <v>1413</v>
      </c>
      <c r="E2756" s="191">
        <v>40907</v>
      </c>
      <c r="F2756" s="40" t="s">
        <v>1388</v>
      </c>
      <c r="G2756" s="40"/>
      <c r="H2756" s="628" t="s">
        <v>1092</v>
      </c>
      <c r="I2756" s="256">
        <v>1</v>
      </c>
      <c r="J2756" s="256">
        <v>9917.5081858454432</v>
      </c>
      <c r="K2756" s="614">
        <f t="shared" si="223"/>
        <v>9918</v>
      </c>
      <c r="L2756" s="39" t="s">
        <v>159</v>
      </c>
      <c r="M2756" s="39" t="s">
        <v>157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94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>
        <f t="shared" si="221"/>
        <v>12</v>
      </c>
      <c r="C2757" s="191">
        <f t="shared" si="222"/>
        <v>40907</v>
      </c>
      <c r="D2757" s="48" t="s">
        <v>1413</v>
      </c>
      <c r="E2757" s="191">
        <v>40907</v>
      </c>
      <c r="F2757" s="40" t="s">
        <v>1389</v>
      </c>
      <c r="G2757" s="40"/>
      <c r="H2757" s="628" t="s">
        <v>1092</v>
      </c>
      <c r="I2757" s="256">
        <v>12</v>
      </c>
      <c r="J2757" s="256">
        <v>12257.758185845443</v>
      </c>
      <c r="K2757" s="614">
        <f t="shared" si="223"/>
        <v>147093</v>
      </c>
      <c r="L2757" s="39" t="s">
        <v>159</v>
      </c>
      <c r="M2757" s="39" t="s">
        <v>157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94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>
        <f t="shared" si="221"/>
        <v>12</v>
      </c>
      <c r="C2758" s="191">
        <f t="shared" si="222"/>
        <v>40907</v>
      </c>
      <c r="D2758" s="48" t="s">
        <v>1413</v>
      </c>
      <c r="E2758" s="191">
        <v>40907</v>
      </c>
      <c r="F2758" s="40" t="s">
        <v>932</v>
      </c>
      <c r="G2758" s="40"/>
      <c r="H2758" s="628" t="s">
        <v>1092</v>
      </c>
      <c r="I2758" s="256">
        <v>91</v>
      </c>
      <c r="J2758" s="256">
        <v>11252.497196834454</v>
      </c>
      <c r="K2758" s="614">
        <f t="shared" si="223"/>
        <v>1023977</v>
      </c>
      <c r="L2758" s="39" t="s">
        <v>159</v>
      </c>
      <c r="M2758" s="39" t="s">
        <v>157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94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>
        <f t="shared" si="221"/>
        <v>12</v>
      </c>
      <c r="C2759" s="191">
        <f t="shared" si="222"/>
        <v>40907</v>
      </c>
      <c r="D2759" s="48" t="s">
        <v>1414</v>
      </c>
      <c r="E2759" s="191">
        <v>40907</v>
      </c>
      <c r="F2759" s="40" t="s">
        <v>1390</v>
      </c>
      <c r="G2759" s="40"/>
      <c r="H2759" s="628" t="s">
        <v>1092</v>
      </c>
      <c r="I2759" s="256">
        <v>1140</v>
      </c>
      <c r="J2759" s="256">
        <v>1770.0125718103548</v>
      </c>
      <c r="K2759" s="614">
        <f t="shared" si="223"/>
        <v>2017814</v>
      </c>
      <c r="L2759" s="39" t="s">
        <v>159</v>
      </c>
      <c r="M2759" s="39" t="s">
        <v>157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94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>
        <f t="shared" si="221"/>
        <v>12</v>
      </c>
      <c r="C2760" s="191">
        <f t="shared" si="222"/>
        <v>40907</v>
      </c>
      <c r="D2760" s="48" t="s">
        <v>1414</v>
      </c>
      <c r="E2760" s="191">
        <v>40907</v>
      </c>
      <c r="F2760" s="40" t="s">
        <v>1381</v>
      </c>
      <c r="G2760" s="40"/>
      <c r="H2760" s="628" t="s">
        <v>1092</v>
      </c>
      <c r="I2760" s="256">
        <v>1140</v>
      </c>
      <c r="J2760" s="256">
        <v>1770.0125718103548</v>
      </c>
      <c r="K2760" s="614">
        <f t="shared" si="223"/>
        <v>2017814</v>
      </c>
      <c r="L2760" s="39" t="s">
        <v>159</v>
      </c>
      <c r="M2760" s="39" t="s">
        <v>157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94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>
        <f t="shared" si="221"/>
        <v>12</v>
      </c>
      <c r="C2761" s="191">
        <f t="shared" si="222"/>
        <v>40907</v>
      </c>
      <c r="D2761" s="48" t="s">
        <v>1414</v>
      </c>
      <c r="E2761" s="191">
        <v>40907</v>
      </c>
      <c r="F2761" s="40" t="s">
        <v>1359</v>
      </c>
      <c r="G2761" s="40"/>
      <c r="H2761" s="628" t="s">
        <v>1092</v>
      </c>
      <c r="I2761" s="256">
        <v>1</v>
      </c>
      <c r="J2761" s="256">
        <v>18724.508185845447</v>
      </c>
      <c r="K2761" s="614">
        <f t="shared" si="223"/>
        <v>18725</v>
      </c>
      <c r="L2761" s="39" t="s">
        <v>159</v>
      </c>
      <c r="M2761" s="39" t="s">
        <v>157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94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>
        <f t="shared" si="221"/>
        <v>12</v>
      </c>
      <c r="C2762" s="191">
        <f t="shared" si="222"/>
        <v>40907</v>
      </c>
      <c r="D2762" s="48" t="s">
        <v>1414</v>
      </c>
      <c r="E2762" s="191">
        <v>40907</v>
      </c>
      <c r="F2762" s="40" t="s">
        <v>1391</v>
      </c>
      <c r="G2762" s="40"/>
      <c r="H2762" s="628" t="s">
        <v>1092</v>
      </c>
      <c r="I2762" s="256">
        <v>7</v>
      </c>
      <c r="J2762" s="256">
        <v>16741.365328702585</v>
      </c>
      <c r="K2762" s="614">
        <f t="shared" si="223"/>
        <v>117190</v>
      </c>
      <c r="L2762" s="39" t="s">
        <v>159</v>
      </c>
      <c r="M2762" s="39" t="s">
        <v>157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94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>
        <f t="shared" si="221"/>
        <v>12</v>
      </c>
      <c r="C2763" s="191">
        <f t="shared" si="222"/>
        <v>40907</v>
      </c>
      <c r="D2763" s="48" t="s">
        <v>1414</v>
      </c>
      <c r="E2763" s="191">
        <v>40907</v>
      </c>
      <c r="F2763" s="40" t="s">
        <v>1364</v>
      </c>
      <c r="G2763" s="40"/>
      <c r="H2763" s="628" t="s">
        <v>1092</v>
      </c>
      <c r="I2763" s="256">
        <v>20</v>
      </c>
      <c r="J2763" s="256">
        <v>21576.458185845444</v>
      </c>
      <c r="K2763" s="614">
        <f t="shared" si="223"/>
        <v>431529</v>
      </c>
      <c r="L2763" s="39" t="s">
        <v>159</v>
      </c>
      <c r="M2763" s="39" t="s">
        <v>157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94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>
        <f t="shared" si="221"/>
        <v>12</v>
      </c>
      <c r="C2764" s="191">
        <f t="shared" si="222"/>
        <v>40907</v>
      </c>
      <c r="D2764" s="48" t="s">
        <v>1414</v>
      </c>
      <c r="E2764" s="191">
        <v>40907</v>
      </c>
      <c r="F2764" s="40" t="s">
        <v>1392</v>
      </c>
      <c r="G2764" s="40"/>
      <c r="H2764" s="628" t="s">
        <v>1092</v>
      </c>
      <c r="I2764" s="256">
        <v>10</v>
      </c>
      <c r="J2764" s="256">
        <v>18672.408185845445</v>
      </c>
      <c r="K2764" s="614">
        <f t="shared" si="223"/>
        <v>186724</v>
      </c>
      <c r="L2764" s="39" t="s">
        <v>159</v>
      </c>
      <c r="M2764" s="39" t="s">
        <v>157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94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>
        <f t="shared" si="221"/>
        <v>12</v>
      </c>
      <c r="C2765" s="191">
        <f t="shared" si="222"/>
        <v>40907</v>
      </c>
      <c r="D2765" s="48" t="s">
        <v>1414</v>
      </c>
      <c r="E2765" s="191">
        <v>40907</v>
      </c>
      <c r="F2765" s="40" t="s">
        <v>1310</v>
      </c>
      <c r="G2765" s="40"/>
      <c r="H2765" s="628" t="s">
        <v>1092</v>
      </c>
      <c r="I2765" s="256">
        <v>2</v>
      </c>
      <c r="J2765" s="256">
        <v>16741.008185845443</v>
      </c>
      <c r="K2765" s="614">
        <f t="shared" si="223"/>
        <v>33482</v>
      </c>
      <c r="L2765" s="39" t="s">
        <v>159</v>
      </c>
      <c r="M2765" s="39" t="s">
        <v>157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94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>
        <f t="shared" si="221"/>
        <v>12</v>
      </c>
      <c r="C2766" s="191">
        <f t="shared" si="222"/>
        <v>40907</v>
      </c>
      <c r="D2766" s="48" t="s">
        <v>1415</v>
      </c>
      <c r="E2766" s="191">
        <v>40907</v>
      </c>
      <c r="F2766" s="40" t="s">
        <v>1364</v>
      </c>
      <c r="G2766" s="40"/>
      <c r="H2766" s="628" t="s">
        <v>1092</v>
      </c>
      <c r="I2766" s="256">
        <v>108</v>
      </c>
      <c r="J2766" s="256">
        <v>17929.498926586184</v>
      </c>
      <c r="K2766" s="614">
        <f t="shared" si="223"/>
        <v>1936386</v>
      </c>
      <c r="L2766" s="39" t="s">
        <v>159</v>
      </c>
      <c r="M2766" s="39" t="s">
        <v>157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94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>
        <f t="shared" si="221"/>
        <v>12</v>
      </c>
      <c r="C2767" s="191">
        <f t="shared" si="222"/>
        <v>40907</v>
      </c>
      <c r="D2767" s="48" t="s">
        <v>1415</v>
      </c>
      <c r="E2767" s="191">
        <v>40907</v>
      </c>
      <c r="F2767" s="40" t="s">
        <v>1391</v>
      </c>
      <c r="G2767" s="40"/>
      <c r="H2767" s="628" t="s">
        <v>1092</v>
      </c>
      <c r="I2767" s="256">
        <v>2</v>
      </c>
      <c r="J2767" s="256">
        <v>16741.008185845443</v>
      </c>
      <c r="K2767" s="614">
        <f t="shared" si="223"/>
        <v>33482</v>
      </c>
      <c r="L2767" s="39" t="s">
        <v>159</v>
      </c>
      <c r="M2767" s="39" t="s">
        <v>157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94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>
        <f t="shared" si="221"/>
        <v>12</v>
      </c>
      <c r="C2768" s="191">
        <f t="shared" si="222"/>
        <v>40907</v>
      </c>
      <c r="D2768" s="48" t="s">
        <v>1415</v>
      </c>
      <c r="E2768" s="191">
        <v>40907</v>
      </c>
      <c r="F2768" s="40" t="s">
        <v>1394</v>
      </c>
      <c r="G2768" s="40"/>
      <c r="H2768" s="628" t="s">
        <v>1092</v>
      </c>
      <c r="I2768" s="256">
        <v>3</v>
      </c>
      <c r="J2768" s="256">
        <v>9918.5081858454414</v>
      </c>
      <c r="K2768" s="614">
        <f t="shared" si="223"/>
        <v>29756</v>
      </c>
      <c r="L2768" s="39" t="s">
        <v>159</v>
      </c>
      <c r="M2768" s="39" t="s">
        <v>157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94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>
        <f t="shared" si="221"/>
        <v>12</v>
      </c>
      <c r="C2769" s="191">
        <f t="shared" si="222"/>
        <v>40907</v>
      </c>
      <c r="D2769" s="48" t="s">
        <v>1415</v>
      </c>
      <c r="E2769" s="191">
        <v>40907</v>
      </c>
      <c r="F2769" s="40" t="s">
        <v>1395</v>
      </c>
      <c r="G2769" s="40"/>
      <c r="H2769" s="628" t="s">
        <v>1092</v>
      </c>
      <c r="I2769" s="256">
        <v>2</v>
      </c>
      <c r="J2769" s="256">
        <v>15252.508185845443</v>
      </c>
      <c r="K2769" s="614">
        <f t="shared" si="223"/>
        <v>30505</v>
      </c>
      <c r="L2769" s="39" t="s">
        <v>159</v>
      </c>
      <c r="M2769" s="39" t="s">
        <v>157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94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>
        <f t="shared" si="221"/>
        <v>12</v>
      </c>
      <c r="C2770" s="191">
        <f t="shared" si="222"/>
        <v>40907</v>
      </c>
      <c r="D2770" s="48" t="s">
        <v>1415</v>
      </c>
      <c r="E2770" s="191">
        <v>40907</v>
      </c>
      <c r="F2770" s="40" t="s">
        <v>1309</v>
      </c>
      <c r="G2770" s="40"/>
      <c r="H2770" s="628" t="s">
        <v>1092</v>
      </c>
      <c r="I2770" s="256">
        <v>4</v>
      </c>
      <c r="J2770" s="256">
        <v>10012.008185845443</v>
      </c>
      <c r="K2770" s="614">
        <f t="shared" si="223"/>
        <v>40048</v>
      </c>
      <c r="L2770" s="39" t="s">
        <v>159</v>
      </c>
      <c r="M2770" s="39" t="s">
        <v>157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94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>
        <f t="shared" si="221"/>
        <v>12</v>
      </c>
      <c r="C2771" s="191">
        <f t="shared" si="222"/>
        <v>40907</v>
      </c>
      <c r="D2771" s="48" t="s">
        <v>1415</v>
      </c>
      <c r="E2771" s="191">
        <v>40907</v>
      </c>
      <c r="F2771" s="40" t="s">
        <v>1312</v>
      </c>
      <c r="G2771" s="40"/>
      <c r="H2771" s="628" t="s">
        <v>1092</v>
      </c>
      <c r="I2771" s="256">
        <v>2</v>
      </c>
      <c r="J2771" s="256">
        <v>14753.508185845443</v>
      </c>
      <c r="K2771" s="614">
        <f t="shared" si="223"/>
        <v>29507</v>
      </c>
      <c r="L2771" s="39" t="s">
        <v>159</v>
      </c>
      <c r="M2771" s="39" t="s">
        <v>157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94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>
        <f t="shared" si="221"/>
        <v>12</v>
      </c>
      <c r="C2772" s="191">
        <f t="shared" si="222"/>
        <v>40907</v>
      </c>
      <c r="D2772" s="48" t="s">
        <v>1415</v>
      </c>
      <c r="E2772" s="191">
        <v>40907</v>
      </c>
      <c r="F2772" s="40" t="s">
        <v>1396</v>
      </c>
      <c r="G2772" s="40"/>
      <c r="H2772" s="628" t="s">
        <v>1092</v>
      </c>
      <c r="I2772" s="256">
        <v>1</v>
      </c>
      <c r="J2772" s="256">
        <v>14753.508185845443</v>
      </c>
      <c r="K2772" s="614">
        <f t="shared" si="223"/>
        <v>14754</v>
      </c>
      <c r="L2772" s="39" t="s">
        <v>159</v>
      </c>
      <c r="M2772" s="39" t="s">
        <v>157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94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>
        <f t="shared" si="221"/>
        <v>12</v>
      </c>
      <c r="C2773" s="191">
        <f t="shared" si="222"/>
        <v>40907</v>
      </c>
      <c r="D2773" s="48" t="s">
        <v>1415</v>
      </c>
      <c r="E2773" s="191">
        <v>40907</v>
      </c>
      <c r="F2773" s="40" t="s">
        <v>1387</v>
      </c>
      <c r="G2773" s="40"/>
      <c r="H2773" s="628" t="s">
        <v>1092</v>
      </c>
      <c r="I2773" s="256">
        <v>1</v>
      </c>
      <c r="J2773" s="256">
        <v>16741.508185845443</v>
      </c>
      <c r="K2773" s="614">
        <f t="shared" si="223"/>
        <v>16742</v>
      </c>
      <c r="L2773" s="39" t="s">
        <v>159</v>
      </c>
      <c r="M2773" s="39" t="s">
        <v>157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94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>
        <f t="shared" si="221"/>
        <v>12</v>
      </c>
      <c r="C2774" s="191">
        <f t="shared" si="222"/>
        <v>40907</v>
      </c>
      <c r="D2774" s="48" t="s">
        <v>1415</v>
      </c>
      <c r="E2774" s="191">
        <v>40907</v>
      </c>
      <c r="F2774" s="40" t="s">
        <v>1397</v>
      </c>
      <c r="G2774" s="40"/>
      <c r="H2774" s="628" t="s">
        <v>1092</v>
      </c>
      <c r="I2774" s="256">
        <v>2</v>
      </c>
      <c r="J2774" s="256">
        <v>14753.508185845443</v>
      </c>
      <c r="K2774" s="614">
        <f t="shared" si="223"/>
        <v>29507</v>
      </c>
      <c r="L2774" s="39" t="s">
        <v>159</v>
      </c>
      <c r="M2774" s="39" t="s">
        <v>157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94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>
        <f t="shared" si="221"/>
        <v>12</v>
      </c>
      <c r="C2775" s="191">
        <f t="shared" si="222"/>
        <v>40907</v>
      </c>
      <c r="D2775" s="48" t="s">
        <v>1416</v>
      </c>
      <c r="E2775" s="191">
        <v>40907</v>
      </c>
      <c r="F2775" s="40" t="s">
        <v>744</v>
      </c>
      <c r="G2775" s="40"/>
      <c r="H2775" s="628" t="s">
        <v>1092</v>
      </c>
      <c r="I2775" s="256">
        <v>1</v>
      </c>
      <c r="J2775" s="256">
        <v>14753.508185845443</v>
      </c>
      <c r="K2775" s="614">
        <f t="shared" si="223"/>
        <v>14754</v>
      </c>
      <c r="L2775" s="39" t="s">
        <v>159</v>
      </c>
      <c r="M2775" s="39" t="s">
        <v>157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94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>
        <f t="shared" si="221"/>
        <v>12</v>
      </c>
      <c r="C2776" s="191">
        <f t="shared" si="222"/>
        <v>40907</v>
      </c>
      <c r="D2776" s="48" t="s">
        <v>1416</v>
      </c>
      <c r="E2776" s="191">
        <v>40907</v>
      </c>
      <c r="F2776" s="40" t="s">
        <v>1398</v>
      </c>
      <c r="G2776" s="40"/>
      <c r="H2776" s="628" t="s">
        <v>1092</v>
      </c>
      <c r="I2776" s="256">
        <v>1</v>
      </c>
      <c r="J2776" s="256">
        <v>16741.508185845443</v>
      </c>
      <c r="K2776" s="614">
        <f t="shared" si="223"/>
        <v>16742</v>
      </c>
      <c r="L2776" s="39" t="s">
        <v>159</v>
      </c>
      <c r="M2776" s="39" t="s">
        <v>157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94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>
        <f t="shared" si="221"/>
        <v>12</v>
      </c>
      <c r="C2777" s="191">
        <f t="shared" si="222"/>
        <v>40907</v>
      </c>
      <c r="D2777" s="48" t="s">
        <v>1416</v>
      </c>
      <c r="E2777" s="191">
        <v>40907</v>
      </c>
      <c r="F2777" s="40" t="s">
        <v>1399</v>
      </c>
      <c r="G2777" s="40"/>
      <c r="H2777" s="628" t="s">
        <v>1092</v>
      </c>
      <c r="I2777" s="256">
        <v>1</v>
      </c>
      <c r="J2777" s="256">
        <v>14753.508185845443</v>
      </c>
      <c r="K2777" s="614">
        <f t="shared" si="223"/>
        <v>14754</v>
      </c>
      <c r="L2777" s="39" t="s">
        <v>159</v>
      </c>
      <c r="M2777" s="39" t="s">
        <v>157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94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>
        <f t="shared" si="221"/>
        <v>12</v>
      </c>
      <c r="C2778" s="191">
        <f t="shared" si="222"/>
        <v>40907</v>
      </c>
      <c r="D2778" s="48" t="s">
        <v>1416</v>
      </c>
      <c r="E2778" s="191">
        <v>40907</v>
      </c>
      <c r="F2778" s="40" t="s">
        <v>1400</v>
      </c>
      <c r="G2778" s="40"/>
      <c r="H2778" s="628" t="s">
        <v>1092</v>
      </c>
      <c r="I2778" s="256">
        <v>1</v>
      </c>
      <c r="J2778" s="256">
        <v>17737.508185845447</v>
      </c>
      <c r="K2778" s="614">
        <f t="shared" si="223"/>
        <v>17738</v>
      </c>
      <c r="L2778" s="39" t="s">
        <v>159</v>
      </c>
      <c r="M2778" s="39" t="s">
        <v>157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94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>
        <f t="shared" si="221"/>
        <v>12</v>
      </c>
      <c r="C2779" s="191">
        <f t="shared" si="222"/>
        <v>40907</v>
      </c>
      <c r="D2779" s="48" t="s">
        <v>1416</v>
      </c>
      <c r="E2779" s="191">
        <v>40907</v>
      </c>
      <c r="F2779" s="40" t="s">
        <v>1360</v>
      </c>
      <c r="G2779" s="40"/>
      <c r="H2779" s="628" t="s">
        <v>1092</v>
      </c>
      <c r="I2779" s="256">
        <v>11</v>
      </c>
      <c r="J2779" s="256">
        <v>14753.508185845443</v>
      </c>
      <c r="K2779" s="614">
        <f t="shared" si="223"/>
        <v>162289</v>
      </c>
      <c r="L2779" s="39" t="s">
        <v>159</v>
      </c>
      <c r="M2779" s="39" t="s">
        <v>157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94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>
        <f t="shared" si="221"/>
        <v>12</v>
      </c>
      <c r="C2780" s="191">
        <f t="shared" si="222"/>
        <v>40907</v>
      </c>
      <c r="D2780" s="48" t="s">
        <v>1416</v>
      </c>
      <c r="E2780" s="191">
        <v>40907</v>
      </c>
      <c r="F2780" s="40" t="s">
        <v>1361</v>
      </c>
      <c r="G2780" s="40"/>
      <c r="H2780" s="628" t="s">
        <v>1092</v>
      </c>
      <c r="I2780" s="256">
        <v>260</v>
      </c>
      <c r="J2780" s="256">
        <v>17929.508185845447</v>
      </c>
      <c r="K2780" s="614">
        <f t="shared" si="223"/>
        <v>4661672</v>
      </c>
      <c r="L2780" s="39" t="s">
        <v>159</v>
      </c>
      <c r="M2780" s="39" t="s">
        <v>157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94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>
        <f t="shared" si="221"/>
        <v>12</v>
      </c>
      <c r="C2781" s="191">
        <f t="shared" si="222"/>
        <v>40907</v>
      </c>
      <c r="D2781" s="48" t="s">
        <v>1416</v>
      </c>
      <c r="E2781" s="191">
        <v>40907</v>
      </c>
      <c r="F2781" s="40" t="s">
        <v>1329</v>
      </c>
      <c r="G2781" s="40"/>
      <c r="H2781" s="628" t="s">
        <v>1092</v>
      </c>
      <c r="I2781" s="256">
        <v>50</v>
      </c>
      <c r="J2781" s="256">
        <v>16741.508185845443</v>
      </c>
      <c r="K2781" s="614">
        <f t="shared" si="223"/>
        <v>837075</v>
      </c>
      <c r="L2781" s="39" t="s">
        <v>159</v>
      </c>
      <c r="M2781" s="39" t="s">
        <v>157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94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>
        <f t="shared" si="221"/>
        <v>12</v>
      </c>
      <c r="C2782" s="191">
        <f t="shared" ref="C2782:C2813" si="224">E2782</f>
        <v>40907</v>
      </c>
      <c r="D2782" s="48" t="s">
        <v>1417</v>
      </c>
      <c r="E2782" s="191">
        <v>40907</v>
      </c>
      <c r="F2782" s="40" t="s">
        <v>1331</v>
      </c>
      <c r="G2782" s="40"/>
      <c r="H2782" s="628" t="s">
        <v>1092</v>
      </c>
      <c r="I2782" s="256">
        <v>100</v>
      </c>
      <c r="J2782" s="256">
        <v>17929.508185845443</v>
      </c>
      <c r="K2782" s="614">
        <f t="shared" ref="K2782:K2813" si="225">ROUND(I2782*J2782,0)</f>
        <v>1792951</v>
      </c>
      <c r="L2782" s="39" t="s">
        <v>159</v>
      </c>
      <c r="M2782" s="39" t="s">
        <v>157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94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>
        <f t="shared" si="221"/>
        <v>12</v>
      </c>
      <c r="C2783" s="191">
        <f t="shared" si="224"/>
        <v>40907</v>
      </c>
      <c r="D2783" s="48" t="s">
        <v>1417</v>
      </c>
      <c r="E2783" s="191">
        <v>40907</v>
      </c>
      <c r="F2783" s="40" t="s">
        <v>1332</v>
      </c>
      <c r="G2783" s="40"/>
      <c r="H2783" s="628" t="s">
        <v>1092</v>
      </c>
      <c r="I2783" s="256">
        <v>50</v>
      </c>
      <c r="J2783" s="256">
        <v>17737.508185845443</v>
      </c>
      <c r="K2783" s="614">
        <f t="shared" si="225"/>
        <v>886875</v>
      </c>
      <c r="L2783" s="39" t="s">
        <v>159</v>
      </c>
      <c r="M2783" s="39" t="s">
        <v>157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94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>
        <f t="shared" ref="B2784:B2831" si="226">IF(C2784&lt;&gt;"",MONTH(C2784),"")</f>
        <v>12</v>
      </c>
      <c r="C2784" s="191">
        <f t="shared" si="224"/>
        <v>40907</v>
      </c>
      <c r="D2784" s="48" t="s">
        <v>1417</v>
      </c>
      <c r="E2784" s="191">
        <v>40907</v>
      </c>
      <c r="F2784" s="40" t="s">
        <v>1333</v>
      </c>
      <c r="G2784" s="40"/>
      <c r="H2784" s="628" t="s">
        <v>1092</v>
      </c>
      <c r="I2784" s="256">
        <v>190</v>
      </c>
      <c r="J2784" s="256">
        <v>17929.508185845443</v>
      </c>
      <c r="K2784" s="614">
        <f t="shared" si="225"/>
        <v>3406607</v>
      </c>
      <c r="L2784" s="39" t="s">
        <v>159</v>
      </c>
      <c r="M2784" s="39" t="s">
        <v>157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94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>
        <f t="shared" si="226"/>
        <v>12</v>
      </c>
      <c r="C2785" s="191">
        <f t="shared" si="224"/>
        <v>40907</v>
      </c>
      <c r="D2785" s="48" t="s">
        <v>1417</v>
      </c>
      <c r="E2785" s="191">
        <v>40907</v>
      </c>
      <c r="F2785" s="40" t="s">
        <v>1334</v>
      </c>
      <c r="G2785" s="40"/>
      <c r="H2785" s="628" t="s">
        <v>1092</v>
      </c>
      <c r="I2785" s="256">
        <v>130</v>
      </c>
      <c r="J2785" s="256">
        <v>17929.508185845447</v>
      </c>
      <c r="K2785" s="614">
        <f t="shared" si="225"/>
        <v>2330836</v>
      </c>
      <c r="L2785" s="39" t="s">
        <v>159</v>
      </c>
      <c r="M2785" s="39" t="s">
        <v>157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94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>
        <f t="shared" si="226"/>
        <v>12</v>
      </c>
      <c r="C2786" s="191">
        <f t="shared" si="224"/>
        <v>40907</v>
      </c>
      <c r="D2786" s="48" t="s">
        <v>1417</v>
      </c>
      <c r="E2786" s="191">
        <v>40907</v>
      </c>
      <c r="F2786" s="40" t="s">
        <v>1335</v>
      </c>
      <c r="G2786" s="40"/>
      <c r="H2786" s="628" t="s">
        <v>1092</v>
      </c>
      <c r="I2786" s="256">
        <v>110</v>
      </c>
      <c r="J2786" s="256">
        <v>17929.508185845443</v>
      </c>
      <c r="K2786" s="614">
        <f t="shared" si="225"/>
        <v>1972246</v>
      </c>
      <c r="L2786" s="39" t="s">
        <v>159</v>
      </c>
      <c r="M2786" s="39" t="s">
        <v>157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94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>
        <f t="shared" si="226"/>
        <v>12</v>
      </c>
      <c r="C2787" s="191">
        <f t="shared" si="224"/>
        <v>40907</v>
      </c>
      <c r="D2787" s="48" t="s">
        <v>1417</v>
      </c>
      <c r="E2787" s="191">
        <v>40907</v>
      </c>
      <c r="F2787" s="40" t="s">
        <v>1402</v>
      </c>
      <c r="G2787" s="40"/>
      <c r="H2787" s="628" t="s">
        <v>1092</v>
      </c>
      <c r="I2787" s="256">
        <v>12</v>
      </c>
      <c r="J2787" s="256">
        <v>17737.508185845443</v>
      </c>
      <c r="K2787" s="614">
        <f t="shared" si="225"/>
        <v>212850</v>
      </c>
      <c r="L2787" s="39" t="s">
        <v>159</v>
      </c>
      <c r="M2787" s="39" t="s">
        <v>157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94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>
        <f t="shared" si="226"/>
        <v>12</v>
      </c>
      <c r="C2788" s="191">
        <f t="shared" si="224"/>
        <v>40907</v>
      </c>
      <c r="D2788" s="37" t="s">
        <v>979</v>
      </c>
      <c r="E2788" s="191">
        <v>40907</v>
      </c>
      <c r="F2788" s="192" t="s">
        <v>1382</v>
      </c>
      <c r="G2788" s="498" t="s">
        <v>1383</v>
      </c>
      <c r="H2788" s="193" t="s">
        <v>764</v>
      </c>
      <c r="I2788" s="256">
        <v>392</v>
      </c>
      <c r="J2788" s="256">
        <v>8026.0056348250355</v>
      </c>
      <c r="K2788" s="866">
        <f t="shared" si="225"/>
        <v>3146194</v>
      </c>
      <c r="L2788" s="854" t="s">
        <v>165</v>
      </c>
      <c r="M2788" s="854" t="s">
        <v>159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94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>
        <f t="shared" si="226"/>
        <v>12</v>
      </c>
      <c r="C2789" s="191">
        <f t="shared" si="224"/>
        <v>40907</v>
      </c>
      <c r="D2789" s="37" t="s">
        <v>980</v>
      </c>
      <c r="E2789" s="191">
        <v>40907</v>
      </c>
      <c r="F2789" s="192" t="s">
        <v>1384</v>
      </c>
      <c r="G2789" s="498" t="s">
        <v>634</v>
      </c>
      <c r="H2789" s="193" t="s">
        <v>733</v>
      </c>
      <c r="I2789" s="256">
        <v>65</v>
      </c>
      <c r="J2789" s="256">
        <v>17737.492801230059</v>
      </c>
      <c r="K2789" s="866">
        <f t="shared" si="225"/>
        <v>1152937</v>
      </c>
      <c r="L2789" s="854" t="s">
        <v>165</v>
      </c>
      <c r="M2789" s="854" t="s">
        <v>159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94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>
        <f t="shared" si="226"/>
        <v>12</v>
      </c>
      <c r="C2790" s="191">
        <f t="shared" si="224"/>
        <v>40907</v>
      </c>
      <c r="D2790" s="37" t="s">
        <v>980</v>
      </c>
      <c r="E2790" s="191">
        <v>40907</v>
      </c>
      <c r="F2790" s="192" t="s">
        <v>1385</v>
      </c>
      <c r="G2790" s="498" t="s">
        <v>634</v>
      </c>
      <c r="H2790" s="193" t="s">
        <v>733</v>
      </c>
      <c r="I2790" s="256">
        <v>10</v>
      </c>
      <c r="J2790" s="256">
        <v>18725.408185845445</v>
      </c>
      <c r="K2790" s="866">
        <f t="shared" si="225"/>
        <v>187254</v>
      </c>
      <c r="L2790" s="854" t="s">
        <v>165</v>
      </c>
      <c r="M2790" s="854" t="s">
        <v>159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94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>
        <f t="shared" si="226"/>
        <v>12</v>
      </c>
      <c r="C2791" s="191">
        <f t="shared" si="224"/>
        <v>40907</v>
      </c>
      <c r="D2791" s="37" t="s">
        <v>980</v>
      </c>
      <c r="E2791" s="191">
        <v>40907</v>
      </c>
      <c r="F2791" s="192" t="s">
        <v>1386</v>
      </c>
      <c r="G2791" s="498" t="s">
        <v>634</v>
      </c>
      <c r="H2791" s="193" t="s">
        <v>733</v>
      </c>
      <c r="I2791" s="256">
        <v>106</v>
      </c>
      <c r="J2791" s="256">
        <v>17929.49875188318</v>
      </c>
      <c r="K2791" s="866">
        <f t="shared" si="225"/>
        <v>1900527</v>
      </c>
      <c r="L2791" s="854" t="s">
        <v>165</v>
      </c>
      <c r="M2791" s="854" t="s">
        <v>159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94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>
        <f t="shared" si="226"/>
        <v>12</v>
      </c>
      <c r="C2792" s="191">
        <f t="shared" si="224"/>
        <v>40907</v>
      </c>
      <c r="D2792" s="37" t="s">
        <v>980</v>
      </c>
      <c r="E2792" s="191">
        <v>40907</v>
      </c>
      <c r="F2792" s="192" t="s">
        <v>1387</v>
      </c>
      <c r="G2792" s="498" t="s">
        <v>634</v>
      </c>
      <c r="H2792" s="193" t="s">
        <v>733</v>
      </c>
      <c r="I2792" s="256">
        <v>76</v>
      </c>
      <c r="J2792" s="256">
        <v>14753.495027950701</v>
      </c>
      <c r="K2792" s="866">
        <f t="shared" si="225"/>
        <v>1121266</v>
      </c>
      <c r="L2792" s="854" t="s">
        <v>165</v>
      </c>
      <c r="M2792" s="854" t="s">
        <v>159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94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>
        <f t="shared" si="226"/>
        <v>12</v>
      </c>
      <c r="C2793" s="191">
        <f t="shared" si="224"/>
        <v>40907</v>
      </c>
      <c r="D2793" s="37" t="s">
        <v>980</v>
      </c>
      <c r="E2793" s="191">
        <v>40907</v>
      </c>
      <c r="F2793" s="192" t="s">
        <v>1364</v>
      </c>
      <c r="G2793" s="498" t="s">
        <v>634</v>
      </c>
      <c r="H2793" s="193" t="s">
        <v>733</v>
      </c>
      <c r="I2793" s="256">
        <v>208</v>
      </c>
      <c r="J2793" s="256">
        <v>17929.503378153135</v>
      </c>
      <c r="K2793" s="866">
        <f t="shared" si="225"/>
        <v>3729337</v>
      </c>
      <c r="L2793" s="854" t="s">
        <v>165</v>
      </c>
      <c r="M2793" s="854" t="s">
        <v>159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94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>
        <f t="shared" si="226"/>
        <v>12</v>
      </c>
      <c r="C2794" s="191">
        <f t="shared" si="224"/>
        <v>40907</v>
      </c>
      <c r="D2794" s="37" t="s">
        <v>980</v>
      </c>
      <c r="E2794" s="191">
        <v>40907</v>
      </c>
      <c r="F2794" s="192" t="s">
        <v>1388</v>
      </c>
      <c r="G2794" s="498" t="s">
        <v>634</v>
      </c>
      <c r="H2794" s="193" t="s">
        <v>733</v>
      </c>
      <c r="I2794" s="256">
        <v>1</v>
      </c>
      <c r="J2794" s="256">
        <v>9917.5081858454432</v>
      </c>
      <c r="K2794" s="866">
        <f t="shared" si="225"/>
        <v>9918</v>
      </c>
      <c r="L2794" s="854" t="s">
        <v>165</v>
      </c>
      <c r="M2794" s="854" t="s">
        <v>159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94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>
        <f t="shared" si="226"/>
        <v>12</v>
      </c>
      <c r="C2795" s="191">
        <f t="shared" si="224"/>
        <v>40907</v>
      </c>
      <c r="D2795" s="37" t="s">
        <v>980</v>
      </c>
      <c r="E2795" s="191">
        <v>40907</v>
      </c>
      <c r="F2795" s="192" t="s">
        <v>1389</v>
      </c>
      <c r="G2795" s="498" t="s">
        <v>634</v>
      </c>
      <c r="H2795" s="193" t="s">
        <v>733</v>
      </c>
      <c r="I2795" s="256">
        <v>12</v>
      </c>
      <c r="J2795" s="256">
        <v>12257.758185845443</v>
      </c>
      <c r="K2795" s="866">
        <f t="shared" si="225"/>
        <v>147093</v>
      </c>
      <c r="L2795" s="854" t="s">
        <v>165</v>
      </c>
      <c r="M2795" s="854" t="s">
        <v>159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94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>
        <f t="shared" si="226"/>
        <v>12</v>
      </c>
      <c r="C2796" s="191">
        <f t="shared" si="224"/>
        <v>40907</v>
      </c>
      <c r="D2796" s="37" t="s">
        <v>980</v>
      </c>
      <c r="E2796" s="191">
        <v>40907</v>
      </c>
      <c r="F2796" s="192" t="s">
        <v>932</v>
      </c>
      <c r="G2796" s="498" t="s">
        <v>634</v>
      </c>
      <c r="H2796" s="193" t="s">
        <v>733</v>
      </c>
      <c r="I2796" s="256">
        <v>91</v>
      </c>
      <c r="J2796" s="256">
        <v>11252.497196834454</v>
      </c>
      <c r="K2796" s="866">
        <f t="shared" si="225"/>
        <v>1023977</v>
      </c>
      <c r="L2796" s="854" t="s">
        <v>165</v>
      </c>
      <c r="M2796" s="854" t="s">
        <v>159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94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>
        <f t="shared" si="226"/>
        <v>12</v>
      </c>
      <c r="C2797" s="191">
        <f t="shared" si="224"/>
        <v>40907</v>
      </c>
      <c r="D2797" s="37" t="s">
        <v>980</v>
      </c>
      <c r="E2797" s="191">
        <v>40907</v>
      </c>
      <c r="F2797" s="192" t="s">
        <v>1390</v>
      </c>
      <c r="G2797" s="498" t="s">
        <v>634</v>
      </c>
      <c r="H2797" s="193" t="s">
        <v>733</v>
      </c>
      <c r="I2797" s="256">
        <v>1140</v>
      </c>
      <c r="J2797" s="256">
        <v>1770.0125718103548</v>
      </c>
      <c r="K2797" s="866">
        <f t="shared" si="225"/>
        <v>2017814</v>
      </c>
      <c r="L2797" s="854" t="s">
        <v>165</v>
      </c>
      <c r="M2797" s="854" t="s">
        <v>159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94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>
        <f t="shared" si="226"/>
        <v>12</v>
      </c>
      <c r="C2798" s="191">
        <f t="shared" si="224"/>
        <v>40907</v>
      </c>
      <c r="D2798" s="37" t="s">
        <v>980</v>
      </c>
      <c r="E2798" s="191">
        <v>40907</v>
      </c>
      <c r="F2798" s="192" t="s">
        <v>1381</v>
      </c>
      <c r="G2798" s="498" t="s">
        <v>634</v>
      </c>
      <c r="H2798" s="193" t="s">
        <v>733</v>
      </c>
      <c r="I2798" s="256">
        <v>1140</v>
      </c>
      <c r="J2798" s="256">
        <v>1770.0125718103548</v>
      </c>
      <c r="K2798" s="866">
        <f t="shared" si="225"/>
        <v>2017814</v>
      </c>
      <c r="L2798" s="854" t="s">
        <v>165</v>
      </c>
      <c r="M2798" s="854" t="s">
        <v>159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94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>
        <f t="shared" si="226"/>
        <v>12</v>
      </c>
      <c r="C2799" s="191">
        <f t="shared" si="224"/>
        <v>40907</v>
      </c>
      <c r="D2799" s="37" t="s">
        <v>980</v>
      </c>
      <c r="E2799" s="191">
        <v>40907</v>
      </c>
      <c r="F2799" s="192" t="s">
        <v>1359</v>
      </c>
      <c r="G2799" s="498" t="s">
        <v>634</v>
      </c>
      <c r="H2799" s="193" t="s">
        <v>733</v>
      </c>
      <c r="I2799" s="256">
        <v>1</v>
      </c>
      <c r="J2799" s="256">
        <v>18724.508185845447</v>
      </c>
      <c r="K2799" s="866">
        <f t="shared" si="225"/>
        <v>18725</v>
      </c>
      <c r="L2799" s="854" t="s">
        <v>165</v>
      </c>
      <c r="M2799" s="854" t="s">
        <v>159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94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>
        <f t="shared" si="226"/>
        <v>12</v>
      </c>
      <c r="C2800" s="191">
        <f t="shared" si="224"/>
        <v>40907</v>
      </c>
      <c r="D2800" s="37" t="s">
        <v>980</v>
      </c>
      <c r="E2800" s="191">
        <v>40907</v>
      </c>
      <c r="F2800" s="192" t="s">
        <v>1391</v>
      </c>
      <c r="G2800" s="498" t="s">
        <v>634</v>
      </c>
      <c r="H2800" s="193" t="s">
        <v>733</v>
      </c>
      <c r="I2800" s="256">
        <v>7</v>
      </c>
      <c r="J2800" s="256">
        <v>16741.365328702585</v>
      </c>
      <c r="K2800" s="866">
        <f t="shared" si="225"/>
        <v>117190</v>
      </c>
      <c r="L2800" s="854" t="s">
        <v>165</v>
      </c>
      <c r="M2800" s="854" t="s">
        <v>159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94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>
        <f t="shared" si="226"/>
        <v>12</v>
      </c>
      <c r="C2801" s="191">
        <f t="shared" si="224"/>
        <v>40907</v>
      </c>
      <c r="D2801" s="37" t="s">
        <v>980</v>
      </c>
      <c r="E2801" s="191">
        <v>40907</v>
      </c>
      <c r="F2801" s="192" t="s">
        <v>1364</v>
      </c>
      <c r="G2801" s="498" t="s">
        <v>634</v>
      </c>
      <c r="H2801" s="193" t="s">
        <v>733</v>
      </c>
      <c r="I2801" s="256">
        <v>20</v>
      </c>
      <c r="J2801" s="256">
        <v>21576.458185845444</v>
      </c>
      <c r="K2801" s="866">
        <f t="shared" si="225"/>
        <v>431529</v>
      </c>
      <c r="L2801" s="854" t="s">
        <v>165</v>
      </c>
      <c r="M2801" s="854" t="s">
        <v>159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94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>
        <f t="shared" si="226"/>
        <v>12</v>
      </c>
      <c r="C2802" s="191">
        <f t="shared" si="224"/>
        <v>40907</v>
      </c>
      <c r="D2802" s="37" t="s">
        <v>980</v>
      </c>
      <c r="E2802" s="191">
        <v>40907</v>
      </c>
      <c r="F2802" s="192" t="s">
        <v>1392</v>
      </c>
      <c r="G2802" s="498" t="s">
        <v>634</v>
      </c>
      <c r="H2802" s="193" t="s">
        <v>733</v>
      </c>
      <c r="I2802" s="256">
        <v>10</v>
      </c>
      <c r="J2802" s="256">
        <v>18672.408185845445</v>
      </c>
      <c r="K2802" s="866">
        <f t="shared" si="225"/>
        <v>186724</v>
      </c>
      <c r="L2802" s="854" t="s">
        <v>165</v>
      </c>
      <c r="M2802" s="854" t="s">
        <v>159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94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>
        <f t="shared" si="226"/>
        <v>12</v>
      </c>
      <c r="C2803" s="191">
        <f t="shared" si="224"/>
        <v>40907</v>
      </c>
      <c r="D2803" s="37" t="s">
        <v>981</v>
      </c>
      <c r="E2803" s="191">
        <v>40907</v>
      </c>
      <c r="F2803" s="192" t="s">
        <v>1310</v>
      </c>
      <c r="G2803" s="498" t="s">
        <v>1393</v>
      </c>
      <c r="H2803" s="193" t="s">
        <v>733</v>
      </c>
      <c r="I2803" s="256">
        <v>2</v>
      </c>
      <c r="J2803" s="256">
        <v>16741.008185845443</v>
      </c>
      <c r="K2803" s="866">
        <f t="shared" si="225"/>
        <v>33482</v>
      </c>
      <c r="L2803" s="854" t="s">
        <v>165</v>
      </c>
      <c r="M2803" s="854" t="s">
        <v>159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94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>
        <f t="shared" si="226"/>
        <v>12</v>
      </c>
      <c r="C2804" s="191">
        <f t="shared" si="224"/>
        <v>40907</v>
      </c>
      <c r="D2804" s="37" t="s">
        <v>981</v>
      </c>
      <c r="E2804" s="191">
        <v>40907</v>
      </c>
      <c r="F2804" s="192" t="s">
        <v>1364</v>
      </c>
      <c r="G2804" s="498" t="s">
        <v>1393</v>
      </c>
      <c r="H2804" s="193" t="s">
        <v>733</v>
      </c>
      <c r="I2804" s="256">
        <v>108</v>
      </c>
      <c r="J2804" s="256">
        <v>17929.498926586184</v>
      </c>
      <c r="K2804" s="866">
        <f t="shared" si="225"/>
        <v>1936386</v>
      </c>
      <c r="L2804" s="854" t="s">
        <v>165</v>
      </c>
      <c r="M2804" s="854" t="s">
        <v>159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94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>
        <f t="shared" si="226"/>
        <v>12</v>
      </c>
      <c r="C2805" s="191">
        <f t="shared" si="224"/>
        <v>40907</v>
      </c>
      <c r="D2805" s="37" t="s">
        <v>981</v>
      </c>
      <c r="E2805" s="191">
        <v>40907</v>
      </c>
      <c r="F2805" s="192" t="s">
        <v>1391</v>
      </c>
      <c r="G2805" s="498" t="s">
        <v>1393</v>
      </c>
      <c r="H2805" s="193" t="s">
        <v>733</v>
      </c>
      <c r="I2805" s="256">
        <v>2</v>
      </c>
      <c r="J2805" s="256">
        <v>16741.008185845443</v>
      </c>
      <c r="K2805" s="866">
        <f t="shared" si="225"/>
        <v>33482</v>
      </c>
      <c r="L2805" s="854" t="s">
        <v>165</v>
      </c>
      <c r="M2805" s="854" t="s">
        <v>159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94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>
        <f t="shared" si="226"/>
        <v>12</v>
      </c>
      <c r="C2806" s="191">
        <f t="shared" si="224"/>
        <v>40907</v>
      </c>
      <c r="D2806" s="37" t="s">
        <v>981</v>
      </c>
      <c r="E2806" s="191">
        <v>40907</v>
      </c>
      <c r="F2806" s="192" t="s">
        <v>1394</v>
      </c>
      <c r="G2806" s="498" t="s">
        <v>1393</v>
      </c>
      <c r="H2806" s="193" t="s">
        <v>733</v>
      </c>
      <c r="I2806" s="256">
        <v>3</v>
      </c>
      <c r="J2806" s="256">
        <v>9918.5081858454414</v>
      </c>
      <c r="K2806" s="866">
        <f t="shared" si="225"/>
        <v>29756</v>
      </c>
      <c r="L2806" s="854" t="s">
        <v>165</v>
      </c>
      <c r="M2806" s="854" t="s">
        <v>159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94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>
        <f t="shared" si="226"/>
        <v>12</v>
      </c>
      <c r="C2807" s="191">
        <f t="shared" si="224"/>
        <v>40907</v>
      </c>
      <c r="D2807" s="37" t="s">
        <v>981</v>
      </c>
      <c r="E2807" s="191">
        <v>40907</v>
      </c>
      <c r="F2807" s="192" t="s">
        <v>1395</v>
      </c>
      <c r="G2807" s="498" t="s">
        <v>1393</v>
      </c>
      <c r="H2807" s="193" t="s">
        <v>733</v>
      </c>
      <c r="I2807" s="256">
        <v>2</v>
      </c>
      <c r="J2807" s="256">
        <v>15252.508185845443</v>
      </c>
      <c r="K2807" s="866">
        <f t="shared" si="225"/>
        <v>30505</v>
      </c>
      <c r="L2807" s="854" t="s">
        <v>165</v>
      </c>
      <c r="M2807" s="854" t="s">
        <v>159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94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>
        <f t="shared" si="226"/>
        <v>12</v>
      </c>
      <c r="C2808" s="191">
        <f t="shared" si="224"/>
        <v>40907</v>
      </c>
      <c r="D2808" s="37" t="s">
        <v>981</v>
      </c>
      <c r="E2808" s="191">
        <v>40907</v>
      </c>
      <c r="F2808" s="192" t="s">
        <v>1309</v>
      </c>
      <c r="G2808" s="498" t="s">
        <v>1393</v>
      </c>
      <c r="H2808" s="193" t="s">
        <v>733</v>
      </c>
      <c r="I2808" s="256">
        <v>4</v>
      </c>
      <c r="J2808" s="256">
        <v>10012.008185845443</v>
      </c>
      <c r="K2808" s="866">
        <f t="shared" si="225"/>
        <v>40048</v>
      </c>
      <c r="L2808" s="854" t="s">
        <v>165</v>
      </c>
      <c r="M2808" s="854" t="s">
        <v>159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94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>
        <f t="shared" si="226"/>
        <v>12</v>
      </c>
      <c r="C2809" s="191">
        <f t="shared" si="224"/>
        <v>40907</v>
      </c>
      <c r="D2809" s="37" t="s">
        <v>981</v>
      </c>
      <c r="E2809" s="191">
        <v>40907</v>
      </c>
      <c r="F2809" s="192" t="s">
        <v>1312</v>
      </c>
      <c r="G2809" s="498" t="s">
        <v>1393</v>
      </c>
      <c r="H2809" s="193" t="s">
        <v>733</v>
      </c>
      <c r="I2809" s="256">
        <v>2</v>
      </c>
      <c r="J2809" s="256">
        <v>14753.508185845443</v>
      </c>
      <c r="K2809" s="866">
        <f t="shared" si="225"/>
        <v>29507</v>
      </c>
      <c r="L2809" s="854" t="s">
        <v>165</v>
      </c>
      <c r="M2809" s="854" t="s">
        <v>159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94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>
        <f t="shared" si="226"/>
        <v>12</v>
      </c>
      <c r="C2810" s="191">
        <f t="shared" si="224"/>
        <v>40907</v>
      </c>
      <c r="D2810" s="37" t="s">
        <v>981</v>
      </c>
      <c r="E2810" s="191">
        <v>40907</v>
      </c>
      <c r="F2810" s="192" t="s">
        <v>1396</v>
      </c>
      <c r="G2810" s="498" t="s">
        <v>1393</v>
      </c>
      <c r="H2810" s="193" t="s">
        <v>733</v>
      </c>
      <c r="I2810" s="256">
        <v>1</v>
      </c>
      <c r="J2810" s="256">
        <v>14753.508185845443</v>
      </c>
      <c r="K2810" s="866">
        <f t="shared" si="225"/>
        <v>14754</v>
      </c>
      <c r="L2810" s="854" t="s">
        <v>165</v>
      </c>
      <c r="M2810" s="854" t="s">
        <v>159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94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>
        <f t="shared" si="226"/>
        <v>12</v>
      </c>
      <c r="C2811" s="191">
        <f t="shared" si="224"/>
        <v>40907</v>
      </c>
      <c r="D2811" s="37" t="s">
        <v>981</v>
      </c>
      <c r="E2811" s="191">
        <v>40907</v>
      </c>
      <c r="F2811" s="192" t="s">
        <v>1387</v>
      </c>
      <c r="G2811" s="498" t="s">
        <v>1393</v>
      </c>
      <c r="H2811" s="193" t="s">
        <v>733</v>
      </c>
      <c r="I2811" s="256">
        <v>1</v>
      </c>
      <c r="J2811" s="256">
        <v>16741.508185845443</v>
      </c>
      <c r="K2811" s="866">
        <f t="shared" si="225"/>
        <v>16742</v>
      </c>
      <c r="L2811" s="854" t="s">
        <v>165</v>
      </c>
      <c r="M2811" s="854" t="s">
        <v>159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94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>
        <f t="shared" si="226"/>
        <v>12</v>
      </c>
      <c r="C2812" s="191">
        <f t="shared" si="224"/>
        <v>40907</v>
      </c>
      <c r="D2812" s="37" t="s">
        <v>981</v>
      </c>
      <c r="E2812" s="191">
        <v>40907</v>
      </c>
      <c r="F2812" s="192" t="s">
        <v>1397</v>
      </c>
      <c r="G2812" s="498" t="s">
        <v>1393</v>
      </c>
      <c r="H2812" s="193" t="s">
        <v>733</v>
      </c>
      <c r="I2812" s="256">
        <v>2</v>
      </c>
      <c r="J2812" s="256">
        <v>14753.508185845443</v>
      </c>
      <c r="K2812" s="866">
        <f t="shared" si="225"/>
        <v>29507</v>
      </c>
      <c r="L2812" s="854" t="s">
        <v>165</v>
      </c>
      <c r="M2812" s="854" t="s">
        <v>159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94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>
        <f t="shared" si="226"/>
        <v>12</v>
      </c>
      <c r="C2813" s="191">
        <f t="shared" si="224"/>
        <v>40907</v>
      </c>
      <c r="D2813" s="37" t="s">
        <v>981</v>
      </c>
      <c r="E2813" s="191">
        <v>40907</v>
      </c>
      <c r="F2813" s="192" t="s">
        <v>744</v>
      </c>
      <c r="G2813" s="498" t="s">
        <v>1393</v>
      </c>
      <c r="H2813" s="193" t="s">
        <v>733</v>
      </c>
      <c r="I2813" s="256">
        <v>1</v>
      </c>
      <c r="J2813" s="256">
        <v>14753.508185845443</v>
      </c>
      <c r="K2813" s="866">
        <f t="shared" si="225"/>
        <v>14754</v>
      </c>
      <c r="L2813" s="854" t="s">
        <v>165</v>
      </c>
      <c r="M2813" s="854" t="s">
        <v>159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94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>
        <f t="shared" si="226"/>
        <v>12</v>
      </c>
      <c r="C2814" s="191">
        <f t="shared" ref="C2814:C2825" si="227">E2814</f>
        <v>40907</v>
      </c>
      <c r="D2814" s="37" t="s">
        <v>981</v>
      </c>
      <c r="E2814" s="191">
        <v>40907</v>
      </c>
      <c r="F2814" s="192" t="s">
        <v>1398</v>
      </c>
      <c r="G2814" s="498" t="s">
        <v>1393</v>
      </c>
      <c r="H2814" s="193" t="s">
        <v>733</v>
      </c>
      <c r="I2814" s="256">
        <v>1</v>
      </c>
      <c r="J2814" s="256">
        <v>16741.508185845443</v>
      </c>
      <c r="K2814" s="866">
        <f t="shared" ref="K2814:K2825" si="228">ROUND(I2814*J2814,0)</f>
        <v>16742</v>
      </c>
      <c r="L2814" s="854" t="s">
        <v>165</v>
      </c>
      <c r="M2814" s="854" t="s">
        <v>159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94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>
        <f t="shared" si="226"/>
        <v>12</v>
      </c>
      <c r="C2815" s="191">
        <f t="shared" si="227"/>
        <v>40907</v>
      </c>
      <c r="D2815" s="37" t="s">
        <v>981</v>
      </c>
      <c r="E2815" s="191">
        <v>40907</v>
      </c>
      <c r="F2815" s="192" t="s">
        <v>1399</v>
      </c>
      <c r="G2815" s="498" t="s">
        <v>1393</v>
      </c>
      <c r="H2815" s="193" t="s">
        <v>733</v>
      </c>
      <c r="I2815" s="256">
        <v>1</v>
      </c>
      <c r="J2815" s="256">
        <v>14753.508185845443</v>
      </c>
      <c r="K2815" s="866">
        <f t="shared" si="228"/>
        <v>14754</v>
      </c>
      <c r="L2815" s="854" t="s">
        <v>165</v>
      </c>
      <c r="M2815" s="854" t="s">
        <v>159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94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>
        <f t="shared" si="226"/>
        <v>12</v>
      </c>
      <c r="C2816" s="191">
        <f t="shared" si="227"/>
        <v>40907</v>
      </c>
      <c r="D2816" s="37" t="s">
        <v>981</v>
      </c>
      <c r="E2816" s="191">
        <v>40907</v>
      </c>
      <c r="F2816" s="192" t="s">
        <v>1400</v>
      </c>
      <c r="G2816" s="498" t="s">
        <v>1393</v>
      </c>
      <c r="H2816" s="193" t="s">
        <v>733</v>
      </c>
      <c r="I2816" s="256">
        <v>1</v>
      </c>
      <c r="J2816" s="256">
        <v>17737.508185845447</v>
      </c>
      <c r="K2816" s="866">
        <f t="shared" si="228"/>
        <v>17738</v>
      </c>
      <c r="L2816" s="854" t="s">
        <v>165</v>
      </c>
      <c r="M2816" s="854" t="s">
        <v>159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94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>
        <f t="shared" si="226"/>
        <v>12</v>
      </c>
      <c r="C2817" s="191">
        <f t="shared" si="227"/>
        <v>40907</v>
      </c>
      <c r="D2817" s="37" t="s">
        <v>981</v>
      </c>
      <c r="E2817" s="191">
        <v>40907</v>
      </c>
      <c r="F2817" s="192" t="s">
        <v>1360</v>
      </c>
      <c r="G2817" s="498" t="s">
        <v>1393</v>
      </c>
      <c r="H2817" s="193" t="s">
        <v>733</v>
      </c>
      <c r="I2817" s="256">
        <v>11</v>
      </c>
      <c r="J2817" s="256">
        <v>14753.508185845443</v>
      </c>
      <c r="K2817" s="866">
        <f t="shared" si="228"/>
        <v>162289</v>
      </c>
      <c r="L2817" s="854" t="s">
        <v>165</v>
      </c>
      <c r="M2817" s="854" t="s">
        <v>159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94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>
        <f t="shared" si="226"/>
        <v>12</v>
      </c>
      <c r="C2818" s="191">
        <f t="shared" si="227"/>
        <v>40907</v>
      </c>
      <c r="D2818" s="37" t="s">
        <v>981</v>
      </c>
      <c r="E2818" s="191">
        <v>40907</v>
      </c>
      <c r="F2818" s="192" t="s">
        <v>1361</v>
      </c>
      <c r="G2818" s="498" t="s">
        <v>1393</v>
      </c>
      <c r="H2818" s="193" t="s">
        <v>733</v>
      </c>
      <c r="I2818" s="256">
        <v>260</v>
      </c>
      <c r="J2818" s="256">
        <v>17929.508185845447</v>
      </c>
      <c r="K2818" s="866">
        <f t="shared" si="228"/>
        <v>4661672</v>
      </c>
      <c r="L2818" s="854" t="s">
        <v>165</v>
      </c>
      <c r="M2818" s="854" t="s">
        <v>159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94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>
        <f t="shared" si="226"/>
        <v>12</v>
      </c>
      <c r="C2819" s="191">
        <f t="shared" si="227"/>
        <v>40907</v>
      </c>
      <c r="D2819" s="37" t="s">
        <v>982</v>
      </c>
      <c r="E2819" s="191">
        <v>40907</v>
      </c>
      <c r="F2819" s="192" t="s">
        <v>1329</v>
      </c>
      <c r="G2819" s="498" t="s">
        <v>1401</v>
      </c>
      <c r="H2819" s="193" t="s">
        <v>735</v>
      </c>
      <c r="I2819" s="256">
        <v>50</v>
      </c>
      <c r="J2819" s="256">
        <v>16741.508185845443</v>
      </c>
      <c r="K2819" s="866">
        <f t="shared" si="228"/>
        <v>837075</v>
      </c>
      <c r="L2819" s="854" t="s">
        <v>165</v>
      </c>
      <c r="M2819" s="854" t="s">
        <v>159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94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>
        <f t="shared" si="226"/>
        <v>12</v>
      </c>
      <c r="C2820" s="191">
        <f t="shared" si="227"/>
        <v>40907</v>
      </c>
      <c r="D2820" s="37" t="s">
        <v>982</v>
      </c>
      <c r="E2820" s="191">
        <v>40907</v>
      </c>
      <c r="F2820" s="192" t="s">
        <v>1331</v>
      </c>
      <c r="G2820" s="498" t="s">
        <v>1401</v>
      </c>
      <c r="H2820" s="193" t="s">
        <v>735</v>
      </c>
      <c r="I2820" s="256">
        <v>100</v>
      </c>
      <c r="J2820" s="256">
        <v>17929.508185845443</v>
      </c>
      <c r="K2820" s="866">
        <f t="shared" si="228"/>
        <v>1792951</v>
      </c>
      <c r="L2820" s="854" t="s">
        <v>165</v>
      </c>
      <c r="M2820" s="854" t="s">
        <v>159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94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>
        <f t="shared" si="226"/>
        <v>12</v>
      </c>
      <c r="C2821" s="191">
        <f t="shared" si="227"/>
        <v>40907</v>
      </c>
      <c r="D2821" s="37" t="s">
        <v>982</v>
      </c>
      <c r="E2821" s="191">
        <v>40907</v>
      </c>
      <c r="F2821" s="192" t="s">
        <v>1332</v>
      </c>
      <c r="G2821" s="498" t="s">
        <v>1401</v>
      </c>
      <c r="H2821" s="193" t="s">
        <v>735</v>
      </c>
      <c r="I2821" s="256">
        <v>50</v>
      </c>
      <c r="J2821" s="256">
        <v>17737.508185845443</v>
      </c>
      <c r="K2821" s="866">
        <f t="shared" si="228"/>
        <v>886875</v>
      </c>
      <c r="L2821" s="854" t="s">
        <v>165</v>
      </c>
      <c r="M2821" s="854" t="s">
        <v>159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94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>
        <f t="shared" si="226"/>
        <v>12</v>
      </c>
      <c r="C2822" s="191">
        <f t="shared" si="227"/>
        <v>40907</v>
      </c>
      <c r="D2822" s="37" t="s">
        <v>982</v>
      </c>
      <c r="E2822" s="191">
        <v>40907</v>
      </c>
      <c r="F2822" s="192" t="s">
        <v>1333</v>
      </c>
      <c r="G2822" s="498" t="s">
        <v>1401</v>
      </c>
      <c r="H2822" s="193" t="s">
        <v>735</v>
      </c>
      <c r="I2822" s="256">
        <v>190</v>
      </c>
      <c r="J2822" s="256">
        <v>17929.508185845443</v>
      </c>
      <c r="K2822" s="866">
        <f t="shared" si="228"/>
        <v>3406607</v>
      </c>
      <c r="L2822" s="854" t="s">
        <v>165</v>
      </c>
      <c r="M2822" s="854" t="s">
        <v>159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94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>
        <f t="shared" si="226"/>
        <v>12</v>
      </c>
      <c r="C2823" s="191">
        <f t="shared" si="227"/>
        <v>40907</v>
      </c>
      <c r="D2823" s="37" t="s">
        <v>982</v>
      </c>
      <c r="E2823" s="191">
        <v>40907</v>
      </c>
      <c r="F2823" s="192" t="s">
        <v>1334</v>
      </c>
      <c r="G2823" s="498" t="s">
        <v>1401</v>
      </c>
      <c r="H2823" s="193" t="s">
        <v>735</v>
      </c>
      <c r="I2823" s="256">
        <v>130</v>
      </c>
      <c r="J2823" s="256">
        <v>17929.508185845447</v>
      </c>
      <c r="K2823" s="866">
        <f t="shared" si="228"/>
        <v>2330836</v>
      </c>
      <c r="L2823" s="854" t="s">
        <v>165</v>
      </c>
      <c r="M2823" s="854" t="s">
        <v>159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94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>
        <f t="shared" si="226"/>
        <v>12</v>
      </c>
      <c r="C2824" s="191">
        <f t="shared" si="227"/>
        <v>40907</v>
      </c>
      <c r="D2824" s="37" t="s">
        <v>982</v>
      </c>
      <c r="E2824" s="191">
        <v>40907</v>
      </c>
      <c r="F2824" s="192" t="s">
        <v>1335</v>
      </c>
      <c r="G2824" s="498" t="s">
        <v>1401</v>
      </c>
      <c r="H2824" s="193" t="s">
        <v>735</v>
      </c>
      <c r="I2824" s="256">
        <v>110</v>
      </c>
      <c r="J2824" s="256">
        <v>17929.508185845443</v>
      </c>
      <c r="K2824" s="866">
        <f t="shared" si="228"/>
        <v>1972246</v>
      </c>
      <c r="L2824" s="854" t="s">
        <v>165</v>
      </c>
      <c r="M2824" s="854" t="s">
        <v>159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94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>
        <f t="shared" si="226"/>
        <v>12</v>
      </c>
      <c r="C2825" s="191">
        <f t="shared" si="227"/>
        <v>40907</v>
      </c>
      <c r="D2825" s="37" t="s">
        <v>982</v>
      </c>
      <c r="E2825" s="191">
        <v>40907</v>
      </c>
      <c r="F2825" s="192" t="s">
        <v>1402</v>
      </c>
      <c r="G2825" s="498" t="s">
        <v>1401</v>
      </c>
      <c r="H2825" s="193" t="s">
        <v>735</v>
      </c>
      <c r="I2825" s="256">
        <v>12</v>
      </c>
      <c r="J2825" s="256">
        <v>17737.508185845443</v>
      </c>
      <c r="K2825" s="866">
        <f t="shared" si="228"/>
        <v>212850</v>
      </c>
      <c r="L2825" s="854" t="s">
        <v>165</v>
      </c>
      <c r="M2825" s="854" t="s">
        <v>159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94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>
        <f t="shared" si="226"/>
        <v>12</v>
      </c>
      <c r="C2826" s="720">
        <v>40908</v>
      </c>
      <c r="D2826" s="720" t="s">
        <v>337</v>
      </c>
      <c r="E2826" s="835">
        <v>40908</v>
      </c>
      <c r="F2826" s="721" t="s">
        <v>947</v>
      </c>
      <c r="G2826" s="722"/>
      <c r="H2826" s="628"/>
      <c r="I2826" s="494"/>
      <c r="J2826" s="494"/>
      <c r="K2826" s="723">
        <v>6329945</v>
      </c>
      <c r="L2826" s="724" t="s">
        <v>75</v>
      </c>
      <c r="M2826" s="724" t="s">
        <v>262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>x</v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94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>
        <f t="shared" si="226"/>
        <v>12</v>
      </c>
      <c r="C2827" s="720">
        <v>40908</v>
      </c>
      <c r="D2827" s="720" t="s">
        <v>337</v>
      </c>
      <c r="E2827" s="835">
        <v>40908</v>
      </c>
      <c r="F2827" s="721" t="s">
        <v>785</v>
      </c>
      <c r="G2827" s="722"/>
      <c r="H2827" s="628"/>
      <c r="I2827" s="494"/>
      <c r="J2827" s="494"/>
      <c r="K2827" s="614">
        <v>6081110</v>
      </c>
      <c r="L2827" s="724" t="s">
        <v>157</v>
      </c>
      <c r="M2827" s="724" t="s">
        <v>262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94"/>
    </row>
    <row r="2828" spans="1:27" ht="15.75" customHeight="1">
      <c r="A2828" s="204" t="str">
        <f>IF(B2828&lt;&gt;"",IF(AND(B2828&gt;=_TM1,B2828&lt;=_TM2,OR(TH!L2828="1111",TH!M2828="1111")),TH!D2828,""),"")</f>
        <v>C23</v>
      </c>
      <c r="B2828" s="36">
        <f t="shared" si="226"/>
        <v>12</v>
      </c>
      <c r="C2828" s="720">
        <v>40908</v>
      </c>
      <c r="D2828" s="720" t="s">
        <v>673</v>
      </c>
      <c r="E2828" s="835">
        <v>40908</v>
      </c>
      <c r="F2828" s="721" t="s">
        <v>1220</v>
      </c>
      <c r="G2828" s="722"/>
      <c r="H2828" s="628" t="s">
        <v>363</v>
      </c>
      <c r="I2828" s="494"/>
      <c r="J2828" s="494"/>
      <c r="K2828" s="723">
        <v>12411055</v>
      </c>
      <c r="L2828" s="724" t="s">
        <v>262</v>
      </c>
      <c r="M2828" s="724" t="s">
        <v>46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94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>
        <f t="shared" si="226"/>
        <v>12</v>
      </c>
      <c r="C2829" s="191">
        <v>40908</v>
      </c>
      <c r="D2829" s="191" t="s">
        <v>704</v>
      </c>
      <c r="E2829" s="191">
        <v>40908</v>
      </c>
      <c r="F2829" s="192" t="s">
        <v>655</v>
      </c>
      <c r="G2829" s="498" t="s">
        <v>1347</v>
      </c>
      <c r="H2829" s="193" t="s">
        <v>647</v>
      </c>
      <c r="I2829" s="256">
        <v>1700</v>
      </c>
      <c r="J2829" s="256">
        <v>13455</v>
      </c>
      <c r="K2829" s="614">
        <v>22873500</v>
      </c>
      <c r="L2829" s="194" t="s">
        <v>151</v>
      </c>
      <c r="M2829" s="194" t="s">
        <v>8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94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>
        <f t="shared" si="226"/>
        <v>12</v>
      </c>
      <c r="C2830" s="191">
        <v>40908</v>
      </c>
      <c r="D2830" s="191" t="s">
        <v>704</v>
      </c>
      <c r="E2830" s="191">
        <v>40908</v>
      </c>
      <c r="F2830" s="192" t="s">
        <v>656</v>
      </c>
      <c r="G2830" s="498" t="s">
        <v>1347</v>
      </c>
      <c r="H2830" s="193" t="s">
        <v>647</v>
      </c>
      <c r="I2830" s="256">
        <v>2500</v>
      </c>
      <c r="J2830" s="256">
        <v>16631</v>
      </c>
      <c r="K2830" s="614">
        <v>41577500</v>
      </c>
      <c r="L2830" s="194" t="s">
        <v>151</v>
      </c>
      <c r="M2830" s="194" t="s">
        <v>8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94"/>
    </row>
    <row r="2831" spans="1:27" ht="15.75" customHeight="1">
      <c r="A2831" s="204" t="str">
        <f>IF(B2831&lt;&gt;"",IF(AND(B2831&gt;=_TM1,B2831&lt;=_TM2,OR(TH!L2831="1111",TH!M2831="1111")),TH!D2831,""),"")</f>
        <v/>
      </c>
      <c r="B2831" s="36">
        <f t="shared" si="226"/>
        <v>12</v>
      </c>
      <c r="C2831" s="191">
        <v>40908</v>
      </c>
      <c r="D2831" s="191" t="s">
        <v>704</v>
      </c>
      <c r="E2831" s="191">
        <v>40908</v>
      </c>
      <c r="F2831" s="192" t="s">
        <v>1286</v>
      </c>
      <c r="G2831" s="498" t="s">
        <v>1347</v>
      </c>
      <c r="H2831" s="193" t="s">
        <v>647</v>
      </c>
      <c r="I2831" s="256"/>
      <c r="J2831" s="256"/>
      <c r="K2831" s="38">
        <v>6445100</v>
      </c>
      <c r="L2831" s="194" t="s">
        <v>9</v>
      </c>
      <c r="M2831" s="194" t="s">
        <v>8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894"/>
    </row>
    <row r="2832" spans="1:27" ht="15.75" customHeight="1">
      <c r="A2832" s="204" t="str">
        <f>IF(B2832&lt;&gt;"",IF(AND(B2832&gt;=_TM1,B2832&lt;=_TM2,OR(TH!L2832="1111",TH!M2832="1111")),TH!D2832,""),"")</f>
        <v/>
      </c>
      <c r="B2832" s="36">
        <f t="shared" ref="B2832:B2837" si="229">IF(C2832&lt;&gt;"",MONTH(C2832),"")</f>
        <v>12</v>
      </c>
      <c r="C2832" s="191">
        <v>40908</v>
      </c>
      <c r="D2832" s="37" t="s">
        <v>337</v>
      </c>
      <c r="E2832" s="191">
        <v>40908</v>
      </c>
      <c r="F2832" s="898" t="s">
        <v>1435</v>
      </c>
      <c r="G2832" s="40"/>
      <c r="H2832" s="44"/>
      <c r="I2832" s="256"/>
      <c r="J2832" s="256"/>
      <c r="K2832" s="38">
        <v>22244468</v>
      </c>
      <c r="L2832" s="39" t="s">
        <v>81</v>
      </c>
      <c r="M2832" s="39" t="s">
        <v>56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894"/>
    </row>
    <row r="2833" spans="1:27" ht="15.75" customHeight="1">
      <c r="A2833" s="204" t="str">
        <f>IF(B2833&lt;&gt;"",IF(AND(B2833&gt;=_TM1,B2833&lt;=_TM2,OR(TH!L2833="1111",TH!M2833="1111")),TH!D2833,""),"")</f>
        <v/>
      </c>
      <c r="B2833" s="36" t="str">
        <f t="shared" si="229"/>
        <v/>
      </c>
      <c r="C2833" s="37"/>
      <c r="D2833" s="37"/>
      <c r="E2833" s="37"/>
      <c r="F2833" s="40"/>
      <c r="G2833" s="40"/>
      <c r="H2833" s="44"/>
      <c r="I2833" s="256"/>
      <c r="J2833" s="256"/>
      <c r="K2833" s="38"/>
      <c r="L2833" s="39"/>
      <c r="M2833" s="39"/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894"/>
    </row>
    <row r="2834" spans="1:27" ht="15.75" customHeight="1">
      <c r="A2834" s="204" t="str">
        <f>IF(B2834&lt;&gt;"",IF(AND(B2834&gt;=_TM1,B2834&lt;=_TM2,OR(TH!L2834="1111",TH!M2834="1111")),TH!D2834,""),"")</f>
        <v/>
      </c>
      <c r="B2834" s="36" t="str">
        <f t="shared" si="229"/>
        <v/>
      </c>
      <c r="C2834" s="37"/>
      <c r="D2834" s="37"/>
      <c r="E2834" s="37"/>
      <c r="F2834" s="40"/>
      <c r="G2834" s="40"/>
      <c r="H2834" s="44"/>
      <c r="I2834" s="256"/>
      <c r="J2834" s="256"/>
      <c r="K2834" s="38"/>
      <c r="L2834" s="39"/>
      <c r="M2834" s="39"/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894"/>
    </row>
    <row r="2835" spans="1:27" ht="15.75" customHeight="1">
      <c r="A2835" s="204" t="str">
        <f>IF(B2835&lt;&gt;"",IF(AND(B2835&gt;=_TM1,B2835&lt;=_TM2,OR(TH!L2835="1111",TH!M2835="1111")),TH!D2835,""),"")</f>
        <v/>
      </c>
      <c r="B2835" s="36" t="str">
        <f t="shared" si="229"/>
        <v/>
      </c>
      <c r="C2835" s="37"/>
      <c r="D2835" s="37"/>
      <c r="E2835" s="37"/>
      <c r="F2835" s="40"/>
      <c r="G2835" s="40"/>
      <c r="H2835" s="44"/>
      <c r="I2835" s="256"/>
      <c r="J2835" s="256"/>
      <c r="K2835" s="38"/>
      <c r="L2835" s="39"/>
      <c r="M2835" s="39"/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894"/>
    </row>
    <row r="2836" spans="1:27" ht="15.75" customHeight="1">
      <c r="A2836" s="204" t="str">
        <f>IF(B2836&lt;&gt;"",IF(AND(B2836&gt;=_TM1,B2836&lt;=_TM2,OR(TH!L2836="1111",TH!M2836="1111")),TH!D2836,""),"")</f>
        <v/>
      </c>
      <c r="B2836" s="36" t="str">
        <f t="shared" si="229"/>
        <v/>
      </c>
      <c r="C2836" s="37"/>
      <c r="D2836" s="37"/>
      <c r="E2836" s="37"/>
      <c r="F2836" s="40"/>
      <c r="G2836" s="40"/>
      <c r="H2836" s="44"/>
      <c r="I2836" s="256"/>
      <c r="J2836" s="256"/>
      <c r="K2836" s="38"/>
      <c r="L2836" s="39"/>
      <c r="M2836" s="39"/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894"/>
    </row>
    <row r="2837" spans="1:27" ht="15.75" customHeight="1">
      <c r="A2837" s="204" t="str">
        <f>IF(B2837&lt;&gt;"",IF(AND(B2837&gt;=_TM1,B2837&lt;=_TM2,OR(TH!L2837="1111",TH!M2837="1111")),TH!D2837,""),"")</f>
        <v/>
      </c>
      <c r="B2837" s="36" t="str">
        <f t="shared" si="229"/>
        <v/>
      </c>
      <c r="C2837" s="37"/>
      <c r="D2837" s="37"/>
      <c r="E2837" s="37"/>
      <c r="F2837" s="40"/>
      <c r="G2837" s="40"/>
      <c r="H2837" s="44"/>
      <c r="I2837" s="256"/>
      <c r="J2837" s="256"/>
      <c r="K2837" s="38"/>
      <c r="L2837" s="39"/>
      <c r="M2837" s="39"/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894"/>
    </row>
    <row r="2839" spans="1:27">
      <c r="J2839" s="857"/>
    </row>
    <row r="2846" spans="1:27">
      <c r="H2846" s="856"/>
    </row>
    <row r="2847" spans="1:27">
      <c r="K2847" s="493">
        <f>SUBTOTAL(9,K10:K2837)</f>
        <v>13712852413</v>
      </c>
    </row>
  </sheetData>
  <autoFilter ref="A9:AD2837"/>
  <sortState ref="A24:AD2823">
    <sortCondition ref="C24:C2823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38" customWidth="1"/>
    <col min="2" max="2" width="9.28515625" style="638" customWidth="1"/>
    <col min="3" max="3" width="10" style="638" customWidth="1"/>
    <col min="4" max="4" width="41.42578125" style="638" customWidth="1"/>
    <col min="5" max="5" width="6" style="638" customWidth="1"/>
    <col min="6" max="6" width="7.85546875" style="638" customWidth="1"/>
    <col min="7" max="7" width="8.5703125" style="638" customWidth="1"/>
    <col min="8" max="8" width="13.85546875" style="638" customWidth="1"/>
    <col min="9" max="9" width="14.140625" style="638" customWidth="1"/>
    <col min="10" max="11" width="9.140625" style="638"/>
    <col min="12" max="12" width="3.5703125" style="638" customWidth="1"/>
    <col min="13" max="256" width="9.140625" style="638"/>
    <col min="257" max="257" width="13" style="638" customWidth="1"/>
    <col min="258" max="258" width="9.140625" style="638"/>
    <col min="259" max="259" width="13" style="638" customWidth="1"/>
    <col min="260" max="260" width="29.7109375" style="638" customWidth="1"/>
    <col min="261" max="261" width="7.7109375" style="638" customWidth="1"/>
    <col min="262" max="262" width="6" style="638" customWidth="1"/>
    <col min="263" max="263" width="11.5703125" style="638" customWidth="1"/>
    <col min="264" max="264" width="13.42578125" style="638" customWidth="1"/>
    <col min="265" max="265" width="13.85546875" style="638" customWidth="1"/>
    <col min="266" max="512" width="9.140625" style="638"/>
    <col min="513" max="513" width="13" style="638" customWidth="1"/>
    <col min="514" max="514" width="9.140625" style="638"/>
    <col min="515" max="515" width="13" style="638" customWidth="1"/>
    <col min="516" max="516" width="29.7109375" style="638" customWidth="1"/>
    <col min="517" max="517" width="7.7109375" style="638" customWidth="1"/>
    <col min="518" max="518" width="6" style="638" customWidth="1"/>
    <col min="519" max="519" width="11.5703125" style="638" customWidth="1"/>
    <col min="520" max="520" width="13.42578125" style="638" customWidth="1"/>
    <col min="521" max="521" width="13.85546875" style="638" customWidth="1"/>
    <col min="522" max="768" width="9.140625" style="638"/>
    <col min="769" max="769" width="13" style="638" customWidth="1"/>
    <col min="770" max="770" width="9.140625" style="638"/>
    <col min="771" max="771" width="13" style="638" customWidth="1"/>
    <col min="772" max="772" width="29.7109375" style="638" customWidth="1"/>
    <col min="773" max="773" width="7.7109375" style="638" customWidth="1"/>
    <col min="774" max="774" width="6" style="638" customWidth="1"/>
    <col min="775" max="775" width="11.5703125" style="638" customWidth="1"/>
    <col min="776" max="776" width="13.42578125" style="638" customWidth="1"/>
    <col min="777" max="777" width="13.85546875" style="638" customWidth="1"/>
    <col min="778" max="1024" width="9.140625" style="638"/>
    <col min="1025" max="1025" width="13" style="638" customWidth="1"/>
    <col min="1026" max="1026" width="9.140625" style="638"/>
    <col min="1027" max="1027" width="13" style="638" customWidth="1"/>
    <col min="1028" max="1028" width="29.7109375" style="638" customWidth="1"/>
    <col min="1029" max="1029" width="7.7109375" style="638" customWidth="1"/>
    <col min="1030" max="1030" width="6" style="638" customWidth="1"/>
    <col min="1031" max="1031" width="11.5703125" style="638" customWidth="1"/>
    <col min="1032" max="1032" width="13.42578125" style="638" customWidth="1"/>
    <col min="1033" max="1033" width="13.85546875" style="638" customWidth="1"/>
    <col min="1034" max="1280" width="9.140625" style="638"/>
    <col min="1281" max="1281" width="13" style="638" customWidth="1"/>
    <col min="1282" max="1282" width="9.140625" style="638"/>
    <col min="1283" max="1283" width="13" style="638" customWidth="1"/>
    <col min="1284" max="1284" width="29.7109375" style="638" customWidth="1"/>
    <col min="1285" max="1285" width="7.7109375" style="638" customWidth="1"/>
    <col min="1286" max="1286" width="6" style="638" customWidth="1"/>
    <col min="1287" max="1287" width="11.5703125" style="638" customWidth="1"/>
    <col min="1288" max="1288" width="13.42578125" style="638" customWidth="1"/>
    <col min="1289" max="1289" width="13.85546875" style="638" customWidth="1"/>
    <col min="1290" max="1536" width="9.140625" style="638"/>
    <col min="1537" max="1537" width="13" style="638" customWidth="1"/>
    <col min="1538" max="1538" width="9.140625" style="638"/>
    <col min="1539" max="1539" width="13" style="638" customWidth="1"/>
    <col min="1540" max="1540" width="29.7109375" style="638" customWidth="1"/>
    <col min="1541" max="1541" width="7.7109375" style="638" customWidth="1"/>
    <col min="1542" max="1542" width="6" style="638" customWidth="1"/>
    <col min="1543" max="1543" width="11.5703125" style="638" customWidth="1"/>
    <col min="1544" max="1544" width="13.42578125" style="638" customWidth="1"/>
    <col min="1545" max="1545" width="13.85546875" style="638" customWidth="1"/>
    <col min="1546" max="1792" width="9.140625" style="638"/>
    <col min="1793" max="1793" width="13" style="638" customWidth="1"/>
    <col min="1794" max="1794" width="9.140625" style="638"/>
    <col min="1795" max="1795" width="13" style="638" customWidth="1"/>
    <col min="1796" max="1796" width="29.7109375" style="638" customWidth="1"/>
    <col min="1797" max="1797" width="7.7109375" style="638" customWidth="1"/>
    <col min="1798" max="1798" width="6" style="638" customWidth="1"/>
    <col min="1799" max="1799" width="11.5703125" style="638" customWidth="1"/>
    <col min="1800" max="1800" width="13.42578125" style="638" customWidth="1"/>
    <col min="1801" max="1801" width="13.85546875" style="638" customWidth="1"/>
    <col min="1802" max="2048" width="9.140625" style="638"/>
    <col min="2049" max="2049" width="13" style="638" customWidth="1"/>
    <col min="2050" max="2050" width="9.140625" style="638"/>
    <col min="2051" max="2051" width="13" style="638" customWidth="1"/>
    <col min="2052" max="2052" width="29.7109375" style="638" customWidth="1"/>
    <col min="2053" max="2053" width="7.7109375" style="638" customWidth="1"/>
    <col min="2054" max="2054" width="6" style="638" customWidth="1"/>
    <col min="2055" max="2055" width="11.5703125" style="638" customWidth="1"/>
    <col min="2056" max="2056" width="13.42578125" style="638" customWidth="1"/>
    <col min="2057" max="2057" width="13.85546875" style="638" customWidth="1"/>
    <col min="2058" max="2304" width="9.140625" style="638"/>
    <col min="2305" max="2305" width="13" style="638" customWidth="1"/>
    <col min="2306" max="2306" width="9.140625" style="638"/>
    <col min="2307" max="2307" width="13" style="638" customWidth="1"/>
    <col min="2308" max="2308" width="29.7109375" style="638" customWidth="1"/>
    <col min="2309" max="2309" width="7.7109375" style="638" customWidth="1"/>
    <col min="2310" max="2310" width="6" style="638" customWidth="1"/>
    <col min="2311" max="2311" width="11.5703125" style="638" customWidth="1"/>
    <col min="2312" max="2312" width="13.42578125" style="638" customWidth="1"/>
    <col min="2313" max="2313" width="13.85546875" style="638" customWidth="1"/>
    <col min="2314" max="2560" width="9.140625" style="638"/>
    <col min="2561" max="2561" width="13" style="638" customWidth="1"/>
    <col min="2562" max="2562" width="9.140625" style="638"/>
    <col min="2563" max="2563" width="13" style="638" customWidth="1"/>
    <col min="2564" max="2564" width="29.7109375" style="638" customWidth="1"/>
    <col min="2565" max="2565" width="7.7109375" style="638" customWidth="1"/>
    <col min="2566" max="2566" width="6" style="638" customWidth="1"/>
    <col min="2567" max="2567" width="11.5703125" style="638" customWidth="1"/>
    <col min="2568" max="2568" width="13.42578125" style="638" customWidth="1"/>
    <col min="2569" max="2569" width="13.85546875" style="638" customWidth="1"/>
    <col min="2570" max="2816" width="9.140625" style="638"/>
    <col min="2817" max="2817" width="13" style="638" customWidth="1"/>
    <col min="2818" max="2818" width="9.140625" style="638"/>
    <col min="2819" max="2819" width="13" style="638" customWidth="1"/>
    <col min="2820" max="2820" width="29.7109375" style="638" customWidth="1"/>
    <col min="2821" max="2821" width="7.7109375" style="638" customWidth="1"/>
    <col min="2822" max="2822" width="6" style="638" customWidth="1"/>
    <col min="2823" max="2823" width="11.5703125" style="638" customWidth="1"/>
    <col min="2824" max="2824" width="13.42578125" style="638" customWidth="1"/>
    <col min="2825" max="2825" width="13.85546875" style="638" customWidth="1"/>
    <col min="2826" max="3072" width="9.140625" style="638"/>
    <col min="3073" max="3073" width="13" style="638" customWidth="1"/>
    <col min="3074" max="3074" width="9.140625" style="638"/>
    <col min="3075" max="3075" width="13" style="638" customWidth="1"/>
    <col min="3076" max="3076" width="29.7109375" style="638" customWidth="1"/>
    <col min="3077" max="3077" width="7.7109375" style="638" customWidth="1"/>
    <col min="3078" max="3078" width="6" style="638" customWidth="1"/>
    <col min="3079" max="3079" width="11.5703125" style="638" customWidth="1"/>
    <col min="3080" max="3080" width="13.42578125" style="638" customWidth="1"/>
    <col min="3081" max="3081" width="13.85546875" style="638" customWidth="1"/>
    <col min="3082" max="3328" width="9.140625" style="638"/>
    <col min="3329" max="3329" width="13" style="638" customWidth="1"/>
    <col min="3330" max="3330" width="9.140625" style="638"/>
    <col min="3331" max="3331" width="13" style="638" customWidth="1"/>
    <col min="3332" max="3332" width="29.7109375" style="638" customWidth="1"/>
    <col min="3333" max="3333" width="7.7109375" style="638" customWidth="1"/>
    <col min="3334" max="3334" width="6" style="638" customWidth="1"/>
    <col min="3335" max="3335" width="11.5703125" style="638" customWidth="1"/>
    <col min="3336" max="3336" width="13.42578125" style="638" customWidth="1"/>
    <col min="3337" max="3337" width="13.85546875" style="638" customWidth="1"/>
    <col min="3338" max="3584" width="9.140625" style="638"/>
    <col min="3585" max="3585" width="13" style="638" customWidth="1"/>
    <col min="3586" max="3586" width="9.140625" style="638"/>
    <col min="3587" max="3587" width="13" style="638" customWidth="1"/>
    <col min="3588" max="3588" width="29.7109375" style="638" customWidth="1"/>
    <col min="3589" max="3589" width="7.7109375" style="638" customWidth="1"/>
    <col min="3590" max="3590" width="6" style="638" customWidth="1"/>
    <col min="3591" max="3591" width="11.5703125" style="638" customWidth="1"/>
    <col min="3592" max="3592" width="13.42578125" style="638" customWidth="1"/>
    <col min="3593" max="3593" width="13.85546875" style="638" customWidth="1"/>
    <col min="3594" max="3840" width="9.140625" style="638"/>
    <col min="3841" max="3841" width="13" style="638" customWidth="1"/>
    <col min="3842" max="3842" width="9.140625" style="638"/>
    <col min="3843" max="3843" width="13" style="638" customWidth="1"/>
    <col min="3844" max="3844" width="29.7109375" style="638" customWidth="1"/>
    <col min="3845" max="3845" width="7.7109375" style="638" customWidth="1"/>
    <col min="3846" max="3846" width="6" style="638" customWidth="1"/>
    <col min="3847" max="3847" width="11.5703125" style="638" customWidth="1"/>
    <col min="3848" max="3848" width="13.42578125" style="638" customWidth="1"/>
    <col min="3849" max="3849" width="13.85546875" style="638" customWidth="1"/>
    <col min="3850" max="4096" width="9.140625" style="638"/>
    <col min="4097" max="4097" width="13" style="638" customWidth="1"/>
    <col min="4098" max="4098" width="9.140625" style="638"/>
    <col min="4099" max="4099" width="13" style="638" customWidth="1"/>
    <col min="4100" max="4100" width="29.7109375" style="638" customWidth="1"/>
    <col min="4101" max="4101" width="7.7109375" style="638" customWidth="1"/>
    <col min="4102" max="4102" width="6" style="638" customWidth="1"/>
    <col min="4103" max="4103" width="11.5703125" style="638" customWidth="1"/>
    <col min="4104" max="4104" width="13.42578125" style="638" customWidth="1"/>
    <col min="4105" max="4105" width="13.85546875" style="638" customWidth="1"/>
    <col min="4106" max="4352" width="9.140625" style="638"/>
    <col min="4353" max="4353" width="13" style="638" customWidth="1"/>
    <col min="4354" max="4354" width="9.140625" style="638"/>
    <col min="4355" max="4355" width="13" style="638" customWidth="1"/>
    <col min="4356" max="4356" width="29.7109375" style="638" customWidth="1"/>
    <col min="4357" max="4357" width="7.7109375" style="638" customWidth="1"/>
    <col min="4358" max="4358" width="6" style="638" customWidth="1"/>
    <col min="4359" max="4359" width="11.5703125" style="638" customWidth="1"/>
    <col min="4360" max="4360" width="13.42578125" style="638" customWidth="1"/>
    <col min="4361" max="4361" width="13.85546875" style="638" customWidth="1"/>
    <col min="4362" max="4608" width="9.140625" style="638"/>
    <col min="4609" max="4609" width="13" style="638" customWidth="1"/>
    <col min="4610" max="4610" width="9.140625" style="638"/>
    <col min="4611" max="4611" width="13" style="638" customWidth="1"/>
    <col min="4612" max="4612" width="29.7109375" style="638" customWidth="1"/>
    <col min="4613" max="4613" width="7.7109375" style="638" customWidth="1"/>
    <col min="4614" max="4614" width="6" style="638" customWidth="1"/>
    <col min="4615" max="4615" width="11.5703125" style="638" customWidth="1"/>
    <col min="4616" max="4616" width="13.42578125" style="638" customWidth="1"/>
    <col min="4617" max="4617" width="13.85546875" style="638" customWidth="1"/>
    <col min="4618" max="4864" width="9.140625" style="638"/>
    <col min="4865" max="4865" width="13" style="638" customWidth="1"/>
    <col min="4866" max="4866" width="9.140625" style="638"/>
    <col min="4867" max="4867" width="13" style="638" customWidth="1"/>
    <col min="4868" max="4868" width="29.7109375" style="638" customWidth="1"/>
    <col min="4869" max="4869" width="7.7109375" style="638" customWidth="1"/>
    <col min="4870" max="4870" width="6" style="638" customWidth="1"/>
    <col min="4871" max="4871" width="11.5703125" style="638" customWidth="1"/>
    <col min="4872" max="4872" width="13.42578125" style="638" customWidth="1"/>
    <col min="4873" max="4873" width="13.85546875" style="638" customWidth="1"/>
    <col min="4874" max="5120" width="9.140625" style="638"/>
    <col min="5121" max="5121" width="13" style="638" customWidth="1"/>
    <col min="5122" max="5122" width="9.140625" style="638"/>
    <col min="5123" max="5123" width="13" style="638" customWidth="1"/>
    <col min="5124" max="5124" width="29.7109375" style="638" customWidth="1"/>
    <col min="5125" max="5125" width="7.7109375" style="638" customWidth="1"/>
    <col min="5126" max="5126" width="6" style="638" customWidth="1"/>
    <col min="5127" max="5127" width="11.5703125" style="638" customWidth="1"/>
    <col min="5128" max="5128" width="13.42578125" style="638" customWidth="1"/>
    <col min="5129" max="5129" width="13.85546875" style="638" customWidth="1"/>
    <col min="5130" max="5376" width="9.140625" style="638"/>
    <col min="5377" max="5377" width="13" style="638" customWidth="1"/>
    <col min="5378" max="5378" width="9.140625" style="638"/>
    <col min="5379" max="5379" width="13" style="638" customWidth="1"/>
    <col min="5380" max="5380" width="29.7109375" style="638" customWidth="1"/>
    <col min="5381" max="5381" width="7.7109375" style="638" customWidth="1"/>
    <col min="5382" max="5382" width="6" style="638" customWidth="1"/>
    <col min="5383" max="5383" width="11.5703125" style="638" customWidth="1"/>
    <col min="5384" max="5384" width="13.42578125" style="638" customWidth="1"/>
    <col min="5385" max="5385" width="13.85546875" style="638" customWidth="1"/>
    <col min="5386" max="5632" width="9.140625" style="638"/>
    <col min="5633" max="5633" width="13" style="638" customWidth="1"/>
    <col min="5634" max="5634" width="9.140625" style="638"/>
    <col min="5635" max="5635" width="13" style="638" customWidth="1"/>
    <col min="5636" max="5636" width="29.7109375" style="638" customWidth="1"/>
    <col min="5637" max="5637" width="7.7109375" style="638" customWidth="1"/>
    <col min="5638" max="5638" width="6" style="638" customWidth="1"/>
    <col min="5639" max="5639" width="11.5703125" style="638" customWidth="1"/>
    <col min="5640" max="5640" width="13.42578125" style="638" customWidth="1"/>
    <col min="5641" max="5641" width="13.85546875" style="638" customWidth="1"/>
    <col min="5642" max="5888" width="9.140625" style="638"/>
    <col min="5889" max="5889" width="13" style="638" customWidth="1"/>
    <col min="5890" max="5890" width="9.140625" style="638"/>
    <col min="5891" max="5891" width="13" style="638" customWidth="1"/>
    <col min="5892" max="5892" width="29.7109375" style="638" customWidth="1"/>
    <col min="5893" max="5893" width="7.7109375" style="638" customWidth="1"/>
    <col min="5894" max="5894" width="6" style="638" customWidth="1"/>
    <col min="5895" max="5895" width="11.5703125" style="638" customWidth="1"/>
    <col min="5896" max="5896" width="13.42578125" style="638" customWidth="1"/>
    <col min="5897" max="5897" width="13.85546875" style="638" customWidth="1"/>
    <col min="5898" max="6144" width="9.140625" style="638"/>
    <col min="6145" max="6145" width="13" style="638" customWidth="1"/>
    <col min="6146" max="6146" width="9.140625" style="638"/>
    <col min="6147" max="6147" width="13" style="638" customWidth="1"/>
    <col min="6148" max="6148" width="29.7109375" style="638" customWidth="1"/>
    <col min="6149" max="6149" width="7.7109375" style="638" customWidth="1"/>
    <col min="6150" max="6150" width="6" style="638" customWidth="1"/>
    <col min="6151" max="6151" width="11.5703125" style="638" customWidth="1"/>
    <col min="6152" max="6152" width="13.42578125" style="638" customWidth="1"/>
    <col min="6153" max="6153" width="13.85546875" style="638" customWidth="1"/>
    <col min="6154" max="6400" width="9.140625" style="638"/>
    <col min="6401" max="6401" width="13" style="638" customWidth="1"/>
    <col min="6402" max="6402" width="9.140625" style="638"/>
    <col min="6403" max="6403" width="13" style="638" customWidth="1"/>
    <col min="6404" max="6404" width="29.7109375" style="638" customWidth="1"/>
    <col min="6405" max="6405" width="7.7109375" style="638" customWidth="1"/>
    <col min="6406" max="6406" width="6" style="638" customWidth="1"/>
    <col min="6407" max="6407" width="11.5703125" style="638" customWidth="1"/>
    <col min="6408" max="6408" width="13.42578125" style="638" customWidth="1"/>
    <col min="6409" max="6409" width="13.85546875" style="638" customWidth="1"/>
    <col min="6410" max="6656" width="9.140625" style="638"/>
    <col min="6657" max="6657" width="13" style="638" customWidth="1"/>
    <col min="6658" max="6658" width="9.140625" style="638"/>
    <col min="6659" max="6659" width="13" style="638" customWidth="1"/>
    <col min="6660" max="6660" width="29.7109375" style="638" customWidth="1"/>
    <col min="6661" max="6661" width="7.7109375" style="638" customWidth="1"/>
    <col min="6662" max="6662" width="6" style="638" customWidth="1"/>
    <col min="6663" max="6663" width="11.5703125" style="638" customWidth="1"/>
    <col min="6664" max="6664" width="13.42578125" style="638" customWidth="1"/>
    <col min="6665" max="6665" width="13.85546875" style="638" customWidth="1"/>
    <col min="6666" max="6912" width="9.140625" style="638"/>
    <col min="6913" max="6913" width="13" style="638" customWidth="1"/>
    <col min="6914" max="6914" width="9.140625" style="638"/>
    <col min="6915" max="6915" width="13" style="638" customWidth="1"/>
    <col min="6916" max="6916" width="29.7109375" style="638" customWidth="1"/>
    <col min="6917" max="6917" width="7.7109375" style="638" customWidth="1"/>
    <col min="6918" max="6918" width="6" style="638" customWidth="1"/>
    <col min="6919" max="6919" width="11.5703125" style="638" customWidth="1"/>
    <col min="6920" max="6920" width="13.42578125" style="638" customWidth="1"/>
    <col min="6921" max="6921" width="13.85546875" style="638" customWidth="1"/>
    <col min="6922" max="7168" width="9.140625" style="638"/>
    <col min="7169" max="7169" width="13" style="638" customWidth="1"/>
    <col min="7170" max="7170" width="9.140625" style="638"/>
    <col min="7171" max="7171" width="13" style="638" customWidth="1"/>
    <col min="7172" max="7172" width="29.7109375" style="638" customWidth="1"/>
    <col min="7173" max="7173" width="7.7109375" style="638" customWidth="1"/>
    <col min="7174" max="7174" width="6" style="638" customWidth="1"/>
    <col min="7175" max="7175" width="11.5703125" style="638" customWidth="1"/>
    <col min="7176" max="7176" width="13.42578125" style="638" customWidth="1"/>
    <col min="7177" max="7177" width="13.85546875" style="638" customWidth="1"/>
    <col min="7178" max="7424" width="9.140625" style="638"/>
    <col min="7425" max="7425" width="13" style="638" customWidth="1"/>
    <col min="7426" max="7426" width="9.140625" style="638"/>
    <col min="7427" max="7427" width="13" style="638" customWidth="1"/>
    <col min="7428" max="7428" width="29.7109375" style="638" customWidth="1"/>
    <col min="7429" max="7429" width="7.7109375" style="638" customWidth="1"/>
    <col min="7430" max="7430" width="6" style="638" customWidth="1"/>
    <col min="7431" max="7431" width="11.5703125" style="638" customWidth="1"/>
    <col min="7432" max="7432" width="13.42578125" style="638" customWidth="1"/>
    <col min="7433" max="7433" width="13.85546875" style="638" customWidth="1"/>
    <col min="7434" max="7680" width="9.140625" style="638"/>
    <col min="7681" max="7681" width="13" style="638" customWidth="1"/>
    <col min="7682" max="7682" width="9.140625" style="638"/>
    <col min="7683" max="7683" width="13" style="638" customWidth="1"/>
    <col min="7684" max="7684" width="29.7109375" style="638" customWidth="1"/>
    <col min="7685" max="7685" width="7.7109375" style="638" customWidth="1"/>
    <col min="7686" max="7686" width="6" style="638" customWidth="1"/>
    <col min="7687" max="7687" width="11.5703125" style="638" customWidth="1"/>
    <col min="7688" max="7688" width="13.42578125" style="638" customWidth="1"/>
    <col min="7689" max="7689" width="13.85546875" style="638" customWidth="1"/>
    <col min="7690" max="7936" width="9.140625" style="638"/>
    <col min="7937" max="7937" width="13" style="638" customWidth="1"/>
    <col min="7938" max="7938" width="9.140625" style="638"/>
    <col min="7939" max="7939" width="13" style="638" customWidth="1"/>
    <col min="7940" max="7940" width="29.7109375" style="638" customWidth="1"/>
    <col min="7941" max="7941" width="7.7109375" style="638" customWidth="1"/>
    <col min="7942" max="7942" width="6" style="638" customWidth="1"/>
    <col min="7943" max="7943" width="11.5703125" style="638" customWidth="1"/>
    <col min="7944" max="7944" width="13.42578125" style="638" customWidth="1"/>
    <col min="7945" max="7945" width="13.85546875" style="638" customWidth="1"/>
    <col min="7946" max="8192" width="9.140625" style="638"/>
    <col min="8193" max="8193" width="13" style="638" customWidth="1"/>
    <col min="8194" max="8194" width="9.140625" style="638"/>
    <col min="8195" max="8195" width="13" style="638" customWidth="1"/>
    <col min="8196" max="8196" width="29.7109375" style="638" customWidth="1"/>
    <col min="8197" max="8197" width="7.7109375" style="638" customWidth="1"/>
    <col min="8198" max="8198" width="6" style="638" customWidth="1"/>
    <col min="8199" max="8199" width="11.5703125" style="638" customWidth="1"/>
    <col min="8200" max="8200" width="13.42578125" style="638" customWidth="1"/>
    <col min="8201" max="8201" width="13.85546875" style="638" customWidth="1"/>
    <col min="8202" max="8448" width="9.140625" style="638"/>
    <col min="8449" max="8449" width="13" style="638" customWidth="1"/>
    <col min="8450" max="8450" width="9.140625" style="638"/>
    <col min="8451" max="8451" width="13" style="638" customWidth="1"/>
    <col min="8452" max="8452" width="29.7109375" style="638" customWidth="1"/>
    <col min="8453" max="8453" width="7.7109375" style="638" customWidth="1"/>
    <col min="8454" max="8454" width="6" style="638" customWidth="1"/>
    <col min="8455" max="8455" width="11.5703125" style="638" customWidth="1"/>
    <col min="8456" max="8456" width="13.42578125" style="638" customWidth="1"/>
    <col min="8457" max="8457" width="13.85546875" style="638" customWidth="1"/>
    <col min="8458" max="8704" width="9.140625" style="638"/>
    <col min="8705" max="8705" width="13" style="638" customWidth="1"/>
    <col min="8706" max="8706" width="9.140625" style="638"/>
    <col min="8707" max="8707" width="13" style="638" customWidth="1"/>
    <col min="8708" max="8708" width="29.7109375" style="638" customWidth="1"/>
    <col min="8709" max="8709" width="7.7109375" style="638" customWidth="1"/>
    <col min="8710" max="8710" width="6" style="638" customWidth="1"/>
    <col min="8711" max="8711" width="11.5703125" style="638" customWidth="1"/>
    <col min="8712" max="8712" width="13.42578125" style="638" customWidth="1"/>
    <col min="8713" max="8713" width="13.85546875" style="638" customWidth="1"/>
    <col min="8714" max="8960" width="9.140625" style="638"/>
    <col min="8961" max="8961" width="13" style="638" customWidth="1"/>
    <col min="8962" max="8962" width="9.140625" style="638"/>
    <col min="8963" max="8963" width="13" style="638" customWidth="1"/>
    <col min="8964" max="8964" width="29.7109375" style="638" customWidth="1"/>
    <col min="8965" max="8965" width="7.7109375" style="638" customWidth="1"/>
    <col min="8966" max="8966" width="6" style="638" customWidth="1"/>
    <col min="8967" max="8967" width="11.5703125" style="638" customWidth="1"/>
    <col min="8968" max="8968" width="13.42578125" style="638" customWidth="1"/>
    <col min="8969" max="8969" width="13.85546875" style="638" customWidth="1"/>
    <col min="8970" max="9216" width="9.140625" style="638"/>
    <col min="9217" max="9217" width="13" style="638" customWidth="1"/>
    <col min="9218" max="9218" width="9.140625" style="638"/>
    <col min="9219" max="9219" width="13" style="638" customWidth="1"/>
    <col min="9220" max="9220" width="29.7109375" style="638" customWidth="1"/>
    <col min="9221" max="9221" width="7.7109375" style="638" customWidth="1"/>
    <col min="9222" max="9222" width="6" style="638" customWidth="1"/>
    <col min="9223" max="9223" width="11.5703125" style="638" customWidth="1"/>
    <col min="9224" max="9224" width="13.42578125" style="638" customWidth="1"/>
    <col min="9225" max="9225" width="13.85546875" style="638" customWidth="1"/>
    <col min="9226" max="9472" width="9.140625" style="638"/>
    <col min="9473" max="9473" width="13" style="638" customWidth="1"/>
    <col min="9474" max="9474" width="9.140625" style="638"/>
    <col min="9475" max="9475" width="13" style="638" customWidth="1"/>
    <col min="9476" max="9476" width="29.7109375" style="638" customWidth="1"/>
    <col min="9477" max="9477" width="7.7109375" style="638" customWidth="1"/>
    <col min="9478" max="9478" width="6" style="638" customWidth="1"/>
    <col min="9479" max="9479" width="11.5703125" style="638" customWidth="1"/>
    <col min="9480" max="9480" width="13.42578125" style="638" customWidth="1"/>
    <col min="9481" max="9481" width="13.85546875" style="638" customWidth="1"/>
    <col min="9482" max="9728" width="9.140625" style="638"/>
    <col min="9729" max="9729" width="13" style="638" customWidth="1"/>
    <col min="9730" max="9730" width="9.140625" style="638"/>
    <col min="9731" max="9731" width="13" style="638" customWidth="1"/>
    <col min="9732" max="9732" width="29.7109375" style="638" customWidth="1"/>
    <col min="9733" max="9733" width="7.7109375" style="638" customWidth="1"/>
    <col min="9734" max="9734" width="6" style="638" customWidth="1"/>
    <col min="9735" max="9735" width="11.5703125" style="638" customWidth="1"/>
    <col min="9736" max="9736" width="13.42578125" style="638" customWidth="1"/>
    <col min="9737" max="9737" width="13.85546875" style="638" customWidth="1"/>
    <col min="9738" max="9984" width="9.140625" style="638"/>
    <col min="9985" max="9985" width="13" style="638" customWidth="1"/>
    <col min="9986" max="9986" width="9.140625" style="638"/>
    <col min="9987" max="9987" width="13" style="638" customWidth="1"/>
    <col min="9988" max="9988" width="29.7109375" style="638" customWidth="1"/>
    <col min="9989" max="9989" width="7.7109375" style="638" customWidth="1"/>
    <col min="9990" max="9990" width="6" style="638" customWidth="1"/>
    <col min="9991" max="9991" width="11.5703125" style="638" customWidth="1"/>
    <col min="9992" max="9992" width="13.42578125" style="638" customWidth="1"/>
    <col min="9993" max="9993" width="13.85546875" style="638" customWidth="1"/>
    <col min="9994" max="10240" width="9.140625" style="638"/>
    <col min="10241" max="10241" width="13" style="638" customWidth="1"/>
    <col min="10242" max="10242" width="9.140625" style="638"/>
    <col min="10243" max="10243" width="13" style="638" customWidth="1"/>
    <col min="10244" max="10244" width="29.7109375" style="638" customWidth="1"/>
    <col min="10245" max="10245" width="7.7109375" style="638" customWidth="1"/>
    <col min="10246" max="10246" width="6" style="638" customWidth="1"/>
    <col min="10247" max="10247" width="11.5703125" style="638" customWidth="1"/>
    <col min="10248" max="10248" width="13.42578125" style="638" customWidth="1"/>
    <col min="10249" max="10249" width="13.85546875" style="638" customWidth="1"/>
    <col min="10250" max="10496" width="9.140625" style="638"/>
    <col min="10497" max="10497" width="13" style="638" customWidth="1"/>
    <col min="10498" max="10498" width="9.140625" style="638"/>
    <col min="10499" max="10499" width="13" style="638" customWidth="1"/>
    <col min="10500" max="10500" width="29.7109375" style="638" customWidth="1"/>
    <col min="10501" max="10501" width="7.7109375" style="638" customWidth="1"/>
    <col min="10502" max="10502" width="6" style="638" customWidth="1"/>
    <col min="10503" max="10503" width="11.5703125" style="638" customWidth="1"/>
    <col min="10504" max="10504" width="13.42578125" style="638" customWidth="1"/>
    <col min="10505" max="10505" width="13.85546875" style="638" customWidth="1"/>
    <col min="10506" max="10752" width="9.140625" style="638"/>
    <col min="10753" max="10753" width="13" style="638" customWidth="1"/>
    <col min="10754" max="10754" width="9.140625" style="638"/>
    <col min="10755" max="10755" width="13" style="638" customWidth="1"/>
    <col min="10756" max="10756" width="29.7109375" style="638" customWidth="1"/>
    <col min="10757" max="10757" width="7.7109375" style="638" customWidth="1"/>
    <col min="10758" max="10758" width="6" style="638" customWidth="1"/>
    <col min="10759" max="10759" width="11.5703125" style="638" customWidth="1"/>
    <col min="10760" max="10760" width="13.42578125" style="638" customWidth="1"/>
    <col min="10761" max="10761" width="13.85546875" style="638" customWidth="1"/>
    <col min="10762" max="11008" width="9.140625" style="638"/>
    <col min="11009" max="11009" width="13" style="638" customWidth="1"/>
    <col min="11010" max="11010" width="9.140625" style="638"/>
    <col min="11011" max="11011" width="13" style="638" customWidth="1"/>
    <col min="11012" max="11012" width="29.7109375" style="638" customWidth="1"/>
    <col min="11013" max="11013" width="7.7109375" style="638" customWidth="1"/>
    <col min="11014" max="11014" width="6" style="638" customWidth="1"/>
    <col min="11015" max="11015" width="11.5703125" style="638" customWidth="1"/>
    <col min="11016" max="11016" width="13.42578125" style="638" customWidth="1"/>
    <col min="11017" max="11017" width="13.85546875" style="638" customWidth="1"/>
    <col min="11018" max="11264" width="9.140625" style="638"/>
    <col min="11265" max="11265" width="13" style="638" customWidth="1"/>
    <col min="11266" max="11266" width="9.140625" style="638"/>
    <col min="11267" max="11267" width="13" style="638" customWidth="1"/>
    <col min="11268" max="11268" width="29.7109375" style="638" customWidth="1"/>
    <col min="11269" max="11269" width="7.7109375" style="638" customWidth="1"/>
    <col min="11270" max="11270" width="6" style="638" customWidth="1"/>
    <col min="11271" max="11271" width="11.5703125" style="638" customWidth="1"/>
    <col min="11272" max="11272" width="13.42578125" style="638" customWidth="1"/>
    <col min="11273" max="11273" width="13.85546875" style="638" customWidth="1"/>
    <col min="11274" max="11520" width="9.140625" style="638"/>
    <col min="11521" max="11521" width="13" style="638" customWidth="1"/>
    <col min="11522" max="11522" width="9.140625" style="638"/>
    <col min="11523" max="11523" width="13" style="638" customWidth="1"/>
    <col min="11524" max="11524" width="29.7109375" style="638" customWidth="1"/>
    <col min="11525" max="11525" width="7.7109375" style="638" customWidth="1"/>
    <col min="11526" max="11526" width="6" style="638" customWidth="1"/>
    <col min="11527" max="11527" width="11.5703125" style="638" customWidth="1"/>
    <col min="11528" max="11528" width="13.42578125" style="638" customWidth="1"/>
    <col min="11529" max="11529" width="13.85546875" style="638" customWidth="1"/>
    <col min="11530" max="11776" width="9.140625" style="638"/>
    <col min="11777" max="11777" width="13" style="638" customWidth="1"/>
    <col min="11778" max="11778" width="9.140625" style="638"/>
    <col min="11779" max="11779" width="13" style="638" customWidth="1"/>
    <col min="11780" max="11780" width="29.7109375" style="638" customWidth="1"/>
    <col min="11781" max="11781" width="7.7109375" style="638" customWidth="1"/>
    <col min="11782" max="11782" width="6" style="638" customWidth="1"/>
    <col min="11783" max="11783" width="11.5703125" style="638" customWidth="1"/>
    <col min="11784" max="11784" width="13.42578125" style="638" customWidth="1"/>
    <col min="11785" max="11785" width="13.85546875" style="638" customWidth="1"/>
    <col min="11786" max="12032" width="9.140625" style="638"/>
    <col min="12033" max="12033" width="13" style="638" customWidth="1"/>
    <col min="12034" max="12034" width="9.140625" style="638"/>
    <col min="12035" max="12035" width="13" style="638" customWidth="1"/>
    <col min="12036" max="12036" width="29.7109375" style="638" customWidth="1"/>
    <col min="12037" max="12037" width="7.7109375" style="638" customWidth="1"/>
    <col min="12038" max="12038" width="6" style="638" customWidth="1"/>
    <col min="12039" max="12039" width="11.5703125" style="638" customWidth="1"/>
    <col min="12040" max="12040" width="13.42578125" style="638" customWidth="1"/>
    <col min="12041" max="12041" width="13.85546875" style="638" customWidth="1"/>
    <col min="12042" max="12288" width="9.140625" style="638"/>
    <col min="12289" max="12289" width="13" style="638" customWidth="1"/>
    <col min="12290" max="12290" width="9.140625" style="638"/>
    <col min="12291" max="12291" width="13" style="638" customWidth="1"/>
    <col min="12292" max="12292" width="29.7109375" style="638" customWidth="1"/>
    <col min="12293" max="12293" width="7.7109375" style="638" customWidth="1"/>
    <col min="12294" max="12294" width="6" style="638" customWidth="1"/>
    <col min="12295" max="12295" width="11.5703125" style="638" customWidth="1"/>
    <col min="12296" max="12296" width="13.42578125" style="638" customWidth="1"/>
    <col min="12297" max="12297" width="13.85546875" style="638" customWidth="1"/>
    <col min="12298" max="12544" width="9.140625" style="638"/>
    <col min="12545" max="12545" width="13" style="638" customWidth="1"/>
    <col min="12546" max="12546" width="9.140625" style="638"/>
    <col min="12547" max="12547" width="13" style="638" customWidth="1"/>
    <col min="12548" max="12548" width="29.7109375" style="638" customWidth="1"/>
    <col min="12549" max="12549" width="7.7109375" style="638" customWidth="1"/>
    <col min="12550" max="12550" width="6" style="638" customWidth="1"/>
    <col min="12551" max="12551" width="11.5703125" style="638" customWidth="1"/>
    <col min="12552" max="12552" width="13.42578125" style="638" customWidth="1"/>
    <col min="12553" max="12553" width="13.85546875" style="638" customWidth="1"/>
    <col min="12554" max="12800" width="9.140625" style="638"/>
    <col min="12801" max="12801" width="13" style="638" customWidth="1"/>
    <col min="12802" max="12802" width="9.140625" style="638"/>
    <col min="12803" max="12803" width="13" style="638" customWidth="1"/>
    <col min="12804" max="12804" width="29.7109375" style="638" customWidth="1"/>
    <col min="12805" max="12805" width="7.7109375" style="638" customWidth="1"/>
    <col min="12806" max="12806" width="6" style="638" customWidth="1"/>
    <col min="12807" max="12807" width="11.5703125" style="638" customWidth="1"/>
    <col min="12808" max="12808" width="13.42578125" style="638" customWidth="1"/>
    <col min="12809" max="12809" width="13.85546875" style="638" customWidth="1"/>
    <col min="12810" max="13056" width="9.140625" style="638"/>
    <col min="13057" max="13057" width="13" style="638" customWidth="1"/>
    <col min="13058" max="13058" width="9.140625" style="638"/>
    <col min="13059" max="13059" width="13" style="638" customWidth="1"/>
    <col min="13060" max="13060" width="29.7109375" style="638" customWidth="1"/>
    <col min="13061" max="13061" width="7.7109375" style="638" customWidth="1"/>
    <col min="13062" max="13062" width="6" style="638" customWidth="1"/>
    <col min="13063" max="13063" width="11.5703125" style="638" customWidth="1"/>
    <col min="13064" max="13064" width="13.42578125" style="638" customWidth="1"/>
    <col min="13065" max="13065" width="13.85546875" style="638" customWidth="1"/>
    <col min="13066" max="13312" width="9.140625" style="638"/>
    <col min="13313" max="13313" width="13" style="638" customWidth="1"/>
    <col min="13314" max="13314" width="9.140625" style="638"/>
    <col min="13315" max="13315" width="13" style="638" customWidth="1"/>
    <col min="13316" max="13316" width="29.7109375" style="638" customWidth="1"/>
    <col min="13317" max="13317" width="7.7109375" style="638" customWidth="1"/>
    <col min="13318" max="13318" width="6" style="638" customWidth="1"/>
    <col min="13319" max="13319" width="11.5703125" style="638" customWidth="1"/>
    <col min="13320" max="13320" width="13.42578125" style="638" customWidth="1"/>
    <col min="13321" max="13321" width="13.85546875" style="638" customWidth="1"/>
    <col min="13322" max="13568" width="9.140625" style="638"/>
    <col min="13569" max="13569" width="13" style="638" customWidth="1"/>
    <col min="13570" max="13570" width="9.140625" style="638"/>
    <col min="13571" max="13571" width="13" style="638" customWidth="1"/>
    <col min="13572" max="13572" width="29.7109375" style="638" customWidth="1"/>
    <col min="13573" max="13573" width="7.7109375" style="638" customWidth="1"/>
    <col min="13574" max="13574" width="6" style="638" customWidth="1"/>
    <col min="13575" max="13575" width="11.5703125" style="638" customWidth="1"/>
    <col min="13576" max="13576" width="13.42578125" style="638" customWidth="1"/>
    <col min="13577" max="13577" width="13.85546875" style="638" customWidth="1"/>
    <col min="13578" max="13824" width="9.140625" style="638"/>
    <col min="13825" max="13825" width="13" style="638" customWidth="1"/>
    <col min="13826" max="13826" width="9.140625" style="638"/>
    <col min="13827" max="13827" width="13" style="638" customWidth="1"/>
    <col min="13828" max="13828" width="29.7109375" style="638" customWidth="1"/>
    <col min="13829" max="13829" width="7.7109375" style="638" customWidth="1"/>
    <col min="13830" max="13830" width="6" style="638" customWidth="1"/>
    <col min="13831" max="13831" width="11.5703125" style="638" customWidth="1"/>
    <col min="13832" max="13832" width="13.42578125" style="638" customWidth="1"/>
    <col min="13833" max="13833" width="13.85546875" style="638" customWidth="1"/>
    <col min="13834" max="14080" width="9.140625" style="638"/>
    <col min="14081" max="14081" width="13" style="638" customWidth="1"/>
    <col min="14082" max="14082" width="9.140625" style="638"/>
    <col min="14083" max="14083" width="13" style="638" customWidth="1"/>
    <col min="14084" max="14084" width="29.7109375" style="638" customWidth="1"/>
    <col min="14085" max="14085" width="7.7109375" style="638" customWidth="1"/>
    <col min="14086" max="14086" width="6" style="638" customWidth="1"/>
    <col min="14087" max="14087" width="11.5703125" style="638" customWidth="1"/>
    <col min="14088" max="14088" width="13.42578125" style="638" customWidth="1"/>
    <col min="14089" max="14089" width="13.85546875" style="638" customWidth="1"/>
    <col min="14090" max="14336" width="9.140625" style="638"/>
    <col min="14337" max="14337" width="13" style="638" customWidth="1"/>
    <col min="14338" max="14338" width="9.140625" style="638"/>
    <col min="14339" max="14339" width="13" style="638" customWidth="1"/>
    <col min="14340" max="14340" width="29.7109375" style="638" customWidth="1"/>
    <col min="14341" max="14341" width="7.7109375" style="638" customWidth="1"/>
    <col min="14342" max="14342" width="6" style="638" customWidth="1"/>
    <col min="14343" max="14343" width="11.5703125" style="638" customWidth="1"/>
    <col min="14344" max="14344" width="13.42578125" style="638" customWidth="1"/>
    <col min="14345" max="14345" width="13.85546875" style="638" customWidth="1"/>
    <col min="14346" max="14592" width="9.140625" style="638"/>
    <col min="14593" max="14593" width="13" style="638" customWidth="1"/>
    <col min="14594" max="14594" width="9.140625" style="638"/>
    <col min="14595" max="14595" width="13" style="638" customWidth="1"/>
    <col min="14596" max="14596" width="29.7109375" style="638" customWidth="1"/>
    <col min="14597" max="14597" width="7.7109375" style="638" customWidth="1"/>
    <col min="14598" max="14598" width="6" style="638" customWidth="1"/>
    <col min="14599" max="14599" width="11.5703125" style="638" customWidth="1"/>
    <col min="14600" max="14600" width="13.42578125" style="638" customWidth="1"/>
    <col min="14601" max="14601" width="13.85546875" style="638" customWidth="1"/>
    <col min="14602" max="14848" width="9.140625" style="638"/>
    <col min="14849" max="14849" width="13" style="638" customWidth="1"/>
    <col min="14850" max="14850" width="9.140625" style="638"/>
    <col min="14851" max="14851" width="13" style="638" customWidth="1"/>
    <col min="14852" max="14852" width="29.7109375" style="638" customWidth="1"/>
    <col min="14853" max="14853" width="7.7109375" style="638" customWidth="1"/>
    <col min="14854" max="14854" width="6" style="638" customWidth="1"/>
    <col min="14855" max="14855" width="11.5703125" style="638" customWidth="1"/>
    <col min="14856" max="14856" width="13.42578125" style="638" customWidth="1"/>
    <col min="14857" max="14857" width="13.85546875" style="638" customWidth="1"/>
    <col min="14858" max="15104" width="9.140625" style="638"/>
    <col min="15105" max="15105" width="13" style="638" customWidth="1"/>
    <col min="15106" max="15106" width="9.140625" style="638"/>
    <col min="15107" max="15107" width="13" style="638" customWidth="1"/>
    <col min="15108" max="15108" width="29.7109375" style="638" customWidth="1"/>
    <col min="15109" max="15109" width="7.7109375" style="638" customWidth="1"/>
    <col min="15110" max="15110" width="6" style="638" customWidth="1"/>
    <col min="15111" max="15111" width="11.5703125" style="638" customWidth="1"/>
    <col min="15112" max="15112" width="13.42578125" style="638" customWidth="1"/>
    <col min="15113" max="15113" width="13.85546875" style="638" customWidth="1"/>
    <col min="15114" max="15360" width="9.140625" style="638"/>
    <col min="15361" max="15361" width="13" style="638" customWidth="1"/>
    <col min="15362" max="15362" width="9.140625" style="638"/>
    <col min="15363" max="15363" width="13" style="638" customWidth="1"/>
    <col min="15364" max="15364" width="29.7109375" style="638" customWidth="1"/>
    <col min="15365" max="15365" width="7.7109375" style="638" customWidth="1"/>
    <col min="15366" max="15366" width="6" style="638" customWidth="1"/>
    <col min="15367" max="15367" width="11.5703125" style="638" customWidth="1"/>
    <col min="15368" max="15368" width="13.42578125" style="638" customWidth="1"/>
    <col min="15369" max="15369" width="13.85546875" style="638" customWidth="1"/>
    <col min="15370" max="15616" width="9.140625" style="638"/>
    <col min="15617" max="15617" width="13" style="638" customWidth="1"/>
    <col min="15618" max="15618" width="9.140625" style="638"/>
    <col min="15619" max="15619" width="13" style="638" customWidth="1"/>
    <col min="15620" max="15620" width="29.7109375" style="638" customWidth="1"/>
    <col min="15621" max="15621" width="7.7109375" style="638" customWidth="1"/>
    <col min="15622" max="15622" width="6" style="638" customWidth="1"/>
    <col min="15623" max="15623" width="11.5703125" style="638" customWidth="1"/>
    <col min="15624" max="15624" width="13.42578125" style="638" customWidth="1"/>
    <col min="15625" max="15625" width="13.85546875" style="638" customWidth="1"/>
    <col min="15626" max="15872" width="9.140625" style="638"/>
    <col min="15873" max="15873" width="13" style="638" customWidth="1"/>
    <col min="15874" max="15874" width="9.140625" style="638"/>
    <col min="15875" max="15875" width="13" style="638" customWidth="1"/>
    <col min="15876" max="15876" width="29.7109375" style="638" customWidth="1"/>
    <col min="15877" max="15877" width="7.7109375" style="638" customWidth="1"/>
    <col min="15878" max="15878" width="6" style="638" customWidth="1"/>
    <col min="15879" max="15879" width="11.5703125" style="638" customWidth="1"/>
    <col min="15880" max="15880" width="13.42578125" style="638" customWidth="1"/>
    <col min="15881" max="15881" width="13.85546875" style="638" customWidth="1"/>
    <col min="15882" max="16128" width="9.140625" style="638"/>
    <col min="16129" max="16129" width="13" style="638" customWidth="1"/>
    <col min="16130" max="16130" width="9.140625" style="638"/>
    <col min="16131" max="16131" width="13" style="638" customWidth="1"/>
    <col min="16132" max="16132" width="29.7109375" style="638" customWidth="1"/>
    <col min="16133" max="16133" width="7.7109375" style="638" customWidth="1"/>
    <col min="16134" max="16134" width="6" style="638" customWidth="1"/>
    <col min="16135" max="16135" width="11.5703125" style="638" customWidth="1"/>
    <col min="16136" max="16136" width="13.42578125" style="638" customWidth="1"/>
    <col min="16137" max="16137" width="13.85546875" style="638" customWidth="1"/>
    <col min="16138" max="16384" width="9.140625" style="638"/>
  </cols>
  <sheetData>
    <row r="1" spans="1:14">
      <c r="A1" s="637" t="str">
        <f>TH!A1</f>
        <v>Đơn vị: CÔNG TY TNHH SX TM KIM DUNG PHÁT</v>
      </c>
      <c r="F1" s="957" t="s">
        <v>348</v>
      </c>
      <c r="G1" s="957"/>
      <c r="H1" s="957"/>
      <c r="I1" s="957"/>
    </row>
    <row r="2" spans="1:14">
      <c r="A2" s="638" t="str">
        <f>TH!A2</f>
        <v>Địa chỉ: 1A227/1 Ấp 1, Phạm Văn Hai, Bình Chánh, TPHCM</v>
      </c>
      <c r="F2" s="95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6"/>
      <c r="H2" s="956"/>
      <c r="I2" s="956"/>
    </row>
    <row r="3" spans="1:14">
      <c r="F3" s="956"/>
      <c r="G3" s="956"/>
      <c r="H3" s="956"/>
      <c r="I3" s="956"/>
    </row>
    <row r="4" spans="1:14">
      <c r="H4" s="639"/>
      <c r="I4" s="639"/>
    </row>
    <row r="5" spans="1:14" ht="26.25" customHeight="1">
      <c r="B5" s="640"/>
      <c r="C5" s="640"/>
      <c r="D5" s="641" t="s">
        <v>349</v>
      </c>
      <c r="E5" s="640"/>
      <c r="F5" s="640"/>
      <c r="G5" s="640"/>
      <c r="H5" s="640"/>
      <c r="I5" s="640"/>
      <c r="J5" s="640"/>
      <c r="K5" s="640"/>
    </row>
    <row r="6" spans="1:14">
      <c r="B6" s="642"/>
      <c r="C6" s="642"/>
      <c r="D6" s="643" t="str">
        <f ca="1">$K$9&amp;"   -   Năm:  " &amp;YEAR(A11)</f>
        <v>Quý III   -   Năm:  2011</v>
      </c>
      <c r="E6" s="642"/>
      <c r="F6" s="642"/>
      <c r="G6" s="642"/>
      <c r="H6" s="642"/>
      <c r="I6" s="642"/>
      <c r="J6" s="642"/>
      <c r="K6" s="642"/>
    </row>
    <row r="7" spans="1:14">
      <c r="A7" s="644"/>
      <c r="B7" s="644"/>
      <c r="C7" s="644"/>
      <c r="D7" s="644"/>
      <c r="E7" s="644"/>
      <c r="F7" s="644"/>
      <c r="G7" s="644"/>
      <c r="H7" s="960" t="s">
        <v>115</v>
      </c>
      <c r="I7" s="960"/>
      <c r="J7" s="644"/>
      <c r="K7" s="644"/>
      <c r="M7" s="959" t="s">
        <v>329</v>
      </c>
      <c r="N7" s="959"/>
    </row>
    <row r="8" spans="1:14" s="900" customFormat="1" ht="23.25" customHeight="1" thickBot="1">
      <c r="A8" s="961" t="s">
        <v>350</v>
      </c>
      <c r="B8" s="963" t="s">
        <v>1</v>
      </c>
      <c r="C8" s="964"/>
      <c r="D8" s="965" t="s">
        <v>0</v>
      </c>
      <c r="E8" s="961" t="s">
        <v>351</v>
      </c>
      <c r="F8" s="958" t="s">
        <v>86</v>
      </c>
      <c r="G8" s="958"/>
      <c r="H8" s="963" t="s">
        <v>20</v>
      </c>
      <c r="I8" s="964"/>
      <c r="J8" s="899"/>
      <c r="K8" s="899"/>
      <c r="M8" s="901">
        <f>IF(K9="Quý I",1,IF(K9="Quý II",4,IF(K9="Quý III",7,IF(K9="Quý IV",10,""))))</f>
        <v>7</v>
      </c>
      <c r="N8" s="901">
        <f>IF(K9="Quý I",3,IF(K9="Quý II",6,IF(K9="Quý III",9,IF(K9="Quý IV",12,""))))</f>
        <v>9</v>
      </c>
    </row>
    <row r="9" spans="1:14" s="900" customFormat="1" ht="28.5" customHeight="1" thickBot="1">
      <c r="A9" s="962"/>
      <c r="B9" s="902" t="s">
        <v>15</v>
      </c>
      <c r="C9" s="902" t="s">
        <v>31</v>
      </c>
      <c r="D9" s="966"/>
      <c r="E9" s="962"/>
      <c r="F9" s="903" t="s">
        <v>21</v>
      </c>
      <c r="G9" s="903" t="s">
        <v>22</v>
      </c>
      <c r="H9" s="902" t="s">
        <v>352</v>
      </c>
      <c r="I9" s="902" t="s">
        <v>22</v>
      </c>
      <c r="K9" s="755" t="s">
        <v>1079</v>
      </c>
    </row>
    <row r="10" spans="1:14" s="900" customFormat="1" ht="21" customHeight="1">
      <c r="A10" s="904"/>
      <c r="B10" s="904"/>
      <c r="C10" s="904"/>
      <c r="D10" s="905" t="s">
        <v>355</v>
      </c>
      <c r="E10" s="906"/>
      <c r="F10" s="904"/>
      <c r="G10" s="904"/>
      <c r="H10" s="907">
        <f>SUMIF(_M,"&lt;"&amp;$M$8,TH)</f>
        <v>5516962815</v>
      </c>
      <c r="I10" s="907">
        <f>SUMIF(_M,"&lt;"&amp;$M$8,TH)</f>
        <v>5516962815</v>
      </c>
    </row>
    <row r="11" spans="1:14" s="900" customFormat="1" ht="21" customHeight="1">
      <c r="A11" s="908">
        <f ca="1">IF(ROWS($1:1)&gt;COUNT(Dong6),"",OFFSET(TH!C$1,SMALL(Dong6,ROWS($1:1)),))</f>
        <v>40725</v>
      </c>
      <c r="B11" s="909" t="str">
        <f ca="1">IF(ROWS($1:1)&gt;COUNT(Dong6),"",OFFSET(TH!D$1,SMALL(Dong6,ROWS($1:1)),))</f>
        <v>CTGS</v>
      </c>
      <c r="C11" s="908">
        <f ca="1">IF(ROWS($1:1)&gt;COUNT(Dong6),"",OFFSET(TH!E$1,SMALL(Dong6,ROWS($1:1)),))</f>
        <v>40725</v>
      </c>
      <c r="D11" s="910" t="str">
        <f ca="1">IF(ROWS($1:1)&gt;COUNT(Dong6),"",OFFSET(TH!F$1,SMALL(Dong6,ROWS($1:1)),))</f>
        <v>Trích khấu hao TSCĐ Hữu hình</v>
      </c>
      <c r="E11" s="909">
        <f t="shared" ref="E11:E40" ca="1" si="0">IF(D11&lt;&gt;"",ROW()-10,"")</f>
        <v>1</v>
      </c>
      <c r="F11" s="911" t="str">
        <f ca="1">IF(ROWS($1:1)&gt;COUNT(Dong6),"",OFFSET(TH!L$1,SMALL(Dong6,ROWS($1:1)),))</f>
        <v>154</v>
      </c>
      <c r="G11" s="911" t="str">
        <f ca="1">IF(ROWS($1:1)&gt;COUNT(Dong6),"",OFFSET(TH!M$1,SMALL(Dong6,ROWS($1:1)),))</f>
        <v>2141</v>
      </c>
      <c r="H11" s="740">
        <f ca="1">IF(ROWS($1:1)&gt;COUNT(Dong6),"",OFFSET(TH!K$1,SMALL(Dong6,ROWS($1:1)),))</f>
        <v>18250000</v>
      </c>
      <c r="I11" s="740">
        <f ca="1">IF(ROWS($1:1)&gt;COUNT(Dong6),"",OFFSET(TH!K$1,SMALL(Dong6,ROWS($1:1)),))</f>
        <v>18250000</v>
      </c>
    </row>
    <row r="12" spans="1:14" s="900" customFormat="1" ht="21" customHeight="1">
      <c r="A12" s="908">
        <f ca="1">IF(ROWS($1:2)&gt;COUNT(Dong6),"",OFFSET(TH!C$1,SMALL(Dong6,ROWS($1:2)),))</f>
        <v>40725</v>
      </c>
      <c r="B12" s="909" t="str">
        <f ca="1">IF(ROWS($1:2)&gt;COUNT(Dong6),"",OFFSET(TH!D$1,SMALL(Dong6,ROWS($1:2)),))</f>
        <v>CTGS</v>
      </c>
      <c r="C12" s="908">
        <f ca="1">IF(ROWS($1:2)&gt;COUNT(Dong6),"",OFFSET(TH!E$1,SMALL(Dong6,ROWS($1:2)),))</f>
        <v>40725</v>
      </c>
      <c r="D12" s="910" t="str">
        <f ca="1">IF(ROWS($1:2)&gt;COUNT(Dong6),"",OFFSET(TH!F$1,SMALL(Dong6,ROWS($1:2)),))</f>
        <v>Phân bổ chi phí trả trước ngắn hạn</v>
      </c>
      <c r="E12" s="909">
        <f t="shared" ca="1" si="0"/>
        <v>2</v>
      </c>
      <c r="F12" s="911" t="str">
        <f ca="1">IF(ROWS($1:2)&gt;COUNT(Dong6),"",OFFSET(TH!L$1,SMALL(Dong6,ROWS($1:2)),))</f>
        <v>154</v>
      </c>
      <c r="G12" s="911" t="str">
        <f ca="1">IF(ROWS($1:2)&gt;COUNT(Dong6),"",OFFSET(TH!M$1,SMALL(Dong6,ROWS($1:2)),))</f>
        <v>142</v>
      </c>
      <c r="H12" s="740">
        <f ca="1">IF(ROWS($1:2)&gt;COUNT(Dong6),"",OFFSET(TH!K$1,SMALL(Dong6,ROWS($1:2)),))</f>
        <v>3164845</v>
      </c>
      <c r="I12" s="740">
        <f ca="1">IF(ROWS($1:2)&gt;COUNT(Dong6),"",OFFSET(TH!K$1,SMALL(Dong6,ROWS($1:2)),))</f>
        <v>3164845</v>
      </c>
    </row>
    <row r="13" spans="1:14" s="900" customFormat="1" ht="21" customHeight="1">
      <c r="A13" s="908">
        <f ca="1">IF(ROWS($1:3)&gt;COUNT(Dong6),"",OFFSET(TH!C$1,SMALL(Dong6,ROWS($1:3)),))</f>
        <v>40725</v>
      </c>
      <c r="B13" s="909" t="str">
        <f ca="1">IF(ROWS($1:3)&gt;COUNT(Dong6),"",OFFSET(TH!D$1,SMALL(Dong6,ROWS($1:3)),))</f>
        <v>VL/X01</v>
      </c>
      <c r="C13" s="908">
        <f ca="1">IF(ROWS($1:3)&gt;COUNT(Dong6),"",OFFSET(TH!E$1,SMALL(Dong6,ROWS($1:3)),))</f>
        <v>40725</v>
      </c>
      <c r="D13" s="910" t="str">
        <f ca="1">IF(ROWS($1:3)&gt;COUNT(Dong6),"",OFFSET(TH!F$1,SMALL(Dong6,ROWS($1:3)),))</f>
        <v>Kẽm đóng bao bì</v>
      </c>
      <c r="E13" s="909">
        <f t="shared" ca="1" si="0"/>
        <v>3</v>
      </c>
      <c r="F13" s="911" t="str">
        <f ca="1">IF(ROWS($1:3)&gt;COUNT(Dong6),"",OFFSET(TH!L$1,SMALL(Dong6,ROWS($1:3)),))</f>
        <v>154</v>
      </c>
      <c r="G13" s="911" t="str">
        <f ca="1">IF(ROWS($1:3)&gt;COUNT(Dong6),"",OFFSET(TH!M$1,SMALL(Dong6,ROWS($1:3)),))</f>
        <v>1522</v>
      </c>
      <c r="H13" s="740">
        <f ca="1">IF(ROWS($1:3)&gt;COUNT(Dong6),"",OFFSET(TH!K$1,SMALL(Dong6,ROWS($1:3)),))</f>
        <v>1175000</v>
      </c>
      <c r="I13" s="740">
        <f ca="1">IF(ROWS($1:3)&gt;COUNT(Dong6),"",OFFSET(TH!K$1,SMALL(Dong6,ROWS($1:3)),))</f>
        <v>1175000</v>
      </c>
    </row>
    <row r="14" spans="1:14" s="900" customFormat="1" ht="21" customHeight="1">
      <c r="A14" s="908">
        <f ca="1">IF(ROWS($1:4)&gt;COUNT(Dong6),"",OFFSET(TH!C$1,SMALL(Dong6,ROWS($1:4)),))</f>
        <v>40725</v>
      </c>
      <c r="B14" s="909" t="str">
        <f ca="1">IF(ROWS($1:4)&gt;COUNT(Dong6),"",OFFSET(TH!D$1,SMALL(Dong6,ROWS($1:4)),))</f>
        <v>VL/X01</v>
      </c>
      <c r="C14" s="908">
        <f ca="1">IF(ROWS($1:4)&gt;COUNT(Dong6),"",OFFSET(TH!E$1,SMALL(Dong6,ROWS($1:4)),))</f>
        <v>40725</v>
      </c>
      <c r="D14" s="910" t="str">
        <f ca="1">IF(ROWS($1:4)&gt;COUNT(Dong6),"",OFFSET(TH!F$1,SMALL(Dong6,ROWS($1:4)),))</f>
        <v>Dây nylon</v>
      </c>
      <c r="E14" s="909">
        <f t="shared" ca="1" si="0"/>
        <v>4</v>
      </c>
      <c r="F14" s="911" t="str">
        <f ca="1">IF(ROWS($1:4)&gt;COUNT(Dong6),"",OFFSET(TH!L$1,SMALL(Dong6,ROWS($1:4)),))</f>
        <v>154</v>
      </c>
      <c r="G14" s="911" t="str">
        <f ca="1">IF(ROWS($1:4)&gt;COUNT(Dong6),"",OFFSET(TH!M$1,SMALL(Dong6,ROWS($1:4)),))</f>
        <v>1522</v>
      </c>
      <c r="H14" s="740">
        <f ca="1">IF(ROWS($1:4)&gt;COUNT(Dong6),"",OFFSET(TH!K$1,SMALL(Dong6,ROWS($1:4)),))</f>
        <v>1176000</v>
      </c>
      <c r="I14" s="740">
        <f ca="1">IF(ROWS($1:4)&gt;COUNT(Dong6),"",OFFSET(TH!K$1,SMALL(Dong6,ROWS($1:4)),))</f>
        <v>1176000</v>
      </c>
    </row>
    <row r="15" spans="1:14" s="900" customFormat="1" ht="21" customHeight="1">
      <c r="A15" s="908">
        <f ca="1">IF(ROWS($1:5)&gt;COUNT(Dong6),"",OFFSET(TH!C$1,SMALL(Dong6,ROWS($1:5)),))</f>
        <v>40725</v>
      </c>
      <c r="B15" s="909" t="str">
        <f ca="1">IF(ROWS($1:5)&gt;COUNT(Dong6),"",OFFSET(TH!D$1,SMALL(Dong6,ROWS($1:5)),))</f>
        <v>VL/X01</v>
      </c>
      <c r="C15" s="908">
        <f ca="1">IF(ROWS($1:5)&gt;COUNT(Dong6),"",OFFSET(TH!E$1,SMALL(Dong6,ROWS($1:5)),))</f>
        <v>40725</v>
      </c>
      <c r="D15" s="910" t="str">
        <f ca="1">IF(ROWS($1:5)&gt;COUNT(Dong6),"",OFFSET(TH!F$1,SMALL(Dong6,ROWS($1:5)),))</f>
        <v>Bản in cao su</v>
      </c>
      <c r="E15" s="909">
        <f t="shared" ca="1" si="0"/>
        <v>5</v>
      </c>
      <c r="F15" s="911" t="str">
        <f ca="1">IF(ROWS($1:5)&gt;COUNT(Dong6),"",OFFSET(TH!L$1,SMALL(Dong6,ROWS($1:5)),))</f>
        <v>154</v>
      </c>
      <c r="G15" s="911" t="str">
        <f ca="1">IF(ROWS($1:5)&gt;COUNT(Dong6),"",OFFSET(TH!M$1,SMALL(Dong6,ROWS($1:5)),))</f>
        <v>1522</v>
      </c>
      <c r="H15" s="740">
        <f ca="1">IF(ROWS($1:5)&gt;COUNT(Dong6),"",OFFSET(TH!K$1,SMALL(Dong6,ROWS($1:5)),))</f>
        <v>1410970</v>
      </c>
      <c r="I15" s="740">
        <f ca="1">IF(ROWS($1:5)&gt;COUNT(Dong6),"",OFFSET(TH!K$1,SMALL(Dong6,ROWS($1:5)),))</f>
        <v>1410970</v>
      </c>
    </row>
    <row r="16" spans="1:14" s="900" customFormat="1" ht="21" customHeight="1">
      <c r="A16" s="908">
        <f ca="1">IF(ROWS($1:6)&gt;COUNT(Dong6),"",OFFSET(TH!C$1,SMALL(Dong6,ROWS($1:6)),))</f>
        <v>40729</v>
      </c>
      <c r="B16" s="909" t="str">
        <f ca="1">IF(ROWS($1:6)&gt;COUNT(Dong6),"",OFFSET(TH!D$1,SMALL(Dong6,ROWS($1:6)),))</f>
        <v>C01</v>
      </c>
      <c r="C16" s="908">
        <f ca="1">IF(ROWS($1:6)&gt;COUNT(Dong6),"",OFFSET(TH!E$1,SMALL(Dong6,ROWS($1:6)),))</f>
        <v>40729</v>
      </c>
      <c r="D16" s="910" t="str">
        <f ca="1">IF(ROWS($1:6)&gt;COUNT(Dong6),"",OFFSET(TH!F$1,SMALL(Dong6,ROWS($1:6)),))</f>
        <v>Mực in VFLEX 6529 Blue</v>
      </c>
      <c r="E16" s="909">
        <f t="shared" ca="1" si="0"/>
        <v>6</v>
      </c>
      <c r="F16" s="911" t="str">
        <f ca="1">IF(ROWS($1:6)&gt;COUNT(Dong6),"",OFFSET(TH!L$1,SMALL(Dong6,ROWS($1:6)),))</f>
        <v>154</v>
      </c>
      <c r="G16" s="911" t="str">
        <f ca="1">IF(ROWS($1:6)&gt;COUNT(Dong6),"",OFFSET(TH!M$1,SMALL(Dong6,ROWS($1:6)),))</f>
        <v>1111</v>
      </c>
      <c r="H16" s="740">
        <f ca="1">IF(ROWS($1:6)&gt;COUNT(Dong6),"",OFFSET(TH!K$1,SMALL(Dong6,ROWS($1:6)),))</f>
        <v>2680000</v>
      </c>
      <c r="I16" s="740">
        <f ca="1">IF(ROWS($1:6)&gt;COUNT(Dong6),"",OFFSET(TH!K$1,SMALL(Dong6,ROWS($1:6)),))</f>
        <v>2680000</v>
      </c>
    </row>
    <row r="17" spans="1:9" s="900" customFormat="1" ht="21" customHeight="1">
      <c r="A17" s="908">
        <f ca="1">IF(ROWS($1:7)&gt;COUNT(Dong6),"",OFFSET(TH!C$1,SMALL(Dong6,ROWS($1:7)),))</f>
        <v>40729</v>
      </c>
      <c r="B17" s="909" t="str">
        <f ca="1">IF(ROWS($1:7)&gt;COUNT(Dong6),"",OFFSET(TH!D$1,SMALL(Dong6,ROWS($1:7)),))</f>
        <v>C01</v>
      </c>
      <c r="C17" s="908">
        <f ca="1">IF(ROWS($1:7)&gt;COUNT(Dong6),"",OFFSET(TH!E$1,SMALL(Dong6,ROWS($1:7)),))</f>
        <v>40729</v>
      </c>
      <c r="D17" s="910" t="str">
        <f ca="1">IF(ROWS($1:7)&gt;COUNT(Dong6),"",OFFSET(TH!F$1,SMALL(Dong6,ROWS($1:7)),))</f>
        <v>VAT Mực in VFLEX 6529 Blue</v>
      </c>
      <c r="E17" s="909">
        <f t="shared" ca="1" si="0"/>
        <v>7</v>
      </c>
      <c r="F17" s="911" t="str">
        <f ca="1">IF(ROWS($1:7)&gt;COUNT(Dong6),"",OFFSET(TH!L$1,SMALL(Dong6,ROWS($1:7)),))</f>
        <v>1331</v>
      </c>
      <c r="G17" s="911" t="str">
        <f ca="1">IF(ROWS($1:7)&gt;COUNT(Dong6),"",OFFSET(TH!M$1,SMALL(Dong6,ROWS($1:7)),))</f>
        <v>1111</v>
      </c>
      <c r="H17" s="740">
        <f ca="1">IF(ROWS($1:7)&gt;COUNT(Dong6),"",OFFSET(TH!K$1,SMALL(Dong6,ROWS($1:7)),))</f>
        <v>268000</v>
      </c>
      <c r="I17" s="740">
        <f ca="1">IF(ROWS($1:7)&gt;COUNT(Dong6),"",OFFSET(TH!K$1,SMALL(Dong6,ROWS($1:7)),))</f>
        <v>268000</v>
      </c>
    </row>
    <row r="18" spans="1:9" s="900" customFormat="1" ht="21" customHeight="1">
      <c r="A18" s="908">
        <f ca="1">IF(ROWS($1:8)&gt;COUNT(Dong6),"",OFFSET(TH!C$1,SMALL(Dong6,ROWS($1:8)),))</f>
        <v>40729</v>
      </c>
      <c r="B18" s="909" t="str">
        <f ca="1">IF(ROWS($1:8)&gt;COUNT(Dong6),"",OFFSET(TH!D$1,SMALL(Dong6,ROWS($1:8)),))</f>
        <v>NL/X01</v>
      </c>
      <c r="C18" s="908">
        <f ca="1">IF(ROWS($1:8)&gt;COUNT(Dong6),"",OFFSET(TH!E$1,SMALL(Dong6,ROWS($1:8)),))</f>
        <v>40729</v>
      </c>
      <c r="D18" s="910" t="str">
        <f ca="1">IF(ROWS($1:8)&gt;COUNT(Dong6),"",OFFSET(TH!F$1,SMALL(Dong6,ROWS($1:8)),))</f>
        <v>Giấy tấm 1V+2X ( 1540x542)</v>
      </c>
      <c r="E18" s="909">
        <f t="shared" ca="1" si="0"/>
        <v>8</v>
      </c>
      <c r="F18" s="911" t="str">
        <f ca="1">IF(ROWS($1:8)&gt;COUNT(Dong6),"",OFFSET(TH!L$1,SMALL(Dong6,ROWS($1:8)),))</f>
        <v>154</v>
      </c>
      <c r="G18" s="911" t="str">
        <f ca="1">IF(ROWS($1:8)&gt;COUNT(Dong6),"",OFFSET(TH!M$1,SMALL(Dong6,ROWS($1:8)),))</f>
        <v>1521</v>
      </c>
      <c r="H18" s="740">
        <f ca="1">IF(ROWS($1:8)&gt;COUNT(Dong6),"",OFFSET(TH!K$1,SMALL(Dong6,ROWS($1:8)),))</f>
        <v>747224</v>
      </c>
      <c r="I18" s="740">
        <f ca="1">IF(ROWS($1:8)&gt;COUNT(Dong6),"",OFFSET(TH!K$1,SMALL(Dong6,ROWS($1:8)),))</f>
        <v>747224</v>
      </c>
    </row>
    <row r="19" spans="1:9" s="900" customFormat="1" ht="21" customHeight="1">
      <c r="A19" s="908">
        <f ca="1">IF(ROWS($1:9)&gt;COUNT(Dong6),"",OFFSET(TH!C$1,SMALL(Dong6,ROWS($1:9)),))</f>
        <v>40729</v>
      </c>
      <c r="B19" s="909" t="str">
        <f ca="1">IF(ROWS($1:9)&gt;COUNT(Dong6),"",OFFSET(TH!D$1,SMALL(Dong6,ROWS($1:9)),))</f>
        <v>NL/X01</v>
      </c>
      <c r="C19" s="908">
        <f ca="1">IF(ROWS($1:9)&gt;COUNT(Dong6),"",OFFSET(TH!E$1,SMALL(Dong6,ROWS($1:9)),))</f>
        <v>40729</v>
      </c>
      <c r="D19" s="910" t="str">
        <f ca="1">IF(ROWS($1:9)&gt;COUNT(Dong6),"",OFFSET(TH!F$1,SMALL(Dong6,ROWS($1:9)),))</f>
        <v>Giấy carton 7L ( 110x146)</v>
      </c>
      <c r="E19" s="909">
        <f t="shared" ca="1" si="0"/>
        <v>9</v>
      </c>
      <c r="F19" s="911" t="str">
        <f ca="1">IF(ROWS($1:9)&gt;COUNT(Dong6),"",OFFSET(TH!L$1,SMALL(Dong6,ROWS($1:9)),))</f>
        <v>154</v>
      </c>
      <c r="G19" s="911" t="str">
        <f ca="1">IF(ROWS($1:9)&gt;COUNT(Dong6),"",OFFSET(TH!M$1,SMALL(Dong6,ROWS($1:9)),))</f>
        <v>1521</v>
      </c>
      <c r="H19" s="740">
        <f ca="1">IF(ROWS($1:9)&gt;COUNT(Dong6),"",OFFSET(TH!K$1,SMALL(Dong6,ROWS($1:9)),))</f>
        <v>10949708</v>
      </c>
      <c r="I19" s="740">
        <f ca="1">IF(ROWS($1:9)&gt;COUNT(Dong6),"",OFFSET(TH!K$1,SMALL(Dong6,ROWS($1:9)),))</f>
        <v>10949708</v>
      </c>
    </row>
    <row r="20" spans="1:9" s="900" customFormat="1" ht="21" customHeight="1">
      <c r="A20" s="908">
        <f ca="1">IF(ROWS($1:10)&gt;COUNT(Dong6),"",OFFSET(TH!C$1,SMALL(Dong6,ROWS($1:10)),))</f>
        <v>40729</v>
      </c>
      <c r="B20" s="909" t="str">
        <f ca="1">IF(ROWS($1:10)&gt;COUNT(Dong6),"",OFFSET(TH!D$1,SMALL(Dong6,ROWS($1:10)),))</f>
        <v>NL/X01</v>
      </c>
      <c r="C20" s="908">
        <f ca="1">IF(ROWS($1:10)&gt;COUNT(Dong6),"",OFFSET(TH!E$1,SMALL(Dong6,ROWS($1:10)),))</f>
        <v>40729</v>
      </c>
      <c r="D20" s="910" t="str">
        <f ca="1">IF(ROWS($1:10)&gt;COUNT(Dong6),"",OFFSET(TH!F$1,SMALL(Dong6,ROWS($1:10)),))</f>
        <v>Giấy tấm ND+5X+V ( 105x226)</v>
      </c>
      <c r="E20" s="909">
        <f t="shared" ca="1" si="0"/>
        <v>10</v>
      </c>
      <c r="F20" s="911" t="str">
        <f ca="1">IF(ROWS($1:10)&gt;COUNT(Dong6),"",OFFSET(TH!L$1,SMALL(Dong6,ROWS($1:10)),))</f>
        <v>154</v>
      </c>
      <c r="G20" s="911" t="str">
        <f ca="1">IF(ROWS($1:10)&gt;COUNT(Dong6),"",OFFSET(TH!M$1,SMALL(Dong6,ROWS($1:10)),))</f>
        <v>1521</v>
      </c>
      <c r="H20" s="740">
        <f ca="1">IF(ROWS($1:10)&gt;COUNT(Dong6),"",OFFSET(TH!K$1,SMALL(Dong6,ROWS($1:10)),))</f>
        <v>428805</v>
      </c>
      <c r="I20" s="740">
        <f ca="1">IF(ROWS($1:10)&gt;COUNT(Dong6),"",OFFSET(TH!K$1,SMALL(Dong6,ROWS($1:10)),))</f>
        <v>428805</v>
      </c>
    </row>
    <row r="21" spans="1:9" s="900" customFormat="1" ht="21" customHeight="1">
      <c r="A21" s="908">
        <f ca="1">IF(ROWS($1:11)&gt;COUNT(Dong6),"",OFFSET(TH!C$1,SMALL(Dong6,ROWS($1:11)),))</f>
        <v>40729</v>
      </c>
      <c r="B21" s="909" t="str">
        <f ca="1">IF(ROWS($1:11)&gt;COUNT(Dong6),"",OFFSET(TH!D$1,SMALL(Dong6,ROWS($1:11)),))</f>
        <v>NL/X01</v>
      </c>
      <c r="C21" s="908">
        <f ca="1">IF(ROWS($1:11)&gt;COUNT(Dong6),"",OFFSET(TH!E$1,SMALL(Dong6,ROWS($1:11)),))</f>
        <v>40729</v>
      </c>
      <c r="D21" s="910" t="str">
        <f ca="1">IF(ROWS($1:11)&gt;COUNT(Dong6),"",OFFSET(TH!F$1,SMALL(Dong6,ROWS($1:11)),))</f>
        <v>Giấy tấm 1V+2X ( 1460x444)</v>
      </c>
      <c r="E21" s="909">
        <f t="shared" ca="1" si="0"/>
        <v>11</v>
      </c>
      <c r="F21" s="911" t="str">
        <f ca="1">IF(ROWS($1:11)&gt;COUNT(Dong6),"",OFFSET(TH!L$1,SMALL(Dong6,ROWS($1:11)),))</f>
        <v>154</v>
      </c>
      <c r="G21" s="911" t="str">
        <f ca="1">IF(ROWS($1:11)&gt;COUNT(Dong6),"",OFFSET(TH!M$1,SMALL(Dong6,ROWS($1:11)),))</f>
        <v>1521</v>
      </c>
      <c r="H21" s="740">
        <f ca="1">IF(ROWS($1:11)&gt;COUNT(Dong6),"",OFFSET(TH!K$1,SMALL(Dong6,ROWS($1:11)),))</f>
        <v>266940</v>
      </c>
      <c r="I21" s="740">
        <f ca="1">IF(ROWS($1:11)&gt;COUNT(Dong6),"",OFFSET(TH!K$1,SMALL(Dong6,ROWS($1:11)),))</f>
        <v>266940</v>
      </c>
    </row>
    <row r="22" spans="1:9" s="900" customFormat="1" ht="21" customHeight="1">
      <c r="A22" s="908">
        <f ca="1">IF(ROWS($1:12)&gt;COUNT(Dong6),"",OFFSET(TH!C$1,SMALL(Dong6,ROWS($1:12)),))</f>
        <v>40729</v>
      </c>
      <c r="B22" s="909" t="str">
        <f ca="1">IF(ROWS($1:12)&gt;COUNT(Dong6),"",OFFSET(TH!D$1,SMALL(Dong6,ROWS($1:12)),))</f>
        <v>NL/X01</v>
      </c>
      <c r="C22" s="908">
        <f ca="1">IF(ROWS($1:12)&gt;COUNT(Dong6),"",OFFSET(TH!E$1,SMALL(Dong6,ROWS($1:12)),))</f>
        <v>40729</v>
      </c>
      <c r="D22" s="910" t="str">
        <f ca="1">IF(ROWS($1:12)&gt;COUNT(Dong6),"",OFFSET(TH!F$1,SMALL(Dong6,ROWS($1:12)),))</f>
        <v>Giấy tấm 1V+2X ( 1460x444)</v>
      </c>
      <c r="E22" s="909">
        <f t="shared" ca="1" si="0"/>
        <v>12</v>
      </c>
      <c r="F22" s="911" t="str">
        <f ca="1">IF(ROWS($1:12)&gt;COUNT(Dong6),"",OFFSET(TH!L$1,SMALL(Dong6,ROWS($1:12)),))</f>
        <v>154</v>
      </c>
      <c r="G22" s="911" t="str">
        <f ca="1">IF(ROWS($1:12)&gt;COUNT(Dong6),"",OFFSET(TH!M$1,SMALL(Dong6,ROWS($1:12)),))</f>
        <v>1521</v>
      </c>
      <c r="H22" s="740">
        <f ca="1">IF(ROWS($1:12)&gt;COUNT(Dong6),"",OFFSET(TH!K$1,SMALL(Dong6,ROWS($1:12)),))</f>
        <v>266940</v>
      </c>
      <c r="I22" s="740">
        <f ca="1">IF(ROWS($1:12)&gt;COUNT(Dong6),"",OFFSET(TH!K$1,SMALL(Dong6,ROWS($1:12)),))</f>
        <v>266940</v>
      </c>
    </row>
    <row r="23" spans="1:9" s="900" customFormat="1" ht="21" customHeight="1">
      <c r="A23" s="908">
        <f ca="1">IF(ROWS($1:13)&gt;COUNT(Dong6),"",OFFSET(TH!C$1,SMALL(Dong6,ROWS($1:13)),))</f>
        <v>40729</v>
      </c>
      <c r="B23" s="909" t="str">
        <f ca="1">IF(ROWS($1:13)&gt;COUNT(Dong6),"",OFFSET(TH!D$1,SMALL(Dong6,ROWS($1:13)),))</f>
        <v>NL/X01</v>
      </c>
      <c r="C23" s="908">
        <f ca="1">IF(ROWS($1:13)&gt;COUNT(Dong6),"",OFFSET(TH!E$1,SMALL(Dong6,ROWS($1:13)),))</f>
        <v>40729</v>
      </c>
      <c r="D23" s="910" t="str">
        <f ca="1">IF(ROWS($1:13)&gt;COUNT(Dong6),"",OFFSET(TH!F$1,SMALL(Dong6,ROWS($1:13)),))</f>
        <v>Giấy tấm 1V+2X ( 1480x452)</v>
      </c>
      <c r="E23" s="909">
        <f t="shared" ca="1" si="0"/>
        <v>13</v>
      </c>
      <c r="F23" s="911" t="str">
        <f ca="1">IF(ROWS($1:13)&gt;COUNT(Dong6),"",OFFSET(TH!L$1,SMALL(Dong6,ROWS($1:13)),))</f>
        <v>154</v>
      </c>
      <c r="G23" s="911" t="str">
        <f ca="1">IF(ROWS($1:13)&gt;COUNT(Dong6),"",OFFSET(TH!M$1,SMALL(Dong6,ROWS($1:13)),))</f>
        <v>1521</v>
      </c>
      <c r="H23" s="740">
        <f ca="1">IF(ROWS($1:13)&gt;COUNT(Dong6),"",OFFSET(TH!K$1,SMALL(Dong6,ROWS($1:13)),))</f>
        <v>78064</v>
      </c>
      <c r="I23" s="740">
        <f ca="1">IF(ROWS($1:13)&gt;COUNT(Dong6),"",OFFSET(TH!K$1,SMALL(Dong6,ROWS($1:13)),))</f>
        <v>78064</v>
      </c>
    </row>
    <row r="24" spans="1:9" s="900" customFormat="1" ht="21" customHeight="1">
      <c r="A24" s="908">
        <f ca="1">IF(ROWS($1:14)&gt;COUNT(Dong6),"",OFFSET(TH!C$1,SMALL(Dong6,ROWS($1:14)),))</f>
        <v>40729</v>
      </c>
      <c r="B24" s="909" t="str">
        <f ca="1">IF(ROWS($1:14)&gt;COUNT(Dong6),"",OFFSET(TH!D$1,SMALL(Dong6,ROWS($1:14)),))</f>
        <v>NL/X01</v>
      </c>
      <c r="C24" s="908">
        <f ca="1">IF(ROWS($1:14)&gt;COUNT(Dong6),"",OFFSET(TH!E$1,SMALL(Dong6,ROWS($1:14)),))</f>
        <v>40729</v>
      </c>
      <c r="D24" s="910" t="str">
        <f ca="1">IF(ROWS($1:14)&gt;COUNT(Dong6),"",OFFSET(TH!F$1,SMALL(Dong6,ROWS($1:14)),))</f>
        <v>Giấy tấm 1V+2X ( 1460x444)</v>
      </c>
      <c r="E24" s="909">
        <f t="shared" ca="1" si="0"/>
        <v>14</v>
      </c>
      <c r="F24" s="911" t="str">
        <f ca="1">IF(ROWS($1:14)&gt;COUNT(Dong6),"",OFFSET(TH!L$1,SMALL(Dong6,ROWS($1:14)),))</f>
        <v>154</v>
      </c>
      <c r="G24" s="911" t="str">
        <f ca="1">IF(ROWS($1:14)&gt;COUNT(Dong6),"",OFFSET(TH!M$1,SMALL(Dong6,ROWS($1:14)),))</f>
        <v>1521</v>
      </c>
      <c r="H24" s="740">
        <f ca="1">IF(ROWS($1:14)&gt;COUNT(Dong6),"",OFFSET(TH!K$1,SMALL(Dong6,ROWS($1:14)),))</f>
        <v>444897</v>
      </c>
      <c r="I24" s="740">
        <f ca="1">IF(ROWS($1:14)&gt;COUNT(Dong6),"",OFFSET(TH!K$1,SMALL(Dong6,ROWS($1:14)),))</f>
        <v>444897</v>
      </c>
    </row>
    <row r="25" spans="1:9" s="900" customFormat="1" ht="21" customHeight="1">
      <c r="A25" s="908">
        <f ca="1">IF(ROWS($1:15)&gt;COUNT(Dong6),"",OFFSET(TH!C$1,SMALL(Dong6,ROWS($1:15)),))</f>
        <v>40729</v>
      </c>
      <c r="B25" s="909" t="str">
        <f ca="1">IF(ROWS($1:15)&gt;COUNT(Dong6),"",OFFSET(TH!D$1,SMALL(Dong6,ROWS($1:15)),))</f>
        <v>NL/X01</v>
      </c>
      <c r="C25" s="908">
        <f ca="1">IF(ROWS($1:15)&gt;COUNT(Dong6),"",OFFSET(TH!E$1,SMALL(Dong6,ROWS($1:15)),))</f>
        <v>40729</v>
      </c>
      <c r="D25" s="910" t="str">
        <f ca="1">IF(ROWS($1:15)&gt;COUNT(Dong6),"",OFFSET(TH!F$1,SMALL(Dong6,ROWS($1:15)),))</f>
        <v>Giấy tấm 1V+2X ( 1460x444)</v>
      </c>
      <c r="E25" s="909">
        <f t="shared" ca="1" si="0"/>
        <v>15</v>
      </c>
      <c r="F25" s="911" t="str">
        <f ca="1">IF(ROWS($1:15)&gt;COUNT(Dong6),"",OFFSET(TH!L$1,SMALL(Dong6,ROWS($1:15)),))</f>
        <v>154</v>
      </c>
      <c r="G25" s="911" t="str">
        <f ca="1">IF(ROWS($1:15)&gt;COUNT(Dong6),"",OFFSET(TH!M$1,SMALL(Dong6,ROWS($1:15)),))</f>
        <v>1521</v>
      </c>
      <c r="H25" s="740">
        <f ca="1">IF(ROWS($1:15)&gt;COUNT(Dong6),"",OFFSET(TH!K$1,SMALL(Dong6,ROWS($1:15)),))</f>
        <v>26694</v>
      </c>
      <c r="I25" s="740">
        <f ca="1">IF(ROWS($1:15)&gt;COUNT(Dong6),"",OFFSET(TH!K$1,SMALL(Dong6,ROWS($1:15)),))</f>
        <v>26694</v>
      </c>
    </row>
    <row r="26" spans="1:9" s="900" customFormat="1" ht="21" customHeight="1">
      <c r="A26" s="908">
        <f ca="1">IF(ROWS($1:16)&gt;COUNT(Dong6),"",OFFSET(TH!C$1,SMALL(Dong6,ROWS($1:16)),))</f>
        <v>40733</v>
      </c>
      <c r="B26" s="909" t="str">
        <f ca="1">IF(ROWS($1:16)&gt;COUNT(Dong6),"",OFFSET(TH!D$1,SMALL(Dong6,ROWS($1:16)),))</f>
        <v>NL/X02</v>
      </c>
      <c r="C26" s="908">
        <f ca="1">IF(ROWS($1:16)&gt;COUNT(Dong6),"",OFFSET(TH!E$1,SMALL(Dong6,ROWS($1:16)),))</f>
        <v>40733</v>
      </c>
      <c r="D26" s="910" t="str">
        <f ca="1">IF(ROWS($1:16)&gt;COUNT(Dong6),"",OFFSET(TH!F$1,SMALL(Dong6,ROWS($1:16)),))</f>
        <v>Giấy carton 7L ( 125x137)</v>
      </c>
      <c r="E26" s="909">
        <f t="shared" ca="1" si="0"/>
        <v>16</v>
      </c>
      <c r="F26" s="911" t="str">
        <f ca="1">IF(ROWS($1:16)&gt;COUNT(Dong6),"",OFFSET(TH!L$1,SMALL(Dong6,ROWS($1:16)),))</f>
        <v>154</v>
      </c>
      <c r="G26" s="911" t="str">
        <f ca="1">IF(ROWS($1:16)&gt;COUNT(Dong6),"",OFFSET(TH!M$1,SMALL(Dong6,ROWS($1:16)),))</f>
        <v>1521</v>
      </c>
      <c r="H26" s="740">
        <f ca="1">IF(ROWS($1:16)&gt;COUNT(Dong6),"",OFFSET(TH!K$1,SMALL(Dong6,ROWS($1:16)),))</f>
        <v>71925</v>
      </c>
      <c r="I26" s="740">
        <f ca="1">IF(ROWS($1:16)&gt;COUNT(Dong6),"",OFFSET(TH!K$1,SMALL(Dong6,ROWS($1:16)),))</f>
        <v>71925</v>
      </c>
    </row>
    <row r="27" spans="1:9" s="900" customFormat="1" ht="21" customHeight="1">
      <c r="A27" s="908">
        <f ca="1">IF(ROWS($1:17)&gt;COUNT(Dong6),"",OFFSET(TH!C$1,SMALL(Dong6,ROWS($1:17)),))</f>
        <v>40733</v>
      </c>
      <c r="B27" s="909" t="str">
        <f ca="1">IF(ROWS($1:17)&gt;COUNT(Dong6),"",OFFSET(TH!D$1,SMALL(Dong6,ROWS($1:17)),))</f>
        <v>NL/X02</v>
      </c>
      <c r="C27" s="908">
        <f ca="1">IF(ROWS($1:17)&gt;COUNT(Dong6),"",OFFSET(TH!E$1,SMALL(Dong6,ROWS($1:17)),))</f>
        <v>40733</v>
      </c>
      <c r="D27" s="910" t="str">
        <f ca="1">IF(ROWS($1:17)&gt;COUNT(Dong6),"",OFFSET(TH!F$1,SMALL(Dong6,ROWS($1:17)),))</f>
        <v>Giấy tấm 2V+3X ( 1000x1500)</v>
      </c>
      <c r="E27" s="909">
        <f t="shared" ca="1" si="0"/>
        <v>17</v>
      </c>
      <c r="F27" s="911" t="str">
        <f ca="1">IF(ROWS($1:17)&gt;COUNT(Dong6),"",OFFSET(TH!L$1,SMALL(Dong6,ROWS($1:17)),))</f>
        <v>154</v>
      </c>
      <c r="G27" s="911" t="str">
        <f ca="1">IF(ROWS($1:17)&gt;COUNT(Dong6),"",OFFSET(TH!M$1,SMALL(Dong6,ROWS($1:17)),))</f>
        <v>1521</v>
      </c>
      <c r="H27" s="740">
        <f ca="1">IF(ROWS($1:17)&gt;COUNT(Dong6),"",OFFSET(TH!K$1,SMALL(Dong6,ROWS($1:17)),))</f>
        <v>799900</v>
      </c>
      <c r="I27" s="740">
        <f ca="1">IF(ROWS($1:17)&gt;COUNT(Dong6),"",OFFSET(TH!K$1,SMALL(Dong6,ROWS($1:17)),))</f>
        <v>799900</v>
      </c>
    </row>
    <row r="28" spans="1:9" s="900" customFormat="1" ht="21" customHeight="1">
      <c r="A28" s="908">
        <f ca="1">IF(ROWS($1:18)&gt;COUNT(Dong6),"",OFFSET(TH!C$1,SMALL(Dong6,ROWS($1:18)),))</f>
        <v>40733</v>
      </c>
      <c r="B28" s="909" t="str">
        <f ca="1">IF(ROWS($1:18)&gt;COUNT(Dong6),"",OFFSET(TH!D$1,SMALL(Dong6,ROWS($1:18)),))</f>
        <v>NL/X02</v>
      </c>
      <c r="C28" s="908">
        <f ca="1">IF(ROWS($1:18)&gt;COUNT(Dong6),"",OFFSET(TH!E$1,SMALL(Dong6,ROWS($1:18)),))</f>
        <v>40733</v>
      </c>
      <c r="D28" s="910" t="str">
        <f ca="1">IF(ROWS($1:18)&gt;COUNT(Dong6),"",OFFSET(TH!F$1,SMALL(Dong6,ROWS($1:18)),))</f>
        <v>Giấy carton 7L ( 110x224)</v>
      </c>
      <c r="E28" s="909">
        <f t="shared" ca="1" si="0"/>
        <v>18</v>
      </c>
      <c r="F28" s="911" t="str">
        <f ca="1">IF(ROWS($1:18)&gt;COUNT(Dong6),"",OFFSET(TH!L$1,SMALL(Dong6,ROWS($1:18)),))</f>
        <v>154</v>
      </c>
      <c r="G28" s="911" t="str">
        <f ca="1">IF(ROWS($1:18)&gt;COUNT(Dong6),"",OFFSET(TH!M$1,SMALL(Dong6,ROWS($1:18)),))</f>
        <v>1521</v>
      </c>
      <c r="H28" s="740">
        <f ca="1">IF(ROWS($1:18)&gt;COUNT(Dong6),"",OFFSET(TH!K$1,SMALL(Dong6,ROWS($1:18)),))</f>
        <v>2166626</v>
      </c>
      <c r="I28" s="740">
        <f ca="1">IF(ROWS($1:18)&gt;COUNT(Dong6),"",OFFSET(TH!K$1,SMALL(Dong6,ROWS($1:18)),))</f>
        <v>2166626</v>
      </c>
    </row>
    <row r="29" spans="1:9" s="900" customFormat="1" ht="21" customHeight="1">
      <c r="A29" s="908">
        <f ca="1">IF(ROWS($1:19)&gt;COUNT(Dong6),"",OFFSET(TH!C$1,SMALL(Dong6,ROWS($1:19)),))</f>
        <v>40733</v>
      </c>
      <c r="B29" s="909" t="str">
        <f ca="1">IF(ROWS($1:19)&gt;COUNT(Dong6),"",OFFSET(TH!D$1,SMALL(Dong6,ROWS($1:19)),))</f>
        <v>NL/X02</v>
      </c>
      <c r="C29" s="908">
        <f ca="1">IF(ROWS($1:19)&gt;COUNT(Dong6),"",OFFSET(TH!E$1,SMALL(Dong6,ROWS($1:19)),))</f>
        <v>40733</v>
      </c>
      <c r="D29" s="910" t="str">
        <f ca="1">IF(ROWS($1:19)&gt;COUNT(Dong6),"",OFFSET(TH!F$1,SMALL(Dong6,ROWS($1:19)),))</f>
        <v>Giấy tấm 2V+1X ( 1600x1400)</v>
      </c>
      <c r="E29" s="909">
        <f t="shared" ca="1" si="0"/>
        <v>19</v>
      </c>
      <c r="F29" s="911" t="str">
        <f ca="1">IF(ROWS($1:19)&gt;COUNT(Dong6),"",OFFSET(TH!L$1,SMALL(Dong6,ROWS($1:19)),))</f>
        <v>154</v>
      </c>
      <c r="G29" s="911" t="str">
        <f ca="1">IF(ROWS($1:19)&gt;COUNT(Dong6),"",OFFSET(TH!M$1,SMALL(Dong6,ROWS($1:19)),))</f>
        <v>1521</v>
      </c>
      <c r="H29" s="740">
        <f ca="1">IF(ROWS($1:19)&gt;COUNT(Dong6),"",OFFSET(TH!K$1,SMALL(Dong6,ROWS($1:19)),))</f>
        <v>1342356</v>
      </c>
      <c r="I29" s="740">
        <f ca="1">IF(ROWS($1:19)&gt;COUNT(Dong6),"",OFFSET(TH!K$1,SMALL(Dong6,ROWS($1:19)),))</f>
        <v>1342356</v>
      </c>
    </row>
    <row r="30" spans="1:9" s="900" customFormat="1" ht="21" customHeight="1">
      <c r="A30" s="908">
        <f ca="1">IF(ROWS($1:20)&gt;COUNT(Dong6),"",OFFSET(TH!C$1,SMALL(Dong6,ROWS($1:20)),))</f>
        <v>40733</v>
      </c>
      <c r="B30" s="909" t="str">
        <f ca="1">IF(ROWS($1:20)&gt;COUNT(Dong6),"",OFFSET(TH!D$1,SMALL(Dong6,ROWS($1:20)),))</f>
        <v>NL/X02</v>
      </c>
      <c r="C30" s="908">
        <f ca="1">IF(ROWS($1:20)&gt;COUNT(Dong6),"",OFFSET(TH!E$1,SMALL(Dong6,ROWS($1:20)),))</f>
        <v>40733</v>
      </c>
      <c r="D30" s="910" t="str">
        <f ca="1">IF(ROWS($1:20)&gt;COUNT(Dong6),"",OFFSET(TH!F$1,SMALL(Dong6,ROWS($1:20)),))</f>
        <v>Giấy tấm 2V+1X ( 1600x1400)</v>
      </c>
      <c r="E30" s="909">
        <f t="shared" ca="1" si="0"/>
        <v>20</v>
      </c>
      <c r="F30" s="911" t="str">
        <f ca="1">IF(ROWS($1:20)&gt;COUNT(Dong6),"",OFFSET(TH!L$1,SMALL(Dong6,ROWS($1:20)),))</f>
        <v>154</v>
      </c>
      <c r="G30" s="911" t="str">
        <f ca="1">IF(ROWS($1:20)&gt;COUNT(Dong6),"",OFFSET(TH!M$1,SMALL(Dong6,ROWS($1:20)),))</f>
        <v>1521</v>
      </c>
      <c r="H30" s="740">
        <f ca="1">IF(ROWS($1:20)&gt;COUNT(Dong6),"",OFFSET(TH!K$1,SMALL(Dong6,ROWS($1:20)),))</f>
        <v>8087</v>
      </c>
      <c r="I30" s="740">
        <f ca="1">IF(ROWS($1:20)&gt;COUNT(Dong6),"",OFFSET(TH!K$1,SMALL(Dong6,ROWS($1:20)),))</f>
        <v>8087</v>
      </c>
    </row>
    <row r="31" spans="1:9" s="900" customFormat="1" ht="21" customHeight="1">
      <c r="A31" s="908">
        <f ca="1">IF(ROWS($1:21)&gt;COUNT(Dong6),"",OFFSET(TH!C$1,SMALL(Dong6,ROWS($1:21)),))</f>
        <v>40733</v>
      </c>
      <c r="B31" s="909" t="str">
        <f ca="1">IF(ROWS($1:21)&gt;COUNT(Dong6),"",OFFSET(TH!D$1,SMALL(Dong6,ROWS($1:21)),))</f>
        <v>NL/X02</v>
      </c>
      <c r="C31" s="908">
        <f ca="1">IF(ROWS($1:21)&gt;COUNT(Dong6),"",OFFSET(TH!E$1,SMALL(Dong6,ROWS($1:21)),))</f>
        <v>40733</v>
      </c>
      <c r="D31" s="910" t="str">
        <f ca="1">IF(ROWS($1:21)&gt;COUNT(Dong6),"",OFFSET(TH!F$1,SMALL(Dong6,ROWS($1:21)),))</f>
        <v>Giấy carton 7L ( 110x224)</v>
      </c>
      <c r="E31" s="909">
        <f t="shared" ca="1" si="0"/>
        <v>21</v>
      </c>
      <c r="F31" s="911" t="str">
        <f ca="1">IF(ROWS($1:21)&gt;COUNT(Dong6),"",OFFSET(TH!L$1,SMALL(Dong6,ROWS($1:21)),))</f>
        <v>154</v>
      </c>
      <c r="G31" s="911" t="str">
        <f ca="1">IF(ROWS($1:21)&gt;COUNT(Dong6),"",OFFSET(TH!M$1,SMALL(Dong6,ROWS($1:21)),))</f>
        <v>1521</v>
      </c>
      <c r="H31" s="740">
        <f ca="1">IF(ROWS($1:21)&gt;COUNT(Dong6),"",OFFSET(TH!K$1,SMALL(Dong6,ROWS($1:21)),))</f>
        <v>1432480</v>
      </c>
      <c r="I31" s="740">
        <f ca="1">IF(ROWS($1:21)&gt;COUNT(Dong6),"",OFFSET(TH!K$1,SMALL(Dong6,ROWS($1:21)),))</f>
        <v>1432480</v>
      </c>
    </row>
    <row r="32" spans="1:9" s="900" customFormat="1" ht="21" customHeight="1">
      <c r="A32" s="908">
        <f ca="1">IF(ROWS($1:22)&gt;COUNT(Dong6),"",OFFSET(TH!C$1,SMALL(Dong6,ROWS($1:22)),))</f>
        <v>40733</v>
      </c>
      <c r="B32" s="909" t="str">
        <f ca="1">IF(ROWS($1:22)&gt;COUNT(Dong6),"",OFFSET(TH!D$1,SMALL(Dong6,ROWS($1:22)),))</f>
        <v>NL/X02</v>
      </c>
      <c r="C32" s="908">
        <f ca="1">IF(ROWS($1:22)&gt;COUNT(Dong6),"",OFFSET(TH!E$1,SMALL(Dong6,ROWS($1:22)),))</f>
        <v>40733</v>
      </c>
      <c r="D32" s="910" t="str">
        <f ca="1">IF(ROWS($1:22)&gt;COUNT(Dong6),"",OFFSET(TH!F$1,SMALL(Dong6,ROWS($1:22)),))</f>
        <v>Giấy tấm ND+5X+V ( 95x224)</v>
      </c>
      <c r="E32" s="909">
        <f t="shared" ca="1" si="0"/>
        <v>22</v>
      </c>
      <c r="F32" s="911" t="str">
        <f ca="1">IF(ROWS($1:22)&gt;COUNT(Dong6),"",OFFSET(TH!L$1,SMALL(Dong6,ROWS($1:22)),))</f>
        <v>154</v>
      </c>
      <c r="G32" s="911" t="str">
        <f ca="1">IF(ROWS($1:22)&gt;COUNT(Dong6),"",OFFSET(TH!M$1,SMALL(Dong6,ROWS($1:22)),))</f>
        <v>1521</v>
      </c>
      <c r="H32" s="740">
        <f ca="1">IF(ROWS($1:22)&gt;COUNT(Dong6),"",OFFSET(TH!K$1,SMALL(Dong6,ROWS($1:22)),))</f>
        <v>2307162</v>
      </c>
      <c r="I32" s="740">
        <f ca="1">IF(ROWS($1:22)&gt;COUNT(Dong6),"",OFFSET(TH!K$1,SMALL(Dong6,ROWS($1:22)),))</f>
        <v>2307162</v>
      </c>
    </row>
    <row r="33" spans="1:9" s="900" customFormat="1" ht="21" customHeight="1">
      <c r="A33" s="908">
        <f ca="1">IF(ROWS($1:23)&gt;COUNT(Dong6),"",OFFSET(TH!C$1,SMALL(Dong6,ROWS($1:23)),))</f>
        <v>40733</v>
      </c>
      <c r="B33" s="909" t="str">
        <f ca="1">IF(ROWS($1:23)&gt;COUNT(Dong6),"",OFFSET(TH!D$1,SMALL(Dong6,ROWS($1:23)),))</f>
        <v>NL/X02</v>
      </c>
      <c r="C33" s="908">
        <f ca="1">IF(ROWS($1:23)&gt;COUNT(Dong6),"",OFFSET(TH!E$1,SMALL(Dong6,ROWS($1:23)),))</f>
        <v>40733</v>
      </c>
      <c r="D33" s="910" t="str">
        <f ca="1">IF(ROWS($1:23)&gt;COUNT(Dong6),"",OFFSET(TH!F$1,SMALL(Dong6,ROWS($1:23)),))</f>
        <v>Giấy tấm 2V+1X ( 1980x714)</v>
      </c>
      <c r="E33" s="909">
        <f t="shared" ca="1" si="0"/>
        <v>23</v>
      </c>
      <c r="F33" s="911" t="str">
        <f ca="1">IF(ROWS($1:23)&gt;COUNT(Dong6),"",OFFSET(TH!L$1,SMALL(Dong6,ROWS($1:23)),))</f>
        <v>154</v>
      </c>
      <c r="G33" s="911" t="str">
        <f ca="1">IF(ROWS($1:23)&gt;COUNT(Dong6),"",OFFSET(TH!M$1,SMALL(Dong6,ROWS($1:23)),))</f>
        <v>1521</v>
      </c>
      <c r="H33" s="740">
        <f ca="1">IF(ROWS($1:23)&gt;COUNT(Dong6),"",OFFSET(TH!K$1,SMALL(Dong6,ROWS($1:23)),))</f>
        <v>3233915</v>
      </c>
      <c r="I33" s="740">
        <f ca="1">IF(ROWS($1:23)&gt;COUNT(Dong6),"",OFFSET(TH!K$1,SMALL(Dong6,ROWS($1:23)),))</f>
        <v>3233915</v>
      </c>
    </row>
    <row r="34" spans="1:9" s="900" customFormat="1" ht="21" customHeight="1">
      <c r="A34" s="908">
        <f ca="1">IF(ROWS($1:24)&gt;COUNT(Dong6),"",OFFSET(TH!C$1,SMALL(Dong6,ROWS($1:24)),))</f>
        <v>40735</v>
      </c>
      <c r="B34" s="909" t="str">
        <f ca="1">IF(ROWS($1:24)&gt;COUNT(Dong6),"",OFFSET(TH!D$1,SMALL(Dong6,ROWS($1:24)),))</f>
        <v>GBC</v>
      </c>
      <c r="C34" s="908">
        <f ca="1">IF(ROWS($1:24)&gt;COUNT(Dong6),"",OFFSET(TH!E$1,SMALL(Dong6,ROWS($1:24)),))</f>
        <v>40735</v>
      </c>
      <c r="D34" s="910" t="str">
        <f ca="1">IF(ROWS($1:24)&gt;COUNT(Dong6),"",OFFSET(TH!F$1,SMALL(Dong6,ROWS($1:24)),))</f>
        <v>Thu tiền hàng</v>
      </c>
      <c r="E34" s="909">
        <f t="shared" ca="1" si="0"/>
        <v>24</v>
      </c>
      <c r="F34" s="911" t="str">
        <f ca="1">IF(ROWS($1:24)&gt;COUNT(Dong6),"",OFFSET(TH!L$1,SMALL(Dong6,ROWS($1:24)),))</f>
        <v>1121</v>
      </c>
      <c r="G34" s="911" t="str">
        <f ca="1">IF(ROWS($1:24)&gt;COUNT(Dong6),"",OFFSET(TH!M$1,SMALL(Dong6,ROWS($1:24)),))</f>
        <v>131</v>
      </c>
      <c r="H34" s="740">
        <f ca="1">IF(ROWS($1:24)&gt;COUNT(Dong6),"",OFFSET(TH!K$1,SMALL(Dong6,ROWS($1:24)),))</f>
        <v>109673711</v>
      </c>
      <c r="I34" s="740">
        <f ca="1">IF(ROWS($1:24)&gt;COUNT(Dong6),"",OFFSET(TH!K$1,SMALL(Dong6,ROWS($1:24)),))</f>
        <v>109673711</v>
      </c>
    </row>
    <row r="35" spans="1:9" s="900" customFormat="1" ht="21" customHeight="1">
      <c r="A35" s="908">
        <f ca="1">IF(ROWS($1:25)&gt;COUNT(Dong6),"",OFFSET(TH!C$1,SMALL(Dong6,ROWS($1:25)),))</f>
        <v>40736</v>
      </c>
      <c r="B35" s="909" t="str">
        <f ca="1">IF(ROWS($1:25)&gt;COUNT(Dong6),"",OFFSET(TH!D$1,SMALL(Dong6,ROWS($1:25)),))</f>
        <v>C02</v>
      </c>
      <c r="C35" s="908">
        <f ca="1">IF(ROWS($1:25)&gt;COUNT(Dong6),"",OFFSET(TH!E$1,SMALL(Dong6,ROWS($1:25)),))</f>
        <v>40736</v>
      </c>
      <c r="D35" s="910" t="str">
        <f ca="1">IF(ROWS($1:25)&gt;COUNT(Dong6),"",OFFSET(TH!F$1,SMALL(Dong6,ROWS($1:25)),))</f>
        <v>Nộp tiền mặt vào tài khoản</v>
      </c>
      <c r="E35" s="909">
        <f t="shared" ca="1" si="0"/>
        <v>25</v>
      </c>
      <c r="F35" s="911" t="str">
        <f ca="1">IF(ROWS($1:25)&gt;COUNT(Dong6),"",OFFSET(TH!L$1,SMALL(Dong6,ROWS($1:25)),))</f>
        <v>1121</v>
      </c>
      <c r="G35" s="911" t="str">
        <f ca="1">IF(ROWS($1:25)&gt;COUNT(Dong6),"",OFFSET(TH!M$1,SMALL(Dong6,ROWS($1:25)),))</f>
        <v>1111</v>
      </c>
      <c r="H35" s="740">
        <f ca="1">IF(ROWS($1:25)&gt;COUNT(Dong6),"",OFFSET(TH!K$1,SMALL(Dong6,ROWS($1:25)),))</f>
        <v>114504000</v>
      </c>
      <c r="I35" s="740">
        <f ca="1">IF(ROWS($1:25)&gt;COUNT(Dong6),"",OFFSET(TH!K$1,SMALL(Dong6,ROWS($1:25)),))</f>
        <v>114504000</v>
      </c>
    </row>
    <row r="36" spans="1:9" s="900" customFormat="1" ht="21" customHeight="1">
      <c r="A36" s="908">
        <f ca="1">IF(ROWS($1:26)&gt;COUNT(Dong6),"",OFFSET(TH!C$1,SMALL(Dong6,ROWS($1:26)),))</f>
        <v>40736</v>
      </c>
      <c r="B36" s="909" t="str">
        <f ca="1">IF(ROWS($1:26)&gt;COUNT(Dong6),"",OFFSET(TH!D$1,SMALL(Dong6,ROWS($1:26)),))</f>
        <v>GBN</v>
      </c>
      <c r="C36" s="908">
        <f ca="1">IF(ROWS($1:26)&gt;COUNT(Dong6),"",OFFSET(TH!E$1,SMALL(Dong6,ROWS($1:26)),))</f>
        <v>40736</v>
      </c>
      <c r="D36" s="910" t="str">
        <f ca="1">IF(ROWS($1:26)&gt;COUNT(Dong6),"",OFFSET(TH!F$1,SMALL(Dong6,ROWS($1:26)),))</f>
        <v>Thanh toán tiền hàng</v>
      </c>
      <c r="E36" s="909">
        <f t="shared" ca="1" si="0"/>
        <v>26</v>
      </c>
      <c r="F36" s="911" t="str">
        <f ca="1">IF(ROWS($1:26)&gt;COUNT(Dong6),"",OFFSET(TH!L$1,SMALL(Dong6,ROWS($1:26)),))</f>
        <v>331</v>
      </c>
      <c r="G36" s="911" t="str">
        <f ca="1">IF(ROWS($1:26)&gt;COUNT(Dong6),"",OFFSET(TH!M$1,SMALL(Dong6,ROWS($1:26)),))</f>
        <v>1121</v>
      </c>
      <c r="H36" s="740">
        <f ca="1">IF(ROWS($1:26)&gt;COUNT(Dong6),"",OFFSET(TH!K$1,SMALL(Dong6,ROWS($1:26)),))</f>
        <v>114504000</v>
      </c>
      <c r="I36" s="740">
        <f ca="1">IF(ROWS($1:26)&gt;COUNT(Dong6),"",OFFSET(TH!K$1,SMALL(Dong6,ROWS($1:26)),))</f>
        <v>114504000</v>
      </c>
    </row>
    <row r="37" spans="1:9" s="900" customFormat="1" ht="21" customHeight="1">
      <c r="A37" s="908">
        <f ca="1">IF(ROWS($1:27)&gt;COUNT(Dong6),"",OFFSET(TH!C$1,SMALL(Dong6,ROWS($1:27)),))</f>
        <v>40736</v>
      </c>
      <c r="B37" s="909" t="str">
        <f ca="1">IF(ROWS($1:27)&gt;COUNT(Dong6),"",OFFSET(TH!D$1,SMALL(Dong6,ROWS($1:27)),))</f>
        <v>GBN</v>
      </c>
      <c r="C37" s="908">
        <f ca="1">IF(ROWS($1:27)&gt;COUNT(Dong6),"",OFFSET(TH!E$1,SMALL(Dong6,ROWS($1:27)),))</f>
        <v>40736</v>
      </c>
      <c r="D37" s="910" t="str">
        <f ca="1">IF(ROWS($1:27)&gt;COUNT(Dong6),"",OFFSET(TH!F$1,SMALL(Dong6,ROWS($1:27)),))</f>
        <v>Thanh toán tiền hàng</v>
      </c>
      <c r="E37" s="909">
        <f t="shared" ca="1" si="0"/>
        <v>27</v>
      </c>
      <c r="F37" s="911" t="str">
        <f ca="1">IF(ROWS($1:27)&gt;COUNT(Dong6),"",OFFSET(TH!L$1,SMALL(Dong6,ROWS($1:27)),))</f>
        <v>331</v>
      </c>
      <c r="G37" s="911" t="str">
        <f ca="1">IF(ROWS($1:27)&gt;COUNT(Dong6),"",OFFSET(TH!M$1,SMALL(Dong6,ROWS($1:27)),))</f>
        <v>1121</v>
      </c>
      <c r="H37" s="740">
        <f ca="1">IF(ROWS($1:27)&gt;COUNT(Dong6),"",OFFSET(TH!K$1,SMALL(Dong6,ROWS($1:27)),))</f>
        <v>58400000</v>
      </c>
      <c r="I37" s="740">
        <f ca="1">IF(ROWS($1:27)&gt;COUNT(Dong6),"",OFFSET(TH!K$1,SMALL(Dong6,ROWS($1:27)),))</f>
        <v>58400000</v>
      </c>
    </row>
    <row r="38" spans="1:9" s="900" customFormat="1" ht="21" customHeight="1">
      <c r="A38" s="908">
        <f ca="1">IF(ROWS($1:28)&gt;COUNT(Dong6),"",OFFSET(TH!C$1,SMALL(Dong6,ROWS($1:28)),))</f>
        <v>40736</v>
      </c>
      <c r="B38" s="909" t="str">
        <f ca="1">IF(ROWS($1:28)&gt;COUNT(Dong6),"",OFFSET(TH!D$1,SMALL(Dong6,ROWS($1:28)),))</f>
        <v>GBN</v>
      </c>
      <c r="C38" s="908">
        <f ca="1">IF(ROWS($1:28)&gt;COUNT(Dong6),"",OFFSET(TH!E$1,SMALL(Dong6,ROWS($1:28)),))</f>
        <v>40736</v>
      </c>
      <c r="D38" s="910" t="str">
        <f ca="1">IF(ROWS($1:28)&gt;COUNT(Dong6),"",OFFSET(TH!F$1,SMALL(Dong6,ROWS($1:28)),))</f>
        <v>Phí KD</v>
      </c>
      <c r="E38" s="909">
        <f t="shared" ca="1" si="0"/>
        <v>28</v>
      </c>
      <c r="F38" s="911" t="str">
        <f ca="1">IF(ROWS($1:28)&gt;COUNT(Dong6),"",OFFSET(TH!L$1,SMALL(Dong6,ROWS($1:28)),))</f>
        <v>642</v>
      </c>
      <c r="G38" s="911" t="str">
        <f ca="1">IF(ROWS($1:28)&gt;COUNT(Dong6),"",OFFSET(TH!M$1,SMALL(Dong6,ROWS($1:28)),))</f>
        <v>1121</v>
      </c>
      <c r="H38" s="740">
        <f ca="1">IF(ROWS($1:28)&gt;COUNT(Dong6),"",OFFSET(TH!K$1,SMALL(Dong6,ROWS($1:28)),))</f>
        <v>18478</v>
      </c>
      <c r="I38" s="740">
        <f ca="1">IF(ROWS($1:28)&gt;COUNT(Dong6),"",OFFSET(TH!K$1,SMALL(Dong6,ROWS($1:28)),))</f>
        <v>18478</v>
      </c>
    </row>
    <row r="39" spans="1:9" s="900" customFormat="1" ht="21" customHeight="1">
      <c r="A39" s="908">
        <f ca="1">IF(ROWS($1:29)&gt;COUNT(Dong6),"",OFFSET(TH!C$1,SMALL(Dong6,ROWS($1:29)),))</f>
        <v>40736</v>
      </c>
      <c r="B39" s="909" t="str">
        <f ca="1">IF(ROWS($1:29)&gt;COUNT(Dong6),"",OFFSET(TH!D$1,SMALL(Dong6,ROWS($1:29)),))</f>
        <v>GBN</v>
      </c>
      <c r="C39" s="908">
        <f ca="1">IF(ROWS($1:29)&gt;COUNT(Dong6),"",OFFSET(TH!E$1,SMALL(Dong6,ROWS($1:29)),))</f>
        <v>40736</v>
      </c>
      <c r="D39" s="910" t="str">
        <f ca="1">IF(ROWS($1:29)&gt;COUNT(Dong6),"",OFFSET(TH!F$1,SMALL(Dong6,ROWS($1:29)),))</f>
        <v>Phí chuyển tiền</v>
      </c>
      <c r="E39" s="909">
        <f t="shared" ca="1" si="0"/>
        <v>29</v>
      </c>
      <c r="F39" s="911" t="str">
        <f ca="1">IF(ROWS($1:29)&gt;COUNT(Dong6),"",OFFSET(TH!L$1,SMALL(Dong6,ROWS($1:29)),))</f>
        <v>642</v>
      </c>
      <c r="G39" s="911" t="str">
        <f ca="1">IF(ROWS($1:29)&gt;COUNT(Dong6),"",OFFSET(TH!M$1,SMALL(Dong6,ROWS($1:29)),))</f>
        <v>1121</v>
      </c>
      <c r="H39" s="740">
        <f ca="1">IF(ROWS($1:29)&gt;COUNT(Dong6),"",OFFSET(TH!K$1,SMALL(Dong6,ROWS($1:29)),))</f>
        <v>10000</v>
      </c>
      <c r="I39" s="740">
        <f ca="1">IF(ROWS($1:29)&gt;COUNT(Dong6),"",OFFSET(TH!K$1,SMALL(Dong6,ROWS($1:29)),))</f>
        <v>10000</v>
      </c>
    </row>
    <row r="40" spans="1:9" s="900" customFormat="1" ht="21" customHeight="1">
      <c r="A40" s="908">
        <f ca="1">IF(ROWS($1:30)&gt;COUNT(Dong6),"",OFFSET(TH!C$1,SMALL(Dong6,ROWS($1:30)),))</f>
        <v>40737</v>
      </c>
      <c r="B40" s="909" t="str">
        <f ca="1">IF(ROWS($1:30)&gt;COUNT(Dong6),"",OFFSET(TH!D$1,SMALL(Dong6,ROWS($1:30)),))</f>
        <v>GBC</v>
      </c>
      <c r="C40" s="908">
        <f ca="1">IF(ROWS($1:30)&gt;COUNT(Dong6),"",OFFSET(TH!E$1,SMALL(Dong6,ROWS($1:30)),))</f>
        <v>40737</v>
      </c>
      <c r="D40" s="910" t="str">
        <f ca="1">IF(ROWS($1:30)&gt;COUNT(Dong6),"",OFFSET(TH!F$1,SMALL(Dong6,ROWS($1:30)),))</f>
        <v>Thu tiền hàng</v>
      </c>
      <c r="E40" s="909">
        <f t="shared" ca="1" si="0"/>
        <v>30</v>
      </c>
      <c r="F40" s="911" t="str">
        <f ca="1">IF(ROWS($1:30)&gt;COUNT(Dong6),"",OFFSET(TH!L$1,SMALL(Dong6,ROWS($1:30)),))</f>
        <v>1121</v>
      </c>
      <c r="G40" s="911" t="str">
        <f ca="1">IF(ROWS($1:30)&gt;COUNT(Dong6),"",OFFSET(TH!M$1,SMALL(Dong6,ROWS($1:30)),))</f>
        <v>131</v>
      </c>
      <c r="H40" s="740">
        <f ca="1">IF(ROWS($1:30)&gt;COUNT(Dong6),"",OFFSET(TH!K$1,SMALL(Dong6,ROWS($1:30)),))</f>
        <v>14691258</v>
      </c>
      <c r="I40" s="740">
        <f ca="1">IF(ROWS($1:30)&gt;COUNT(Dong6),"",OFFSET(TH!K$1,SMALL(Dong6,ROWS($1:30)),))</f>
        <v>14691258</v>
      </c>
    </row>
    <row r="41" spans="1:9" s="900" customFormat="1" ht="21" customHeight="1">
      <c r="A41" s="908">
        <f ca="1">IF(ROWS($1:31)&gt;COUNT(Dong6),"",OFFSET(TH!C$1,SMALL(Dong6,ROWS($1:31)),))</f>
        <v>40737</v>
      </c>
      <c r="B41" s="909" t="str">
        <f ca="1">IF(ROWS($1:31)&gt;COUNT(Dong6),"",OFFSET(TH!D$1,SMALL(Dong6,ROWS($1:31)),))</f>
        <v>NL/X03</v>
      </c>
      <c r="C41" s="908">
        <f ca="1">IF(ROWS($1:31)&gt;COUNT(Dong6),"",OFFSET(TH!E$1,SMALL(Dong6,ROWS($1:31)),))</f>
        <v>40737</v>
      </c>
      <c r="D41" s="910" t="str">
        <f ca="1">IF(ROWS($1:31)&gt;COUNT(Dong6),"",OFFSET(TH!F$1,SMALL(Dong6,ROWS($1:31)),))</f>
        <v>Giấy tấm 2V+3X ( 1490x634)</v>
      </c>
      <c r="E41" s="909">
        <f t="shared" ref="E41:E50" ca="1" si="1">IF(D41&lt;&gt;"",ROW()-10,"")</f>
        <v>31</v>
      </c>
      <c r="F41" s="911" t="str">
        <f ca="1">IF(ROWS($1:31)&gt;COUNT(Dong6),"",OFFSET(TH!L$1,SMALL(Dong6,ROWS($1:31)),))</f>
        <v>154</v>
      </c>
      <c r="G41" s="911" t="str">
        <f ca="1">IF(ROWS($1:31)&gt;COUNT(Dong6),"",OFFSET(TH!M$1,SMALL(Dong6,ROWS($1:31)),))</f>
        <v>1521</v>
      </c>
      <c r="H41" s="740">
        <f ca="1">IF(ROWS($1:31)&gt;COUNT(Dong6),"",OFFSET(TH!K$1,SMALL(Dong6,ROWS($1:31)),))</f>
        <v>848208</v>
      </c>
      <c r="I41" s="740">
        <f ca="1">IF(ROWS($1:31)&gt;COUNT(Dong6),"",OFFSET(TH!K$1,SMALL(Dong6,ROWS($1:31)),))</f>
        <v>848208</v>
      </c>
    </row>
    <row r="42" spans="1:9" s="900" customFormat="1" ht="21" customHeight="1">
      <c r="A42" s="908">
        <f ca="1">IF(ROWS($1:32)&gt;COUNT(Dong6),"",OFFSET(TH!C$1,SMALL(Dong6,ROWS($1:32)),))</f>
        <v>40737</v>
      </c>
      <c r="B42" s="909" t="str">
        <f ca="1">IF(ROWS($1:32)&gt;COUNT(Dong6),"",OFFSET(TH!D$1,SMALL(Dong6,ROWS($1:32)),))</f>
        <v>NL/X03</v>
      </c>
      <c r="C42" s="908">
        <f ca="1">IF(ROWS($1:32)&gt;COUNT(Dong6),"",OFFSET(TH!E$1,SMALL(Dong6,ROWS($1:32)),))</f>
        <v>40737</v>
      </c>
      <c r="D42" s="910" t="str">
        <f ca="1">IF(ROWS($1:32)&gt;COUNT(Dong6),"",OFFSET(TH!F$1,SMALL(Dong6,ROWS($1:32)),))</f>
        <v>Giấy tấm 2V+3X ( 1490x634)</v>
      </c>
      <c r="E42" s="909">
        <f t="shared" ca="1" si="1"/>
        <v>32</v>
      </c>
      <c r="F42" s="911" t="str">
        <f ca="1">IF(ROWS($1:32)&gt;COUNT(Dong6),"",OFFSET(TH!L$1,SMALL(Dong6,ROWS($1:32)),))</f>
        <v>154</v>
      </c>
      <c r="G42" s="911" t="str">
        <f ca="1">IF(ROWS($1:32)&gt;COUNT(Dong6),"",OFFSET(TH!M$1,SMALL(Dong6,ROWS($1:32)),))</f>
        <v>1521</v>
      </c>
      <c r="H42" s="740">
        <f ca="1">IF(ROWS($1:32)&gt;COUNT(Dong6),"",OFFSET(TH!K$1,SMALL(Dong6,ROWS($1:32)),))</f>
        <v>5172</v>
      </c>
      <c r="I42" s="740">
        <f ca="1">IF(ROWS($1:32)&gt;COUNT(Dong6),"",OFFSET(TH!K$1,SMALL(Dong6,ROWS($1:32)),))</f>
        <v>5172</v>
      </c>
    </row>
    <row r="43" spans="1:9" s="900" customFormat="1" ht="21" customHeight="1">
      <c r="A43" s="908">
        <f ca="1">IF(ROWS($1:33)&gt;COUNT(Dong6),"",OFFSET(TH!C$1,SMALL(Dong6,ROWS($1:33)),))</f>
        <v>40737</v>
      </c>
      <c r="B43" s="909" t="str">
        <f ca="1">IF(ROWS($1:33)&gt;COUNT(Dong6),"",OFFSET(TH!D$1,SMALL(Dong6,ROWS($1:33)),))</f>
        <v>NL/X03</v>
      </c>
      <c r="C43" s="908">
        <f ca="1">IF(ROWS($1:33)&gt;COUNT(Dong6),"",OFFSET(TH!E$1,SMALL(Dong6,ROWS($1:33)),))</f>
        <v>40737</v>
      </c>
      <c r="D43" s="910" t="str">
        <f ca="1">IF(ROWS($1:33)&gt;COUNT(Dong6),"",OFFSET(TH!F$1,SMALL(Dong6,ROWS($1:33)),))</f>
        <v>Giấy tấm 1V+2X ( 1460x444)</v>
      </c>
      <c r="E43" s="909">
        <f t="shared" ca="1" si="1"/>
        <v>33</v>
      </c>
      <c r="F43" s="911" t="str">
        <f ca="1">IF(ROWS($1:33)&gt;COUNT(Dong6),"",OFFSET(TH!L$1,SMALL(Dong6,ROWS($1:33)),))</f>
        <v>154</v>
      </c>
      <c r="G43" s="911" t="str">
        <f ca="1">IF(ROWS($1:33)&gt;COUNT(Dong6),"",OFFSET(TH!M$1,SMALL(Dong6,ROWS($1:33)),))</f>
        <v>1521</v>
      </c>
      <c r="H43" s="740">
        <f ca="1">IF(ROWS($1:33)&gt;COUNT(Dong6),"",OFFSET(TH!K$1,SMALL(Dong6,ROWS($1:33)),))</f>
        <v>2225</v>
      </c>
      <c r="I43" s="740">
        <f ca="1">IF(ROWS($1:33)&gt;COUNT(Dong6),"",OFFSET(TH!K$1,SMALL(Dong6,ROWS($1:33)),))</f>
        <v>2225</v>
      </c>
    </row>
    <row r="44" spans="1:9" s="900" customFormat="1" ht="21" customHeight="1">
      <c r="A44" s="908">
        <f ca="1">IF(ROWS($1:34)&gt;COUNT(Dong6),"",OFFSET(TH!C$1,SMALL(Dong6,ROWS($1:34)),))</f>
        <v>40737</v>
      </c>
      <c r="B44" s="909" t="str">
        <f ca="1">IF(ROWS($1:34)&gt;COUNT(Dong6),"",OFFSET(TH!D$1,SMALL(Dong6,ROWS($1:34)),))</f>
        <v>NL/X03</v>
      </c>
      <c r="C44" s="908">
        <f ca="1">IF(ROWS($1:34)&gt;COUNT(Dong6),"",OFFSET(TH!E$1,SMALL(Dong6,ROWS($1:34)),))</f>
        <v>40737</v>
      </c>
      <c r="D44" s="910" t="str">
        <f ca="1">IF(ROWS($1:34)&gt;COUNT(Dong6),"",OFFSET(TH!F$1,SMALL(Dong6,ROWS($1:34)),))</f>
        <v>Giấy tấm 1V+2X ( 1460x444)</v>
      </c>
      <c r="E44" s="909">
        <f t="shared" ca="1" si="1"/>
        <v>34</v>
      </c>
      <c r="F44" s="911" t="str">
        <f ca="1">IF(ROWS($1:34)&gt;COUNT(Dong6),"",OFFSET(TH!L$1,SMALL(Dong6,ROWS($1:34)),))</f>
        <v>154</v>
      </c>
      <c r="G44" s="911" t="str">
        <f ca="1">IF(ROWS($1:34)&gt;COUNT(Dong6),"",OFFSET(TH!M$1,SMALL(Dong6,ROWS($1:34)),))</f>
        <v>1521</v>
      </c>
      <c r="H44" s="740">
        <f ca="1">IF(ROWS($1:34)&gt;COUNT(Dong6),"",OFFSET(TH!K$1,SMALL(Dong6,ROWS($1:34)),))</f>
        <v>4449</v>
      </c>
      <c r="I44" s="740">
        <f ca="1">IF(ROWS($1:34)&gt;COUNT(Dong6),"",OFFSET(TH!K$1,SMALL(Dong6,ROWS($1:34)),))</f>
        <v>4449</v>
      </c>
    </row>
    <row r="45" spans="1:9" s="900" customFormat="1" ht="21" customHeight="1">
      <c r="A45" s="908">
        <f ca="1">IF(ROWS($1:35)&gt;COUNT(Dong6),"",OFFSET(TH!C$1,SMALL(Dong6,ROWS($1:35)),))</f>
        <v>40737</v>
      </c>
      <c r="B45" s="909" t="str">
        <f ca="1">IF(ROWS($1:35)&gt;COUNT(Dong6),"",OFFSET(TH!D$1,SMALL(Dong6,ROWS($1:35)),))</f>
        <v>NL/X03</v>
      </c>
      <c r="C45" s="908">
        <f ca="1">IF(ROWS($1:35)&gt;COUNT(Dong6),"",OFFSET(TH!E$1,SMALL(Dong6,ROWS($1:35)),))</f>
        <v>40737</v>
      </c>
      <c r="D45" s="910" t="str">
        <f ca="1">IF(ROWS($1:35)&gt;COUNT(Dong6),"",OFFSET(TH!F$1,SMALL(Dong6,ROWS($1:35)),))</f>
        <v>Giấy tấm ND+2X.150 ( 163x115)</v>
      </c>
      <c r="E45" s="909">
        <f t="shared" ca="1" si="1"/>
        <v>35</v>
      </c>
      <c r="F45" s="911" t="str">
        <f ca="1">IF(ROWS($1:35)&gt;COUNT(Dong6),"",OFFSET(TH!L$1,SMALL(Dong6,ROWS($1:35)),))</f>
        <v>154</v>
      </c>
      <c r="G45" s="911" t="str">
        <f ca="1">IF(ROWS($1:35)&gt;COUNT(Dong6),"",OFFSET(TH!M$1,SMALL(Dong6,ROWS($1:35)),))</f>
        <v>1521</v>
      </c>
      <c r="H45" s="740">
        <f ca="1">IF(ROWS($1:35)&gt;COUNT(Dong6),"",OFFSET(TH!K$1,SMALL(Dong6,ROWS($1:35)),))</f>
        <v>33741</v>
      </c>
      <c r="I45" s="740">
        <f ca="1">IF(ROWS($1:35)&gt;COUNT(Dong6),"",OFFSET(TH!K$1,SMALL(Dong6,ROWS($1:35)),))</f>
        <v>33741</v>
      </c>
    </row>
    <row r="46" spans="1:9" s="900" customFormat="1" ht="21" customHeight="1">
      <c r="A46" s="908">
        <f ca="1">IF(ROWS($1:36)&gt;COUNT(Dong6),"",OFFSET(TH!C$1,SMALL(Dong6,ROWS($1:36)),))</f>
        <v>40737</v>
      </c>
      <c r="B46" s="909" t="str">
        <f ca="1">IF(ROWS($1:36)&gt;COUNT(Dong6),"",OFFSET(TH!D$1,SMALL(Dong6,ROWS($1:36)),))</f>
        <v>NL/X03</v>
      </c>
      <c r="C46" s="908">
        <f ca="1">IF(ROWS($1:36)&gt;COUNT(Dong6),"",OFFSET(TH!E$1,SMALL(Dong6,ROWS($1:36)),))</f>
        <v>40737</v>
      </c>
      <c r="D46" s="910" t="str">
        <f ca="1">IF(ROWS($1:36)&gt;COUNT(Dong6),"",OFFSET(TH!F$1,SMALL(Dong6,ROWS($1:36)),))</f>
        <v>Giấy tấm 1V+2X ( 1460x444)</v>
      </c>
      <c r="E46" s="909">
        <f t="shared" ca="1" si="1"/>
        <v>36</v>
      </c>
      <c r="F46" s="911" t="str">
        <f ca="1">IF(ROWS($1:36)&gt;COUNT(Dong6),"",OFFSET(TH!L$1,SMALL(Dong6,ROWS($1:36)),))</f>
        <v>154</v>
      </c>
      <c r="G46" s="911" t="str">
        <f ca="1">IF(ROWS($1:36)&gt;COUNT(Dong6),"",OFFSET(TH!M$1,SMALL(Dong6,ROWS($1:36)),))</f>
        <v>1521</v>
      </c>
      <c r="H46" s="740">
        <f ca="1">IF(ROWS($1:36)&gt;COUNT(Dong6),"",OFFSET(TH!K$1,SMALL(Dong6,ROWS($1:36)),))</f>
        <v>4449</v>
      </c>
      <c r="I46" s="740">
        <f ca="1">IF(ROWS($1:36)&gt;COUNT(Dong6),"",OFFSET(TH!K$1,SMALL(Dong6,ROWS($1:36)),))</f>
        <v>4449</v>
      </c>
    </row>
    <row r="47" spans="1:9" s="900" customFormat="1" ht="21" customHeight="1">
      <c r="A47" s="908">
        <f ca="1">IF(ROWS($1:37)&gt;COUNT(Dong6),"",OFFSET(TH!C$1,SMALL(Dong6,ROWS($1:37)),))</f>
        <v>40737</v>
      </c>
      <c r="B47" s="909" t="str">
        <f ca="1">IF(ROWS($1:37)&gt;COUNT(Dong6),"",OFFSET(TH!D$1,SMALL(Dong6,ROWS($1:37)),))</f>
        <v>NL/X03</v>
      </c>
      <c r="C47" s="908">
        <f ca="1">IF(ROWS($1:37)&gt;COUNT(Dong6),"",OFFSET(TH!E$1,SMALL(Dong6,ROWS($1:37)),))</f>
        <v>40737</v>
      </c>
      <c r="D47" s="910" t="str">
        <f ca="1">IF(ROWS($1:37)&gt;COUNT(Dong6),"",OFFSET(TH!F$1,SMALL(Dong6,ROWS($1:37)),))</f>
        <v>Giấy tấm 1V+2X ( 1540x542)</v>
      </c>
      <c r="E47" s="909">
        <f t="shared" ca="1" si="1"/>
        <v>37</v>
      </c>
      <c r="F47" s="911" t="str">
        <f ca="1">IF(ROWS($1:37)&gt;COUNT(Dong6),"",OFFSET(TH!L$1,SMALL(Dong6,ROWS($1:37)),))</f>
        <v>154</v>
      </c>
      <c r="G47" s="911" t="str">
        <f ca="1">IF(ROWS($1:37)&gt;COUNT(Dong6),"",OFFSET(TH!M$1,SMALL(Dong6,ROWS($1:37)),))</f>
        <v>1521</v>
      </c>
      <c r="H47" s="740">
        <f ca="1">IF(ROWS($1:37)&gt;COUNT(Dong6),"",OFFSET(TH!K$1,SMALL(Dong6,ROWS($1:37)),))</f>
        <v>18078</v>
      </c>
      <c r="I47" s="740">
        <f ca="1">IF(ROWS($1:37)&gt;COUNT(Dong6),"",OFFSET(TH!K$1,SMALL(Dong6,ROWS($1:37)),))</f>
        <v>18078</v>
      </c>
    </row>
    <row r="48" spans="1:9" s="900" customFormat="1" ht="21" customHeight="1">
      <c r="A48" s="908">
        <f ca="1">IF(ROWS($1:38)&gt;COUNT(Dong6),"",OFFSET(TH!C$1,SMALL(Dong6,ROWS($1:38)),))</f>
        <v>40737</v>
      </c>
      <c r="B48" s="909" t="str">
        <f ca="1">IF(ROWS($1:38)&gt;COUNT(Dong6),"",OFFSET(TH!D$1,SMALL(Dong6,ROWS($1:38)),))</f>
        <v>NL/X03</v>
      </c>
      <c r="C48" s="908">
        <f ca="1">IF(ROWS($1:38)&gt;COUNT(Dong6),"",OFFSET(TH!E$1,SMALL(Dong6,ROWS($1:38)),))</f>
        <v>40737</v>
      </c>
      <c r="D48" s="910" t="str">
        <f ca="1">IF(ROWS($1:38)&gt;COUNT(Dong6),"",OFFSET(TH!F$1,SMALL(Dong6,ROWS($1:38)),))</f>
        <v>Giấy carton 7L ( 85x110)</v>
      </c>
      <c r="E48" s="909">
        <f t="shared" ca="1" si="1"/>
        <v>38</v>
      </c>
      <c r="F48" s="911" t="str">
        <f ca="1">IF(ROWS($1:38)&gt;COUNT(Dong6),"",OFFSET(TH!L$1,SMALL(Dong6,ROWS($1:38)),))</f>
        <v>154</v>
      </c>
      <c r="G48" s="911" t="str">
        <f ca="1">IF(ROWS($1:38)&gt;COUNT(Dong6),"",OFFSET(TH!M$1,SMALL(Dong6,ROWS($1:38)),))</f>
        <v>1521</v>
      </c>
      <c r="H48" s="740">
        <f ca="1">IF(ROWS($1:38)&gt;COUNT(Dong6),"",OFFSET(TH!K$1,SMALL(Dong6,ROWS($1:38)),))</f>
        <v>78540</v>
      </c>
      <c r="I48" s="740">
        <f ca="1">IF(ROWS($1:38)&gt;COUNT(Dong6),"",OFFSET(TH!K$1,SMALL(Dong6,ROWS($1:38)),))</f>
        <v>78540</v>
      </c>
    </row>
    <row r="49" spans="1:10" s="900" customFormat="1" ht="21" customHeight="1">
      <c r="A49" s="908">
        <f ca="1">IF(ROWS($1:39)&gt;COUNT(Dong6),"",OFFSET(TH!C$1,SMALL(Dong6,ROWS($1:39)),))</f>
        <v>40738</v>
      </c>
      <c r="B49" s="909" t="str">
        <f ca="1">IF(ROWS($1:39)&gt;COUNT(Dong6),"",OFFSET(TH!D$1,SMALL(Dong6,ROWS($1:39)),))</f>
        <v>C03</v>
      </c>
      <c r="C49" s="908">
        <f ca="1">IF(ROWS($1:39)&gt;COUNT(Dong6),"",OFFSET(TH!E$1,SMALL(Dong6,ROWS($1:39)),))</f>
        <v>40738</v>
      </c>
      <c r="D49" s="910" t="str">
        <f ca="1">IF(ROWS($1:39)&gt;COUNT(Dong6),"",OFFSET(TH!F$1,SMALL(Dong6,ROWS($1:39)),))</f>
        <v>Hộp mực in</v>
      </c>
      <c r="E49" s="909">
        <f t="shared" ca="1" si="1"/>
        <v>39</v>
      </c>
      <c r="F49" s="911" t="str">
        <f ca="1">IF(ROWS($1:39)&gt;COUNT(Dong6),"",OFFSET(TH!L$1,SMALL(Dong6,ROWS($1:39)),))</f>
        <v>154</v>
      </c>
      <c r="G49" s="911" t="str">
        <f ca="1">IF(ROWS($1:39)&gt;COUNT(Dong6),"",OFFSET(TH!M$1,SMALL(Dong6,ROWS($1:39)),))</f>
        <v>1111</v>
      </c>
      <c r="H49" s="740">
        <f ca="1">IF(ROWS($1:39)&gt;COUNT(Dong6),"",OFFSET(TH!K$1,SMALL(Dong6,ROWS($1:39)),))</f>
        <v>1090909</v>
      </c>
      <c r="I49" s="740">
        <f ca="1">IF(ROWS($1:39)&gt;COUNT(Dong6),"",OFFSET(TH!K$1,SMALL(Dong6,ROWS($1:39)),))</f>
        <v>1090909</v>
      </c>
    </row>
    <row r="50" spans="1:10" s="900" customFormat="1" ht="21" customHeight="1">
      <c r="A50" s="908">
        <f ca="1">IF(ROWS($1:40)&gt;COUNT(Dong6),"",OFFSET(TH!C$1,SMALL(Dong6,ROWS($1:40)),))</f>
        <v>40738</v>
      </c>
      <c r="B50" s="909" t="str">
        <f ca="1">IF(ROWS($1:40)&gt;COUNT(Dong6),"",OFFSET(TH!D$1,SMALL(Dong6,ROWS($1:40)),))</f>
        <v>C03</v>
      </c>
      <c r="C50" s="908">
        <f ca="1">IF(ROWS($1:40)&gt;COUNT(Dong6),"",OFFSET(TH!E$1,SMALL(Dong6,ROWS($1:40)),))</f>
        <v>40738</v>
      </c>
      <c r="D50" s="910" t="str">
        <f ca="1">IF(ROWS($1:40)&gt;COUNT(Dong6),"",OFFSET(TH!F$1,SMALL(Dong6,ROWS($1:40)),))</f>
        <v>VAT Hộp mực in</v>
      </c>
      <c r="E50" s="909">
        <f t="shared" ca="1" si="1"/>
        <v>40</v>
      </c>
      <c r="F50" s="911" t="str">
        <f ca="1">IF(ROWS($1:40)&gt;COUNT(Dong6),"",OFFSET(TH!L$1,SMALL(Dong6,ROWS($1:40)),))</f>
        <v>1331</v>
      </c>
      <c r="G50" s="911" t="str">
        <f ca="1">IF(ROWS($1:40)&gt;COUNT(Dong6),"",OFFSET(TH!M$1,SMALL(Dong6,ROWS($1:40)),))</f>
        <v>1111</v>
      </c>
      <c r="H50" s="740">
        <f ca="1">IF(ROWS($1:40)&gt;COUNT(Dong6),"",OFFSET(TH!K$1,SMALL(Dong6,ROWS($1:40)),))</f>
        <v>109091</v>
      </c>
      <c r="I50" s="740">
        <f ca="1">IF(ROWS($1:40)&gt;COUNT(Dong6),"",OFFSET(TH!K$1,SMALL(Dong6,ROWS($1:40)),))</f>
        <v>109091</v>
      </c>
    </row>
    <row r="51" spans="1:10" s="900" customFormat="1" ht="21" customHeight="1">
      <c r="A51" s="908"/>
      <c r="B51" s="909"/>
      <c r="C51" s="908"/>
      <c r="D51" s="910"/>
      <c r="E51" s="909"/>
      <c r="F51" s="911"/>
      <c r="G51" s="911"/>
      <c r="H51" s="740"/>
      <c r="I51" s="740"/>
    </row>
    <row r="52" spans="1:10" s="900" customFormat="1" ht="21" customHeight="1">
      <c r="A52" s="912"/>
      <c r="B52" s="912"/>
      <c r="C52" s="912"/>
      <c r="D52" s="913" t="s">
        <v>356</v>
      </c>
      <c r="E52" s="914" t="s">
        <v>18</v>
      </c>
      <c r="F52" s="914"/>
      <c r="G52" s="914" t="s">
        <v>18</v>
      </c>
      <c r="H52" s="915">
        <f ca="1">SUBTOTAL(9,$H$10:$H$51)</f>
        <v>5983655662</v>
      </c>
      <c r="I52" s="915">
        <f ca="1">SUBTOTAL(9,I10:I51)</f>
        <v>5983655662</v>
      </c>
    </row>
    <row r="53" spans="1:10" s="900" customFormat="1" ht="15">
      <c r="A53" s="916" t="s">
        <v>1442</v>
      </c>
    </row>
    <row r="54" spans="1:10" s="900" customFormat="1" ht="15">
      <c r="A54" s="916" t="str">
        <f ca="1">"- Ngày mở sổ: "&amp;DAY($A$11)&amp;"/"&amp;MONTH($A$11)&amp;"/ " &amp;YEAR($A$11)</f>
        <v>- Ngày mở sổ: 1/7/ 2011</v>
      </c>
    </row>
    <row r="55" spans="1:10" s="900" customFormat="1" ht="15">
      <c r="H55" s="136" t="str">
        <f ca="1">"Ngày "&amp;IF(OR($L$11=4,$L$11=6,$L$11=9,$L$11=11),"30",IF($L$11=2,"28","31"))&amp;" tháng "&amp;$N$8&amp;"  năm  "&amp;YEAR($A$14)</f>
        <v>Ngày 31 tháng 9  năm  2011</v>
      </c>
      <c r="I55" s="917"/>
      <c r="J55" s="917"/>
    </row>
    <row r="56" spans="1:10" s="900" customFormat="1" ht="15">
      <c r="B56" s="917" t="s">
        <v>353</v>
      </c>
      <c r="D56" s="917" t="s">
        <v>12</v>
      </c>
      <c r="H56" s="917" t="s">
        <v>354</v>
      </c>
      <c r="I56" s="917"/>
      <c r="J56" s="917"/>
    </row>
    <row r="57" spans="1:10" s="900" customFormat="1" ht="15">
      <c r="B57" s="917" t="s">
        <v>13</v>
      </c>
      <c r="D57" s="917" t="s">
        <v>13</v>
      </c>
      <c r="H57" s="917" t="s">
        <v>128</v>
      </c>
      <c r="I57" s="917"/>
      <c r="J57" s="917"/>
    </row>
    <row r="58" spans="1:10" s="900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1" t="s">
        <v>137</v>
      </c>
      <c r="H2" s="971"/>
      <c r="I2" s="971"/>
    </row>
    <row r="3" spans="1:9" ht="15.75" customHeight="1">
      <c r="A3" s="1" t="str">
        <f>TH!A2</f>
        <v>Địa chỉ: 1A227/1 Ấp 1, Phạm Văn Hai, Bình Chánh, TPHCM</v>
      </c>
      <c r="G3" s="972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72"/>
      <c r="I3" s="972"/>
    </row>
    <row r="4" spans="1:9">
      <c r="F4" s="17"/>
      <c r="G4" s="972"/>
      <c r="H4" s="972"/>
      <c r="I4" s="972"/>
    </row>
    <row r="5" spans="1:9" ht="17.25" customHeight="1">
      <c r="A5" s="973" t="s">
        <v>138</v>
      </c>
      <c r="B5" s="973"/>
      <c r="C5" s="973"/>
      <c r="D5" s="973"/>
      <c r="E5" s="973"/>
      <c r="F5" s="973"/>
      <c r="G5" s="973"/>
      <c r="H5" s="973"/>
      <c r="I5" s="973"/>
    </row>
    <row r="6" spans="1:9">
      <c r="A6" s="974" t="s">
        <v>139</v>
      </c>
      <c r="B6" s="975"/>
      <c r="C6" s="975"/>
      <c r="D6" s="975"/>
      <c r="E6" s="975"/>
      <c r="F6" s="975"/>
      <c r="G6" s="975"/>
      <c r="H6" s="975"/>
      <c r="I6" s="975"/>
    </row>
    <row r="7" spans="1:9">
      <c r="B7" s="5"/>
      <c r="C7" s="5"/>
      <c r="D7" s="185" t="s">
        <v>140</v>
      </c>
      <c r="E7" s="186" t="s">
        <v>75</v>
      </c>
    </row>
    <row r="8" spans="1:9">
      <c r="B8" s="5"/>
      <c r="C8" s="5"/>
      <c r="D8" s="185" t="s">
        <v>141</v>
      </c>
      <c r="E8" s="5" t="str">
        <f>VLOOKUP($E$7,DSTK,2,0)</f>
        <v xml:space="preserve"> Chi phí quản lý doanh nghiệp </v>
      </c>
    </row>
    <row r="9" spans="1:9">
      <c r="A9" s="975" t="s">
        <v>28</v>
      </c>
      <c r="B9" s="976"/>
      <c r="C9" s="976"/>
      <c r="D9" s="976"/>
      <c r="E9" s="976"/>
      <c r="F9" s="976"/>
      <c r="G9" s="976"/>
      <c r="H9" s="976"/>
      <c r="I9" s="976"/>
    </row>
    <row r="10" spans="1:9" ht="9.75" customHeight="1">
      <c r="C10" s="977"/>
      <c r="D10" s="978"/>
      <c r="E10" s="978"/>
      <c r="F10" s="978"/>
      <c r="G10" s="978"/>
      <c r="H10" s="978"/>
      <c r="I10" s="978"/>
    </row>
    <row r="11" spans="1:9" s="18" customFormat="1" ht="19.5" customHeight="1">
      <c r="A11" s="979" t="s">
        <v>19</v>
      </c>
      <c r="B11" s="969" t="s">
        <v>1</v>
      </c>
      <c r="C11" s="980"/>
      <c r="D11" s="979" t="s">
        <v>0</v>
      </c>
      <c r="E11" s="979" t="s">
        <v>14</v>
      </c>
      <c r="F11" s="969" t="s">
        <v>20</v>
      </c>
      <c r="G11" s="980"/>
      <c r="H11" s="969" t="s">
        <v>30</v>
      </c>
      <c r="I11" s="970"/>
    </row>
    <row r="12" spans="1:9" s="18" customFormat="1" ht="32.25" customHeight="1">
      <c r="A12" s="979"/>
      <c r="B12" s="242" t="s">
        <v>15</v>
      </c>
      <c r="C12" s="242" t="s">
        <v>31</v>
      </c>
      <c r="D12" s="979"/>
      <c r="E12" s="979"/>
      <c r="F12" s="242" t="s">
        <v>21</v>
      </c>
      <c r="G12" s="242" t="s">
        <v>22</v>
      </c>
      <c r="H12" s="242" t="s">
        <v>21</v>
      </c>
      <c r="I12" s="242" t="s">
        <v>22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40908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40908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68192198</v>
      </c>
      <c r="H15" s="247">
        <f ca="1">IF(D15&lt;&gt;"",MAX(H14+F15-G15-I14,0),0)</f>
        <v>0</v>
      </c>
      <c r="I15" s="247">
        <f ca="1">IF(D15&lt;&gt;"",MAX(I14+G15-H14-F15,0),0)</f>
        <v>68192198</v>
      </c>
    </row>
    <row r="16" spans="1:9" s="18" customFormat="1" ht="18" customHeight="1">
      <c r="A16" s="199">
        <f ca="1">IF(ROWS($1:2)&gt;COUNT(Dong5),"",OFFSET(TH!C$1,SMALL(Dong5,ROWS($1:2)),))</f>
        <v>40634</v>
      </c>
      <c r="B16" s="199" t="str">
        <f ca="1">IF(ROWS($1:2)&gt;COUNT(Dong5),"",OFFSET(TH!D$1,SMALL(Dong5,ROWS($1:2)),))</f>
        <v>C02</v>
      </c>
      <c r="C16" s="199">
        <f ca="1">IF(ROWS($1:2)&gt;COUNT(Dong5),"",OFFSET(TH!E$1,SMALL(Dong5,ROWS($1:2)),))</f>
        <v>40623</v>
      </c>
      <c r="D16" s="245" t="str">
        <f ca="1">IF(ROWS($1:2)&gt;COUNT(Dong5),"",OFFSET(TH!F$1,SMALL(Dong5,ROWS($1:2)),))</f>
        <v>Phí Cấp giấy chứng nhận đăng kí mẫu dấu</v>
      </c>
      <c r="E16" s="199" t="str">
        <f ca="1">IF(ROWS($1:2)&gt;COUNT(Dong5),"",IF(OFFSET(TH!L$1,SMALL(Dong5,ROWS($1:2)),)=$E$7,OFFSET(TH!M$1,SMALL(Dong5,ROWS($1:2)),),OFFSET(TH!L$1,SMALL(Dong5,ROWS($1:2)),)))</f>
        <v>1111</v>
      </c>
      <c r="F16" s="246">
        <f ca="1">IF(ROWS($1:2)&gt;COUNT(Dong5),0,IF(OFFSET(TH!L$1,SMALL(Dong5,ROWS($1:2)),)=$E$7,OFFSET(TH!K$1,SMALL(Dong5,ROWS($1:2)),),0))</f>
        <v>50000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68142198</v>
      </c>
    </row>
    <row r="17" spans="1:9" s="18" customFormat="1" ht="18" customHeight="1">
      <c r="A17" s="199">
        <f ca="1">IF(ROWS($1:3)&gt;COUNT(Dong5),"",OFFSET(TH!C$1,SMALL(Dong5,ROWS($1:3)),))</f>
        <v>40634</v>
      </c>
      <c r="B17" s="199" t="str">
        <f ca="1">IF(ROWS($1:3)&gt;COUNT(Dong5),"",OFFSET(TH!D$1,SMALL(Dong5,ROWS($1:3)),))</f>
        <v>C03</v>
      </c>
      <c r="C17" s="199">
        <f ca="1">IF(ROWS($1:3)&gt;COUNT(Dong5),"",OFFSET(TH!E$1,SMALL(Dong5,ROWS($1:3)),))</f>
        <v>40619</v>
      </c>
      <c r="D17" s="245" t="str">
        <f ca="1">IF(ROWS($1:3)&gt;COUNT(Dong5),"",OFFSET(TH!F$1,SMALL(Dong5,ROWS($1:3)),))</f>
        <v>Phí khắc dấu</v>
      </c>
      <c r="E17" s="199" t="str">
        <f ca="1">IF(ROWS($1:3)&gt;COUNT(Dong5),"",IF(OFFSET(TH!L$1,SMALL(Dong5,ROWS($1:3)),)=$E$7,OFFSET(TH!M$1,SMALL(Dong5,ROWS($1:3)),),OFFSET(TH!L$1,SMALL(Dong5,ROWS($1:3)),)))</f>
        <v>1111</v>
      </c>
      <c r="F17" s="246">
        <f ca="1">IF(ROWS($1:3)&gt;COUNT(Dong5),0,IF(OFFSET(TH!L$1,SMALL(Dong5,ROWS($1:3)),)=$E$7,OFFSET(TH!K$1,SMALL(Dong5,ROWS($1:3)),),0))</f>
        <v>363636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67778562</v>
      </c>
    </row>
    <row r="18" spans="1:9" s="18" customFormat="1" ht="18" customHeight="1">
      <c r="A18" s="199">
        <f ca="1">IF(ROWS($1:4)&gt;COUNT(Dong5),"",OFFSET(TH!C$1,SMALL(Dong5,ROWS($1:4)),))</f>
        <v>40638</v>
      </c>
      <c r="B18" s="199" t="str">
        <f ca="1">IF(ROWS($1:4)&gt;COUNT(Dong5),"",OFFSET(TH!D$1,SMALL(Dong5,ROWS($1:4)),))</f>
        <v>C07</v>
      </c>
      <c r="C18" s="199">
        <f ca="1">IF(ROWS($1:4)&gt;COUNT(Dong5),"",OFFSET(TH!E$1,SMALL(Dong5,ROWS($1:4)),))</f>
        <v>40638</v>
      </c>
      <c r="D18" s="245" t="str">
        <f ca="1">IF(ROWS($1:4)&gt;COUNT(Dong5),"",OFFSET(TH!F$1,SMALL(Dong5,ROWS($1:4)),))</f>
        <v>Phí DV đăng ký thành lập doanh nghiệp</v>
      </c>
      <c r="E18" s="199" t="str">
        <f ca="1">IF(ROWS($1:4)&gt;COUNT(Dong5),"",IF(OFFSET(TH!L$1,SMALL(Dong5,ROWS($1:4)),)=$E$7,OFFSET(TH!M$1,SMALL(Dong5,ROWS($1:4)),),OFFSET(TH!L$1,SMALL(Dong5,ROWS($1:4)),)))</f>
        <v>1111</v>
      </c>
      <c r="F18" s="246">
        <f ca="1">IF(ROWS($1:4)&gt;COUNT(Dong5),0,IF(OFFSET(TH!L$1,SMALL(Dong5,ROWS($1:4)),)=$E$7,OFFSET(TH!K$1,SMALL(Dong5,ROWS($1:4)),),0))</f>
        <v>2000000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65778562</v>
      </c>
    </row>
    <row r="19" spans="1:9" s="18" customFormat="1" ht="18" customHeight="1">
      <c r="A19" s="199">
        <f ca="1">IF(ROWS($1:5)&gt;COUNT(Dong5),"",OFFSET(TH!C$1,SMALL(Dong5,ROWS($1:5)),))</f>
        <v>40638</v>
      </c>
      <c r="B19" s="199" t="str">
        <f ca="1">IF(ROWS($1:5)&gt;COUNT(Dong5),"",OFFSET(TH!D$1,SMALL(Dong5,ROWS($1:5)),))</f>
        <v>C08</v>
      </c>
      <c r="C19" s="199">
        <f ca="1">IF(ROWS($1:5)&gt;COUNT(Dong5),"",OFFSET(TH!E$1,SMALL(Dong5,ROWS($1:5)),))</f>
        <v>40638</v>
      </c>
      <c r="D19" s="245" t="str">
        <f ca="1">IF(ROWS($1:5)&gt;COUNT(Dong5),"",OFFSET(TH!F$1,SMALL(Dong5,ROWS($1:5)),))</f>
        <v>Đăng bố cáo doanh nghiệp lên báo TT Giao Dịch</v>
      </c>
      <c r="E19" s="199" t="str">
        <f ca="1">IF(ROWS($1:5)&gt;COUNT(Dong5),"",IF(OFFSET(TH!L$1,SMALL(Dong5,ROWS($1:5)),)=$E$7,OFFSET(TH!M$1,SMALL(Dong5,ROWS($1:5)),),OFFSET(TH!L$1,SMALL(Dong5,ROWS($1:5)),)))</f>
        <v>1111</v>
      </c>
      <c r="F19" s="246">
        <f ca="1">IF(ROWS($1:5)&gt;COUNT(Dong5),0,IF(OFFSET(TH!L$1,SMALL(Dong5,ROWS($1:5)),)=$E$7,OFFSET(TH!K$1,SMALL(Dong5,ROWS($1:5)),),0))</f>
        <v>108000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65670562</v>
      </c>
    </row>
    <row r="20" spans="1:9" s="18" customFormat="1" ht="18" customHeight="1">
      <c r="A20" s="199">
        <f ca="1">IF(ROWS($1:6)&gt;COUNT(Dong5),"",OFFSET(TH!C$1,SMALL(Dong5,ROWS($1:6)),))</f>
        <v>40652</v>
      </c>
      <c r="B20" s="199" t="str">
        <f ca="1">IF(ROWS($1:6)&gt;COUNT(Dong5),"",OFFSET(TH!D$1,SMALL(Dong5,ROWS($1:6)),))</f>
        <v>C18</v>
      </c>
      <c r="C20" s="199">
        <f ca="1">IF(ROWS($1:6)&gt;COUNT(Dong5),"",OFFSET(TH!E$1,SMALL(Dong5,ROWS($1:6)),))</f>
        <v>40652</v>
      </c>
      <c r="D20" s="245" t="str">
        <f ca="1">IF(ROWS($1:6)&gt;COUNT(Dong5),"",OFFSET(TH!F$1,SMALL(Dong5,ROWS($1:6)),))</f>
        <v>Thuế môn bài phải nộp</v>
      </c>
      <c r="E20" s="199" t="str">
        <f ca="1">IF(ROWS($1:6)&gt;COUNT(Dong5),"",IF(OFFSET(TH!L$1,SMALL(Dong5,ROWS($1:6)),)=$E$7,OFFSET(TH!M$1,SMALL(Dong5,ROWS($1:6)),),OFFSET(TH!L$1,SMALL(Dong5,ROWS($1:6)),)))</f>
        <v>33382</v>
      </c>
      <c r="F20" s="246">
        <f ca="1">IF(ROWS($1:6)&gt;COUNT(Dong5),0,IF(OFFSET(TH!L$1,SMALL(Dong5,ROWS($1:6)),)=$E$7,OFFSET(TH!K$1,SMALL(Dong5,ROWS($1:6)),),0))</f>
        <v>1000000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64670562</v>
      </c>
    </row>
    <row r="21" spans="1:9" s="18" customFormat="1" ht="18" customHeight="1">
      <c r="A21" s="199">
        <f ca="1">IF(ROWS($1:7)&gt;COUNT(Dong5),"",OFFSET(TH!C$1,SMALL(Dong5,ROWS($1:7)),))</f>
        <v>40673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40673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10000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64660562</v>
      </c>
    </row>
    <row r="22" spans="1:9" s="18" customFormat="1" ht="18" customHeight="1">
      <c r="A22" s="199">
        <f ca="1">IF(ROWS($1:8)&gt;COUNT(Dong5),"",OFFSET(TH!C$1,SMALL(Dong5,ROWS($1:8)),))</f>
        <v>40679</v>
      </c>
      <c r="B22" s="199" t="str">
        <f ca="1">IF(ROWS($1:8)&gt;COUNT(Dong5),"",OFFSET(TH!D$1,SMALL(Dong5,ROWS($1:8)),))</f>
        <v>C24</v>
      </c>
      <c r="C22" s="199">
        <f ca="1">IF(ROWS($1:8)&gt;COUNT(Dong5),"",OFFSET(TH!E$1,SMALL(Dong5,ROWS($1:8)),))</f>
        <v>40679</v>
      </c>
      <c r="D22" s="245" t="str">
        <f ca="1">IF(ROWS($1:8)&gt;COUNT(Dong5),"",OFFSET(TH!F$1,SMALL(Dong5,ROWS($1:8)),))</f>
        <v>Chi phí in hóa đơn</v>
      </c>
      <c r="E22" s="199" t="str">
        <f ca="1">IF(ROWS($1:8)&gt;COUNT(Dong5),"",IF(OFFSET(TH!L$1,SMALL(Dong5,ROWS($1:8)),)=$E$7,OFFSET(TH!M$1,SMALL(Dong5,ROWS($1:8)),),OFFSET(TH!L$1,SMALL(Dong5,ROWS($1:8)),)))</f>
        <v>1111</v>
      </c>
      <c r="F22" s="246">
        <f ca="1">IF(ROWS($1:8)&gt;COUNT(Dong5),0,IF(OFFSET(TH!L$1,SMALL(Dong5,ROWS($1:8)),)=$E$7,OFFSET(TH!K$1,SMALL(Dong5,ROWS($1:8)),),0))</f>
        <v>2700000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61960562</v>
      </c>
    </row>
    <row r="23" spans="1:9" s="18" customFormat="1" ht="18" customHeight="1">
      <c r="A23" s="199">
        <f ca="1">IF(ROWS($1:9)&gt;COUNT(Dong5),"",OFFSET(TH!C$1,SMALL(Dong5,ROWS($1:9)),))</f>
        <v>40680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40680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61950562</v>
      </c>
    </row>
    <row r="24" spans="1:9" s="18" customFormat="1" ht="18" customHeight="1">
      <c r="A24" s="199">
        <f ca="1">IF(ROWS($1:10)&gt;COUNT(Dong5),"",OFFSET(TH!C$1,SMALL(Dong5,ROWS($1:10)),))</f>
        <v>40686</v>
      </c>
      <c r="B24" s="199" t="str">
        <f ca="1">IF(ROWS($1:10)&gt;COUNT(Dong5),"",OFFSET(TH!D$1,SMALL(Dong5,ROWS($1:10)),))</f>
        <v>C29</v>
      </c>
      <c r="C24" s="199">
        <f ca="1">IF(ROWS($1:10)&gt;COUNT(Dong5),"",OFFSET(TH!E$1,SMALL(Dong5,ROWS($1:10)),))</f>
        <v>40686</v>
      </c>
      <c r="D24" s="245" t="str">
        <f ca="1">IF(ROWS($1:10)&gt;COUNT(Dong5),"",OFFSET(TH!F$1,SMALL(Dong5,ROWS($1:10)),))</f>
        <v>Thuế môn bài phải nộp</v>
      </c>
      <c r="E24" s="199" t="str">
        <f ca="1">IF(ROWS($1:10)&gt;COUNT(Dong5),"",IF(OFFSET(TH!L$1,SMALL(Dong5,ROWS($1:10)),)=$E$7,OFFSET(TH!M$1,SMALL(Dong5,ROWS($1:10)),),OFFSET(TH!L$1,SMALL(Dong5,ROWS($1:10)),)))</f>
        <v>33382</v>
      </c>
      <c r="F24" s="246">
        <f ca="1">IF(ROWS($1:10)&gt;COUNT(Dong5),0,IF(OFFSET(TH!L$1,SMALL(Dong5,ROWS($1:10)),)=$E$7,OFFSET(TH!K$1,SMALL(Dong5,ROWS($1:10)),),0))</f>
        <v>1000000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60950562</v>
      </c>
    </row>
    <row r="25" spans="1:9" s="18" customFormat="1" ht="18" customHeight="1">
      <c r="A25" s="199">
        <f ca="1">IF(ROWS($1:11)&gt;COUNT(Dong5),"",OFFSET(TH!C$1,SMALL(Dong5,ROWS($1:11)),))</f>
        <v>40689</v>
      </c>
      <c r="B25" s="199" t="str">
        <f ca="1">IF(ROWS($1:11)&gt;COUNT(Dong5),"",OFFSET(TH!D$1,SMALL(Dong5,ROWS($1:11)),))</f>
        <v>C32</v>
      </c>
      <c r="C25" s="199">
        <f ca="1">IF(ROWS($1:11)&gt;COUNT(Dong5),"",OFFSET(TH!E$1,SMALL(Dong5,ROWS($1:11)),))</f>
        <v>40689</v>
      </c>
      <c r="D25" s="245" t="str">
        <f ca="1">IF(ROWS($1:11)&gt;COUNT(Dong5),"",OFFSET(TH!F$1,SMALL(Dong5,ROWS($1:11)),))</f>
        <v>Giấy Canson</v>
      </c>
      <c r="E25" s="199" t="str">
        <f ca="1">IF(ROWS($1:11)&gt;COUNT(Dong5),"",IF(OFFSET(TH!L$1,SMALL(Dong5,ROWS($1:11)),)=$E$7,OFFSET(TH!M$1,SMALL(Dong5,ROWS($1:11)),),OFFSET(TH!L$1,SMALL(Dong5,ROWS($1:11)),)))</f>
        <v>1111</v>
      </c>
      <c r="F25" s="246">
        <f ca="1">IF(ROWS($1:11)&gt;COUNT(Dong5),0,IF(OFFSET(TH!L$1,SMALL(Dong5,ROWS($1:11)),)=$E$7,OFFSET(TH!K$1,SMALL(Dong5,ROWS($1:11)),),0))</f>
        <v>267000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60683562</v>
      </c>
    </row>
    <row r="26" spans="1:9" s="18" customFormat="1" ht="18" customHeight="1">
      <c r="A26" s="199">
        <f ca="1">IF(ROWS($1:12)&gt;COUNT(Dong5),"",OFFSET(TH!C$1,SMALL(Dong5,ROWS($1:12)),))</f>
        <v>40689</v>
      </c>
      <c r="B26" s="199" t="str">
        <f ca="1">IF(ROWS($1:12)&gt;COUNT(Dong5),"",OFFSET(TH!D$1,SMALL(Dong5,ROWS($1:12)),))</f>
        <v>C33</v>
      </c>
      <c r="C26" s="199">
        <f ca="1">IF(ROWS($1:12)&gt;COUNT(Dong5),"",OFFSET(TH!E$1,SMALL(Dong5,ROWS($1:12)),))</f>
        <v>40689</v>
      </c>
      <c r="D26" s="245" t="str">
        <f ca="1">IF(ROWS($1:12)&gt;COUNT(Dong5),"",OFFSET(TH!F$1,SMALL(Dong5,ROWS($1:12)),))</f>
        <v>Dịch vụ viễn thông</v>
      </c>
      <c r="E26" s="199" t="str">
        <f ca="1">IF(ROWS($1:12)&gt;COUNT(Dong5),"",IF(OFFSET(TH!L$1,SMALL(Dong5,ROWS($1:12)),)=$E$7,OFFSET(TH!M$1,SMALL(Dong5,ROWS($1:12)),),OFFSET(TH!L$1,SMALL(Dong5,ROWS($1:12)),)))</f>
        <v>1111</v>
      </c>
      <c r="F26" s="246">
        <f ca="1">IF(ROWS($1:12)&gt;COUNT(Dong5),0,IF(OFFSET(TH!L$1,SMALL(Dong5,ROWS($1:12)),)=$E$7,OFFSET(TH!K$1,SMALL(Dong5,ROWS($1:12)),),0))</f>
        <v>494235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60189327</v>
      </c>
    </row>
    <row r="27" spans="1:9" s="18" customFormat="1" ht="18" customHeight="1">
      <c r="A27" s="199">
        <f ca="1">IF(ROWS($1:13)&gt;COUNT(Dong5),"",OFFSET(TH!C$1,SMALL(Dong5,ROWS($1:13)),))</f>
        <v>40689</v>
      </c>
      <c r="B27" s="199" t="str">
        <f ca="1">IF(ROWS($1:13)&gt;COUNT(Dong5),"",OFFSET(TH!D$1,SMALL(Dong5,ROWS($1:13)),))</f>
        <v>C34</v>
      </c>
      <c r="C27" s="199">
        <f ca="1">IF(ROWS($1:13)&gt;COUNT(Dong5),"",OFFSET(TH!E$1,SMALL(Dong5,ROWS($1:13)),))</f>
        <v>40689</v>
      </c>
      <c r="D27" s="245" t="str">
        <f ca="1">IF(ROWS($1:13)&gt;COUNT(Dong5),"",OFFSET(TH!F$1,SMALL(Dong5,ROWS($1:13)),))</f>
        <v>Dịch vụ viễn thông</v>
      </c>
      <c r="E27" s="199" t="str">
        <f ca="1">IF(ROWS($1:13)&gt;COUNT(Dong5),"",IF(OFFSET(TH!L$1,SMALL(Dong5,ROWS($1:13)),)=$E$7,OFFSET(TH!M$1,SMALL(Dong5,ROWS($1:13)),),OFFSET(TH!L$1,SMALL(Dong5,ROWS($1:13)),)))</f>
        <v>1111</v>
      </c>
      <c r="F27" s="246">
        <f ca="1">IF(ROWS($1:13)&gt;COUNT(Dong5),0,IF(OFFSET(TH!L$1,SMALL(Dong5,ROWS($1:13)),)=$E$7,OFFSET(TH!K$1,SMALL(Dong5,ROWS($1:13)),),0))</f>
        <v>467016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59722311</v>
      </c>
    </row>
    <row r="28" spans="1:9" s="18" customFormat="1" ht="18" customHeight="1">
      <c r="A28" s="199">
        <f ca="1">IF(ROWS($1:14)&gt;COUNT(Dong5),"",OFFSET(TH!C$1,SMALL(Dong5,ROWS($1:14)),))</f>
        <v>40690</v>
      </c>
      <c r="B28" s="199" t="str">
        <f ca="1">IF(ROWS($1:14)&gt;COUNT(Dong5),"",OFFSET(TH!D$1,SMALL(Dong5,ROWS($1:14)),))</f>
        <v>GBN</v>
      </c>
      <c r="C28" s="199">
        <f ca="1">IF(ROWS($1:14)&gt;COUNT(Dong5),"",OFFSET(TH!E$1,SMALL(Dong5,ROWS($1:14)),))</f>
        <v>40690</v>
      </c>
      <c r="D28" s="245" t="str">
        <f ca="1">IF(ROWS($1:14)&gt;COUNT(Dong5),"",OFFSET(TH!F$1,SMALL(Dong5,ROWS($1:14)),))</f>
        <v>Phí chuyển tiền</v>
      </c>
      <c r="E28" s="199" t="str">
        <f ca="1">IF(ROWS($1:14)&gt;COUNT(Dong5),"",IF(OFFSET(TH!L$1,SMALL(Dong5,ROWS($1:14)),)=$E$7,OFFSET(TH!M$1,SMALL(Dong5,ROWS($1:14)),),OFFSET(TH!L$1,SMALL(Dong5,ROWS($1:14)),)))</f>
        <v>1121</v>
      </c>
      <c r="F28" s="246">
        <f ca="1">IF(ROWS($1:14)&gt;COUNT(Dong5),0,IF(OFFSET(TH!L$1,SMALL(Dong5,ROWS($1:14)),)=$E$7,OFFSET(TH!K$1,SMALL(Dong5,ROWS($1:14)),),0))</f>
        <v>10000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59712311</v>
      </c>
    </row>
    <row r="29" spans="1:9" s="18" customFormat="1" ht="18" customHeight="1">
      <c r="A29" s="199">
        <f ca="1">IF(ROWS($1:15)&gt;COUNT(Dong5),"",OFFSET(TH!C$1,SMALL(Dong5,ROWS($1:15)),))</f>
        <v>40690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40690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59702311</v>
      </c>
    </row>
    <row r="30" spans="1:9" s="18" customFormat="1" ht="18" customHeight="1">
      <c r="A30" s="199">
        <f ca="1">IF(ROWS($1:16)&gt;COUNT(Dong5),"",OFFSET(TH!C$1,SMALL(Dong5,ROWS($1:16)),))</f>
        <v>40694</v>
      </c>
      <c r="B30" s="199" t="str">
        <f ca="1">IF(ROWS($1:16)&gt;COUNT(Dong5),"",OFFSET(TH!D$1,SMALL(Dong5,ROWS($1:16)),))</f>
        <v>CTGS</v>
      </c>
      <c r="C30" s="199">
        <f ca="1">IF(ROWS($1:16)&gt;COUNT(Dong5),"",OFFSET(TH!E$1,SMALL(Dong5,ROWS($1:16)),))</f>
        <v>40694</v>
      </c>
      <c r="D30" s="245" t="str">
        <f ca="1">IF(ROWS($1:16)&gt;COUNT(Dong5),"",OFFSET(TH!F$1,SMALL(Dong5,ROWS($1:16)),))</f>
        <v>Tiền lương BP Quản lý</v>
      </c>
      <c r="E30" s="199" t="str">
        <f ca="1">IF(ROWS($1:16)&gt;COUNT(Dong5),"",IF(OFFSET(TH!L$1,SMALL(Dong5,ROWS($1:16)),)=$E$7,OFFSET(TH!M$1,SMALL(Dong5,ROWS($1:16)),),OFFSET(TH!L$1,SMALL(Dong5,ROWS($1:16)),)))</f>
        <v>3341</v>
      </c>
      <c r="F30" s="246">
        <f ca="1">IF(ROWS($1:16)&gt;COUNT(Dong5),0,IF(OFFSET(TH!L$1,SMALL(Dong5,ROWS($1:16)),)=$E$7,OFFSET(TH!K$1,SMALL(Dong5,ROWS($1:16)),),0))</f>
        <v>7025000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52677311</v>
      </c>
    </row>
    <row r="31" spans="1:9" s="18" customFormat="1" ht="18" customHeight="1">
      <c r="A31" s="199">
        <f ca="1">IF(ROWS($1:17)&gt;COUNT(Dong5),"",OFFSET(TH!C$1,SMALL(Dong5,ROWS($1:17)),))</f>
        <v>40696</v>
      </c>
      <c r="B31" s="199" t="str">
        <f ca="1">IF(ROWS($1:17)&gt;COUNT(Dong5),"",OFFSET(TH!D$1,SMALL(Dong5,ROWS($1:17)),))</f>
        <v>C37</v>
      </c>
      <c r="C31" s="199">
        <f ca="1">IF(ROWS($1:17)&gt;COUNT(Dong5),"",OFFSET(TH!E$1,SMALL(Dong5,ROWS($1:17)),))</f>
        <v>40696</v>
      </c>
      <c r="D31" s="245" t="str">
        <f ca="1">IF(ROWS($1:17)&gt;COUNT(Dong5),"",OFFSET(TH!F$1,SMALL(Dong5,ROWS($1:17)),))</f>
        <v>Văn phòng phẩm</v>
      </c>
      <c r="E31" s="199" t="str">
        <f ca="1">IF(ROWS($1:17)&gt;COUNT(Dong5),"",IF(OFFSET(TH!L$1,SMALL(Dong5,ROWS($1:17)),)=$E$7,OFFSET(TH!M$1,SMALL(Dong5,ROWS($1:17)),),OFFSET(TH!L$1,SMALL(Dong5,ROWS($1:17)),)))</f>
        <v>1111</v>
      </c>
      <c r="F31" s="246">
        <f ca="1">IF(ROWS($1:17)&gt;COUNT(Dong5),0,IF(OFFSET(TH!L$1,SMALL(Dong5,ROWS($1:17)),)=$E$7,OFFSET(TH!K$1,SMALL(Dong5,ROWS($1:17)),),0))</f>
        <v>256500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52420811</v>
      </c>
    </row>
    <row r="32" spans="1:9" s="18" customFormat="1" ht="18" customHeight="1">
      <c r="A32" s="199">
        <f ca="1">IF(ROWS($1:18)&gt;COUNT(Dong5),"",OFFSET(TH!C$1,SMALL(Dong5,ROWS($1:18)),))</f>
        <v>40700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40700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52410811</v>
      </c>
    </row>
    <row r="33" spans="1:9" s="18" customFormat="1" ht="18" customHeight="1">
      <c r="A33" s="199">
        <f ca="1">IF(ROWS($1:19)&gt;COUNT(Dong5),"",OFFSET(TH!C$1,SMALL(Dong5,ROWS($1:19)),))</f>
        <v>40707</v>
      </c>
      <c r="B33" s="199" t="str">
        <f ca="1">IF(ROWS($1:19)&gt;COUNT(Dong5),"",OFFSET(TH!D$1,SMALL(Dong5,ROWS($1:19)),))</f>
        <v>C44</v>
      </c>
      <c r="C33" s="199">
        <f ca="1">IF(ROWS($1:19)&gt;COUNT(Dong5),"",OFFSET(TH!E$1,SMALL(Dong5,ROWS($1:19)),))</f>
        <v>40707</v>
      </c>
      <c r="D33" s="245" t="str">
        <f ca="1">IF(ROWS($1:19)&gt;COUNT(Dong5),"",OFFSET(TH!F$1,SMALL(Dong5,ROWS($1:19)),))</f>
        <v>Giấy excel</v>
      </c>
      <c r="E33" s="199" t="str">
        <f ca="1">IF(ROWS($1:19)&gt;COUNT(Dong5),"",IF(OFFSET(TH!L$1,SMALL(Dong5,ROWS($1:19)),)=$E$7,OFFSET(TH!M$1,SMALL(Dong5,ROWS($1:19)),),OFFSET(TH!L$1,SMALL(Dong5,ROWS($1:19)),)))</f>
        <v>1111</v>
      </c>
      <c r="F33" s="246">
        <f ca="1">IF(ROWS($1:19)&gt;COUNT(Dong5),0,IF(OFFSET(TH!L$1,SMALL(Dong5,ROWS($1:19)),)=$E$7,OFFSET(TH!K$1,SMALL(Dong5,ROWS($1:19)),),0))</f>
        <v>125455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52285356</v>
      </c>
    </row>
    <row r="34" spans="1:9" s="18" customFormat="1" ht="18" customHeight="1">
      <c r="A34" s="199">
        <f ca="1">IF(ROWS($1:20)&gt;COUNT(Dong5),"",OFFSET(TH!C$1,SMALL(Dong5,ROWS($1:20)),))</f>
        <v>40709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40709</v>
      </c>
      <c r="D34" s="245" t="str">
        <f ca="1">IF(ROWS($1:20)&gt;COUNT(Dong5),"",OFFSET(TH!F$1,SMALL(Dong5,ROWS($1:20)),))</f>
        <v>Phí KD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20748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52264608</v>
      </c>
    </row>
    <row r="35" spans="1:9" s="18" customFormat="1" ht="18" customHeight="1">
      <c r="A35" s="199">
        <f ca="1">IF(ROWS($1:21)&gt;COUNT(Dong5),"",OFFSET(TH!C$1,SMALL(Dong5,ROWS($1:21)),))</f>
        <v>40711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40711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52254608</v>
      </c>
    </row>
    <row r="36" spans="1:9" s="18" customFormat="1" ht="18" customHeight="1">
      <c r="A36" s="199">
        <f ca="1">IF(ROWS($1:22)&gt;COUNT(Dong5),"",OFFSET(TH!C$1,SMALL(Dong5,ROWS($1:22)),))</f>
        <v>40711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40711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52244608</v>
      </c>
    </row>
    <row r="37" spans="1:9" s="18" customFormat="1" ht="18" customHeight="1">
      <c r="A37" s="199">
        <f ca="1">IF(ROWS($1:23)&gt;COUNT(Dong5),"",OFFSET(TH!C$1,SMALL(Dong5,ROWS($1:23)),))</f>
        <v>40715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40715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52234608</v>
      </c>
    </row>
    <row r="38" spans="1:9" s="18" customFormat="1" ht="18" customHeight="1">
      <c r="A38" s="199">
        <f ca="1">IF(ROWS($1:24)&gt;COUNT(Dong5),"",OFFSET(TH!C$1,SMALL(Dong5,ROWS($1:24)),))</f>
        <v>40724</v>
      </c>
      <c r="B38" s="199" t="str">
        <f ca="1">IF(ROWS($1:24)&gt;COUNT(Dong5),"",OFFSET(TH!D$1,SMALL(Dong5,ROWS($1:24)),))</f>
        <v>C53</v>
      </c>
      <c r="C38" s="199">
        <f ca="1">IF(ROWS($1:24)&gt;COUNT(Dong5),"",OFFSET(TH!E$1,SMALL(Dong5,ROWS($1:24)),))</f>
        <v>40724</v>
      </c>
      <c r="D38" s="245" t="str">
        <f ca="1">IF(ROWS($1:24)&gt;COUNT(Dong5),"",OFFSET(TH!F$1,SMALL(Dong5,ROWS($1:24)),))</f>
        <v>Dịch vụ viễn thông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1127386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51107222</v>
      </c>
    </row>
    <row r="39" spans="1:9" s="18" customFormat="1" ht="18" customHeight="1">
      <c r="A39" s="199">
        <f ca="1">IF(ROWS($1:25)&gt;COUNT(Dong5),"",OFFSET(TH!C$1,SMALL(Dong5,ROWS($1:25)),))</f>
        <v>40724</v>
      </c>
      <c r="B39" s="199" t="str">
        <f ca="1">IF(ROWS($1:25)&gt;COUNT(Dong5),"",OFFSET(TH!D$1,SMALL(Dong5,ROWS($1:25)),))</f>
        <v>C54</v>
      </c>
      <c r="C39" s="199">
        <f ca="1">IF(ROWS($1:25)&gt;COUNT(Dong5),"",OFFSET(TH!E$1,SMALL(Dong5,ROWS($1:25)),))</f>
        <v>40724</v>
      </c>
      <c r="D39" s="245" t="str">
        <f ca="1">IF(ROWS($1:25)&gt;COUNT(Dong5),"",OFFSET(TH!F$1,SMALL(Dong5,ROWS($1:25)),))</f>
        <v>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234053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50873169</v>
      </c>
    </row>
    <row r="40" spans="1:9" s="18" customFormat="1" ht="18" customHeight="1">
      <c r="A40" s="199">
        <f ca="1">IF(ROWS($1:26)&gt;COUNT(Dong5),"",OFFSET(TH!C$1,SMALL(Dong5,ROWS($1:26)),))</f>
        <v>40724</v>
      </c>
      <c r="B40" s="199" t="str">
        <f ca="1">IF(ROWS($1:26)&gt;COUNT(Dong5),"",OFFSET(TH!D$1,SMALL(Dong5,ROWS($1:26)),))</f>
        <v>CTGS</v>
      </c>
      <c r="C40" s="199">
        <f ca="1">IF(ROWS($1:26)&gt;COUNT(Dong5),"",OFFSET(TH!E$1,SMALL(Dong5,ROWS($1:26)),))</f>
        <v>40724</v>
      </c>
      <c r="D40" s="245" t="str">
        <f ca="1">IF(ROWS($1:26)&gt;COUNT(Dong5),"",OFFSET(TH!F$1,SMALL(Dong5,ROWS($1:26)),))</f>
        <v>Tiền lương BP Quản lý</v>
      </c>
      <c r="E40" s="199" t="str">
        <f ca="1">IF(ROWS($1:26)&gt;COUNT(Dong5),"",IF(OFFSET(TH!L$1,SMALL(Dong5,ROWS($1:26)),)=$E$7,OFFSET(TH!M$1,SMALL(Dong5,ROWS($1:26)),),OFFSET(TH!L$1,SMALL(Dong5,ROWS($1:26)),)))</f>
        <v>3341</v>
      </c>
      <c r="F40" s="246">
        <f ca="1">IF(ROWS($1:26)&gt;COUNT(Dong5),0,IF(OFFSET(TH!L$1,SMALL(Dong5,ROWS($1:26)),)=$E$7,OFFSET(TH!K$1,SMALL(Dong5,ROWS($1:26)),),0))</f>
        <v>7070000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43803169</v>
      </c>
    </row>
    <row r="41" spans="1:9" s="18" customFormat="1" ht="18" customHeight="1">
      <c r="A41" s="199">
        <f ca="1">IF(ROWS($1:27)&gt;COUNT(Dong5),"",OFFSET(TH!C$1,SMALL(Dong5,ROWS($1:27)),))</f>
        <v>40736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40736</v>
      </c>
      <c r="D41" s="245" t="str">
        <f ca="1">IF(ROWS($1:27)&gt;COUNT(Dong5),"",OFFSET(TH!F$1,SMALL(Dong5,ROWS($1:27)),))</f>
        <v>Phí KD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18478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43784691</v>
      </c>
    </row>
    <row r="42" spans="1:9" s="18" customFormat="1" ht="18" customHeight="1">
      <c r="A42" s="199">
        <f ca="1">IF(ROWS($1:28)&gt;COUNT(Dong5),"",OFFSET(TH!C$1,SMALL(Dong5,ROWS($1:28)),))</f>
        <v>40736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40736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43774691</v>
      </c>
    </row>
    <row r="43" spans="1:9" s="18" customFormat="1" ht="18" customHeight="1">
      <c r="A43" s="199">
        <f ca="1">IF(ROWS($1:29)&gt;COUNT(Dong5),"",OFFSET(TH!C$1,SMALL(Dong5,ROWS($1:29)),))</f>
        <v>40755</v>
      </c>
      <c r="B43" s="199" t="str">
        <f ca="1">IF(ROWS($1:29)&gt;COUNT(Dong5),"",OFFSET(TH!D$1,SMALL(Dong5,ROWS($1:29)),))</f>
        <v>CTGS</v>
      </c>
      <c r="C43" s="199">
        <f ca="1">IF(ROWS($1:29)&gt;COUNT(Dong5),"",OFFSET(TH!E$1,SMALL(Dong5,ROWS($1:29)),))</f>
        <v>40755</v>
      </c>
      <c r="D43" s="245" t="str">
        <f ca="1">IF(ROWS($1:29)&gt;COUNT(Dong5),"",OFFSET(TH!F$1,SMALL(Dong5,ROWS($1:29)),))</f>
        <v>Tiền lương BP Quản lý</v>
      </c>
      <c r="E43" s="199" t="str">
        <f ca="1">IF(ROWS($1:29)&gt;COUNT(Dong5),"",IF(OFFSET(TH!L$1,SMALL(Dong5,ROWS($1:29)),)=$E$7,OFFSET(TH!M$1,SMALL(Dong5,ROWS($1:29)),),OFFSET(TH!L$1,SMALL(Dong5,ROWS($1:29)),)))</f>
        <v>3341</v>
      </c>
      <c r="F43" s="246">
        <f ca="1">IF(ROWS($1:29)&gt;COUNT(Dong5),0,IF(OFFSET(TH!L$1,SMALL(Dong5,ROWS($1:29)),)=$E$7,OFFSET(TH!K$1,SMALL(Dong5,ROWS($1:29)),),0))</f>
        <v>7070000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36704691</v>
      </c>
    </row>
    <row r="44" spans="1:9" s="18" customFormat="1" ht="18" customHeight="1">
      <c r="A44" s="199">
        <f ca="1">IF(ROWS($1:30)&gt;COUNT(Dong5),"",OFFSET(TH!C$1,SMALL(Dong5,ROWS($1:30)),))</f>
        <v>40766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40766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9091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36695600</v>
      </c>
    </row>
    <row r="45" spans="1:9" s="18" customFormat="1" ht="18" customHeight="1">
      <c r="A45" s="199">
        <f ca="1">IF(ROWS($1:31)&gt;COUNT(Dong5),"",OFFSET(TH!C$1,SMALL(Dong5,ROWS($1:31)),))</f>
        <v>40775</v>
      </c>
      <c r="B45" s="199" t="str">
        <f ca="1">IF(ROWS($1:31)&gt;COUNT(Dong5),"",OFFSET(TH!D$1,SMALL(Dong5,ROWS($1:31)),))</f>
        <v>C13</v>
      </c>
      <c r="C45" s="199">
        <f ca="1">IF(ROWS($1:31)&gt;COUNT(Dong5),"",OFFSET(TH!E$1,SMALL(Dong5,ROWS($1:31)),))</f>
        <v>40775</v>
      </c>
      <c r="D45" s="245" t="str">
        <f ca="1">IF(ROWS($1:31)&gt;COUNT(Dong5),"",OFFSET(TH!F$1,SMALL(Dong5,ROWS($1:31)),))</f>
        <v>Dịch vụ viễn thông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752211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35943389</v>
      </c>
    </row>
    <row r="46" spans="1:9" s="18" customFormat="1" ht="18" customHeight="1">
      <c r="A46" s="199">
        <f ca="1">IF(ROWS($1:32)&gt;COUNT(Dong5),"",OFFSET(TH!C$1,SMALL(Dong5,ROWS($1:32)),))</f>
        <v>40786</v>
      </c>
      <c r="B46" s="199" t="str">
        <f ca="1">IF(ROWS($1:32)&gt;COUNT(Dong5),"",OFFSET(TH!D$1,SMALL(Dong5,ROWS($1:32)),))</f>
        <v>CTGS</v>
      </c>
      <c r="C46" s="199">
        <f ca="1">IF(ROWS($1:32)&gt;COUNT(Dong5),"",OFFSET(TH!E$1,SMALL(Dong5,ROWS($1:32)),))</f>
        <v>40786</v>
      </c>
      <c r="D46" s="245" t="str">
        <f ca="1">IF(ROWS($1:32)&gt;COUNT(Dong5),"",OFFSET(TH!F$1,SMALL(Dong5,ROWS($1:32)),))</f>
        <v>Tiền lương BP Quản lý</v>
      </c>
      <c r="E46" s="199" t="str">
        <f ca="1">IF(ROWS($1:32)&gt;COUNT(Dong5),"",IF(OFFSET(TH!L$1,SMALL(Dong5,ROWS($1:32)),)=$E$7,OFFSET(TH!M$1,SMALL(Dong5,ROWS($1:32)),),OFFSET(TH!L$1,SMALL(Dong5,ROWS($1:32)),)))</f>
        <v>3341</v>
      </c>
      <c r="F46" s="246">
        <f ca="1">IF(ROWS($1:32)&gt;COUNT(Dong5),0,IF(OFFSET(TH!L$1,SMALL(Dong5,ROWS($1:32)),)=$E$7,OFFSET(TH!K$1,SMALL(Dong5,ROWS($1:32)),),0))</f>
        <v>7115000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28828389</v>
      </c>
    </row>
    <row r="47" spans="1:9" s="18" customFormat="1" ht="18" customHeight="1">
      <c r="A47" s="199">
        <f ca="1">IF(ROWS($1:33)&gt;COUNT(Dong5),"",OFFSET(TH!C$1,SMALL(Dong5,ROWS($1:33)),))</f>
        <v>40802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40802</v>
      </c>
      <c r="D47" s="245" t="str">
        <f ca="1">IF(ROWS($1:33)&gt;COUNT(Dong5),"",OFFSET(TH!F$1,SMALL(Dong5,ROWS($1:33)),))</f>
        <v>Phí KD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9091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28819298</v>
      </c>
    </row>
    <row r="48" spans="1:9" s="18" customFormat="1" ht="18" customHeight="1">
      <c r="A48" s="199">
        <f ca="1">IF(ROWS($1:34)&gt;COUNT(Dong5),"",OFFSET(TH!C$1,SMALL(Dong5,ROWS($1:34)),))</f>
        <v>40802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40802</v>
      </c>
      <c r="D48" s="245" t="str">
        <f ca="1">IF(ROWS($1:34)&gt;COUNT(Dong5),"",OFFSET(TH!F$1,SMALL(Dong5,ROWS($1:34)),))</f>
        <v>Phí chuyển tiền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9091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28810207</v>
      </c>
    </row>
    <row r="49" spans="1:9" s="18" customFormat="1" ht="18" customHeight="1">
      <c r="A49" s="199">
        <f ca="1">IF(ROWS($1:35)&gt;COUNT(Dong5),"",OFFSET(TH!C$1,SMALL(Dong5,ROWS($1:35)),))</f>
        <v>40807</v>
      </c>
      <c r="B49" s="199" t="str">
        <f ca="1">IF(ROWS($1:35)&gt;COUNT(Dong5),"",OFFSET(TH!D$1,SMALL(Dong5,ROWS($1:35)),))</f>
        <v>C19</v>
      </c>
      <c r="C49" s="199">
        <f ca="1">IF(ROWS($1:35)&gt;COUNT(Dong5),"",OFFSET(TH!E$1,SMALL(Dong5,ROWS($1:35)),))</f>
        <v>40807</v>
      </c>
      <c r="D49" s="245" t="str">
        <f ca="1">IF(ROWS($1:35)&gt;COUNT(Dong5),"",OFFSET(TH!F$1,SMALL(Dong5,ROWS($1:35)),))</f>
        <v>Dịch vụ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642847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28167360</v>
      </c>
    </row>
    <row r="50" spans="1:9" s="18" customFormat="1" ht="18" customHeight="1">
      <c r="A50" s="199">
        <f ca="1">IF(ROWS($1:36)&gt;COUNT(Dong5),"",OFFSET(TH!C$1,SMALL(Dong5,ROWS($1:36)),))</f>
        <v>40816</v>
      </c>
      <c r="B50" s="199" t="str">
        <f ca="1">IF(ROWS($1:36)&gt;COUNT(Dong5),"",OFFSET(TH!D$1,SMALL(Dong5,ROWS($1:36)),))</f>
        <v>CTGS</v>
      </c>
      <c r="C50" s="199">
        <f ca="1">IF(ROWS($1:36)&gt;COUNT(Dong5),"",OFFSET(TH!E$1,SMALL(Dong5,ROWS($1:36)),))</f>
        <v>40816</v>
      </c>
      <c r="D50" s="245" t="str">
        <f ca="1">IF(ROWS($1:36)&gt;COUNT(Dong5),"",OFFSET(TH!F$1,SMALL(Dong5,ROWS($1:36)),))</f>
        <v>Tiền lương BP Quản lý</v>
      </c>
      <c r="E50" s="199" t="str">
        <f ca="1">IF(ROWS($1:36)&gt;COUNT(Dong5),"",IF(OFFSET(TH!L$1,SMALL(Dong5,ROWS($1:36)),)=$E$7,OFFSET(TH!M$1,SMALL(Dong5,ROWS($1:36)),),OFFSET(TH!L$1,SMALL(Dong5,ROWS($1:36)),)))</f>
        <v>3341</v>
      </c>
      <c r="F50" s="246">
        <f ca="1">IF(ROWS($1:36)&gt;COUNT(Dong5),0,IF(OFFSET(TH!L$1,SMALL(Dong5,ROWS($1:36)),)=$E$7,OFFSET(TH!K$1,SMALL(Dong5,ROWS($1:36)),),0))</f>
        <v>7025000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21142360</v>
      </c>
    </row>
    <row r="51" spans="1:9" s="18" customFormat="1" ht="18" customHeight="1">
      <c r="A51" s="199">
        <f ca="1">IF(ROWS($1:37)&gt;COUNT(Dong5),"",OFFSET(TH!C$1,SMALL(Dong5,ROWS($1:37)),))</f>
        <v>40816</v>
      </c>
      <c r="B51" s="199" t="str">
        <f ca="1">IF(ROWS($1:37)&gt;COUNT(Dong5),"",OFFSET(TH!D$1,SMALL(Dong5,ROWS($1:37)),))</f>
        <v>GBN</v>
      </c>
      <c r="C51" s="199">
        <f ca="1">IF(ROWS($1:37)&gt;COUNT(Dong5),"",OFFSET(TH!E$1,SMALL(Dong5,ROWS($1:37)),))</f>
        <v>40816</v>
      </c>
      <c r="D51" s="245" t="str">
        <f ca="1">IF(ROWS($1:37)&gt;COUNT(Dong5),"",OFFSET(TH!F$1,SMALL(Dong5,ROWS($1:37)),))</f>
        <v>Phí KD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16399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21125961</v>
      </c>
    </row>
    <row r="52" spans="1:9" s="18" customFormat="1" ht="18" customHeight="1">
      <c r="A52" s="199">
        <f ca="1">IF(ROWS($1:38)&gt;COUNT(Dong5),"",OFFSET(TH!C$1,SMALL(Dong5,ROWS($1:38)),))</f>
        <v>40835</v>
      </c>
      <c r="B52" s="199" t="str">
        <f ca="1">IF(ROWS($1:38)&gt;COUNT(Dong5),"",OFFSET(TH!D$1,SMALL(Dong5,ROWS($1:38)),))</f>
        <v>GBN</v>
      </c>
      <c r="C52" s="199">
        <f ca="1">IF(ROWS($1:38)&gt;COUNT(Dong5),"",OFFSET(TH!E$1,SMALL(Dong5,ROWS($1:38)),))</f>
        <v>40835</v>
      </c>
      <c r="D52" s="245" t="str">
        <f ca="1">IF(ROWS($1:38)&gt;COUNT(Dong5),"",OFFSET(TH!F$1,SMALL(Dong5,ROWS($1:38)),))</f>
        <v>Phí KD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9091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21116870</v>
      </c>
    </row>
    <row r="53" spans="1:9" s="18" customFormat="1" ht="18" customHeight="1">
      <c r="A53" s="199">
        <f ca="1">IF(ROWS($1:39)&gt;COUNT(Dong5),"",OFFSET(TH!C$1,SMALL(Dong5,ROWS($1:39)),))</f>
        <v>40835</v>
      </c>
      <c r="B53" s="199" t="str">
        <f ca="1">IF(ROWS($1:39)&gt;COUNT(Dong5),"",OFFSET(TH!D$1,SMALL(Dong5,ROWS($1:39)),))</f>
        <v>GBN</v>
      </c>
      <c r="C53" s="199">
        <f ca="1">IF(ROWS($1:39)&gt;COUNT(Dong5),"",OFFSET(TH!E$1,SMALL(Dong5,ROWS($1:39)),))</f>
        <v>40835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9091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21107779</v>
      </c>
    </row>
    <row r="54" spans="1:9" s="18" customFormat="1" ht="18" customHeight="1">
      <c r="A54" s="199">
        <f ca="1">IF(ROWS($1:40)&gt;COUNT(Dong5),"",OFFSET(TH!C$1,SMALL(Dong5,ROWS($1:40)),))</f>
        <v>40847</v>
      </c>
      <c r="B54" s="199" t="str">
        <f ca="1">IF(ROWS($1:40)&gt;COUNT(Dong5),"",OFFSET(TH!D$1,SMALL(Dong5,ROWS($1:40)),))</f>
        <v>CTGS</v>
      </c>
      <c r="C54" s="199">
        <f ca="1">IF(ROWS($1:40)&gt;COUNT(Dong5),"",OFFSET(TH!E$1,SMALL(Dong5,ROWS($1:40)),))</f>
        <v>40847</v>
      </c>
      <c r="D54" s="245" t="str">
        <f ca="1">IF(ROWS($1:40)&gt;COUNT(Dong5),"",OFFSET(TH!F$1,SMALL(Dong5,ROWS($1:40)),))</f>
        <v>Tiền lương BP Quản lý</v>
      </c>
      <c r="E54" s="199" t="str">
        <f ca="1">IF(ROWS($1:40)&gt;COUNT(Dong5),"",IF(OFFSET(TH!L$1,SMALL(Dong5,ROWS($1:40)),)=$E$7,OFFSET(TH!M$1,SMALL(Dong5,ROWS($1:40)),),OFFSET(TH!L$1,SMALL(Dong5,ROWS($1:40)),)))</f>
        <v>3341</v>
      </c>
      <c r="F54" s="246">
        <f ca="1">IF(ROWS($1:40)&gt;COUNT(Dong5),0,IF(OFFSET(TH!L$1,SMALL(Dong5,ROWS($1:40)),)=$E$7,OFFSET(TH!K$1,SMALL(Dong5,ROWS($1:40)),),0))</f>
        <v>6700577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14407202</v>
      </c>
    </row>
    <row r="55" spans="1:9" s="18" customFormat="1" ht="18" customHeight="1">
      <c r="A55" s="199">
        <f ca="1">IF(ROWS($1:41)&gt;COUNT(Dong5),"",OFFSET(TH!C$1,SMALL(Dong5,ROWS($1:41)),))</f>
        <v>40850</v>
      </c>
      <c r="B55" s="199" t="str">
        <f ca="1">IF(ROWS($1:41)&gt;COUNT(Dong5),"",OFFSET(TH!D$1,SMALL(Dong5,ROWS($1:41)),))</f>
        <v>C12</v>
      </c>
      <c r="C55" s="199">
        <f ca="1">IF(ROWS($1:41)&gt;COUNT(Dong5),"",OFFSET(TH!E$1,SMALL(Dong5,ROWS($1:41)),))</f>
        <v>40850</v>
      </c>
      <c r="D55" s="245" t="str">
        <f ca="1">IF(ROWS($1:41)&gt;COUNT(Dong5),"",OFFSET(TH!F$1,SMALL(Dong5,ROWS($1:41)),))</f>
        <v>Dịch vụ viễn thông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803075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13604127</v>
      </c>
    </row>
    <row r="56" spans="1:9" s="18" customFormat="1" ht="18" customHeight="1">
      <c r="A56" s="199">
        <f ca="1">IF(ROWS($1:42)&gt;COUNT(Dong5),"",OFFSET(TH!C$1,SMALL(Dong5,ROWS($1:42)),))</f>
        <v>40868</v>
      </c>
      <c r="B56" s="199" t="str">
        <f ca="1">IF(ROWS($1:42)&gt;COUNT(Dong5),"",OFFSET(TH!D$1,SMALL(Dong5,ROWS($1:42)),))</f>
        <v>GBN</v>
      </c>
      <c r="C56" s="199">
        <f ca="1">IF(ROWS($1:42)&gt;COUNT(Dong5),"",OFFSET(TH!E$1,SMALL(Dong5,ROWS($1:42)),))</f>
        <v>40868</v>
      </c>
      <c r="D56" s="245" t="str">
        <f ca="1">IF(ROWS($1:42)&gt;COUNT(Dong5),"",OFFSET(TH!F$1,SMALL(Dong5,ROWS($1:42)),))</f>
        <v>Phí KD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9091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13595036</v>
      </c>
    </row>
    <row r="57" spans="1:9" s="18" customFormat="1" ht="18" customHeight="1">
      <c r="A57" s="199">
        <f ca="1">IF(ROWS($1:43)&gt;COUNT(Dong5),"",OFFSET(TH!C$1,SMALL(Dong5,ROWS($1:43)),))</f>
        <v>40868</v>
      </c>
      <c r="B57" s="199" t="str">
        <f ca="1">IF(ROWS($1:43)&gt;COUNT(Dong5),"",OFFSET(TH!D$1,SMALL(Dong5,ROWS($1:43)),))</f>
        <v>GBN</v>
      </c>
      <c r="C57" s="199">
        <f ca="1">IF(ROWS($1:43)&gt;COUNT(Dong5),"",OFFSET(TH!E$1,SMALL(Dong5,ROWS($1:43)),))</f>
        <v>40868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9091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13585945</v>
      </c>
    </row>
    <row r="58" spans="1:9" s="18" customFormat="1" ht="18" customHeight="1">
      <c r="A58" s="199">
        <f ca="1">IF(ROWS($1:44)&gt;COUNT(Dong5),"",OFFSET(TH!C$1,SMALL(Dong5,ROWS($1:44)),))</f>
        <v>40876</v>
      </c>
      <c r="B58" s="199" t="str">
        <f ca="1">IF(ROWS($1:44)&gt;COUNT(Dong5),"",OFFSET(TH!D$1,SMALL(Dong5,ROWS($1:44)),))</f>
        <v>C17</v>
      </c>
      <c r="C58" s="199">
        <f ca="1">IF(ROWS($1:44)&gt;COUNT(Dong5),"",OFFSET(TH!E$1,SMALL(Dong5,ROWS($1:44)),))</f>
        <v>40876</v>
      </c>
      <c r="D58" s="245" t="str">
        <f ca="1">IF(ROWS($1:44)&gt;COUNT(Dong5),"",OFFSET(TH!F$1,SMALL(Dong5,ROWS($1:44)),))</f>
        <v>Văn phòng phẩm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186000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13399945</v>
      </c>
    </row>
    <row r="59" spans="1:9" s="18" customFormat="1" ht="18" customHeight="1">
      <c r="A59" s="199">
        <f ca="1">IF(ROWS($1:45)&gt;COUNT(Dong5),"",OFFSET(TH!C$1,SMALL(Dong5,ROWS($1:45)),))</f>
        <v>40877</v>
      </c>
      <c r="B59" s="199" t="str">
        <f ca="1">IF(ROWS($1:45)&gt;COUNT(Dong5),"",OFFSET(TH!D$1,SMALL(Dong5,ROWS($1:45)),))</f>
        <v>CTGS</v>
      </c>
      <c r="C59" s="199">
        <f ca="1">IF(ROWS($1:45)&gt;COUNT(Dong5),"",OFFSET(TH!E$1,SMALL(Dong5,ROWS($1:45)),))</f>
        <v>40877</v>
      </c>
      <c r="D59" s="245" t="str">
        <f ca="1">IF(ROWS($1:45)&gt;COUNT(Dong5),"",OFFSET(TH!F$1,SMALL(Dong5,ROWS($1:45)),))</f>
        <v>Tiền lương BP Quản lý</v>
      </c>
      <c r="E59" s="199" t="str">
        <f ca="1">IF(ROWS($1:45)&gt;COUNT(Dong5),"",IF(OFFSET(TH!L$1,SMALL(Dong5,ROWS($1:45)),)=$E$7,OFFSET(TH!M$1,SMALL(Dong5,ROWS($1:45)),),OFFSET(TH!L$1,SMALL(Dong5,ROWS($1:45)),)))</f>
        <v>3341</v>
      </c>
      <c r="F59" s="246">
        <f ca="1">IF(ROWS($1:45)&gt;COUNT(Dong5),0,IF(OFFSET(TH!L$1,SMALL(Dong5,ROWS($1:45)),)=$E$7,OFFSET(TH!K$1,SMALL(Dong5,ROWS($1:45)),),0))</f>
        <v>7070000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6329945</v>
      </c>
    </row>
    <row r="60" spans="1:9" s="18" customFormat="1" ht="18" customHeight="1">
      <c r="A60" s="199">
        <f ca="1">IF(ROWS($1:46)&gt;COUNT(Dong5),"",OFFSET(TH!C$1,SMALL(Dong5,ROWS($1:46)),))</f>
        <v>40908</v>
      </c>
      <c r="B60" s="199" t="str">
        <f ca="1">IF(ROWS($1:46)&gt;COUNT(Dong5),"",OFFSET(TH!D$1,SMALL(Dong5,ROWS($1:46)),))</f>
        <v>CTGS</v>
      </c>
      <c r="C60" s="199">
        <f ca="1">IF(ROWS($1:46)&gt;COUNT(Dong5),"",OFFSET(TH!E$1,SMALL(Dong5,ROWS($1:46)),))</f>
        <v>40908</v>
      </c>
      <c r="D60" s="245" t="str">
        <f ca="1">IF(ROWS($1:46)&gt;COUNT(Dong5),"",OFFSET(TH!F$1,SMALL(Dong5,ROWS($1:46)),))</f>
        <v>Tiền lương BP Quản lý</v>
      </c>
      <c r="E60" s="199" t="str">
        <f ca="1">IF(ROWS($1:46)&gt;COUNT(Dong5),"",IF(OFFSET(TH!L$1,SMALL(Dong5,ROWS($1:46)),)=$E$7,OFFSET(TH!M$1,SMALL(Dong5,ROWS($1:46)),),OFFSET(TH!L$1,SMALL(Dong5,ROWS($1:46)),)))</f>
        <v>3341</v>
      </c>
      <c r="F60" s="246">
        <f ca="1">IF(ROWS($1:46)&gt;COUNT(Dong5),0,IF(OFFSET(TH!L$1,SMALL(Dong5,ROWS($1:46)),)=$E$7,OFFSET(TH!K$1,SMALL(Dong5,ROWS($1:46)),),0))</f>
        <v>6329945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125</v>
      </c>
      <c r="E62" s="200" t="s">
        <v>18</v>
      </c>
      <c r="F62" s="248">
        <f ca="1">SUM(F15:F61)</f>
        <v>68192198</v>
      </c>
      <c r="G62" s="248">
        <f ca="1">SUM(G15:G61)</f>
        <v>68192198</v>
      </c>
      <c r="H62" s="248" t="s">
        <v>18</v>
      </c>
      <c r="I62" s="248" t="s">
        <v>18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18</v>
      </c>
      <c r="F63" s="250" t="s">
        <v>18</v>
      </c>
      <c r="G63" s="250" t="s">
        <v>18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147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2011</v>
      </c>
      <c r="E66" s="214"/>
    </row>
    <row r="67" spans="1:9" s="18" customFormat="1" ht="13.5" customHeight="1">
      <c r="A67" s="214"/>
      <c r="B67" s="214"/>
      <c r="C67" s="214"/>
      <c r="E67" s="967" t="str">
        <f ca="1">"Ngày 31 tháng  12  năm  "&amp;YEAR($A$15)</f>
        <v>Ngày 31 tháng  12  năm  2011</v>
      </c>
      <c r="F67" s="967"/>
      <c r="G67" s="967"/>
      <c r="H67" s="967"/>
      <c r="I67" s="967"/>
    </row>
    <row r="68" spans="1:9" s="18" customFormat="1" ht="12.75">
      <c r="A68" s="967" t="s">
        <v>11</v>
      </c>
      <c r="B68" s="967"/>
      <c r="C68" s="967"/>
      <c r="D68" s="967"/>
      <c r="E68" s="967" t="s">
        <v>12</v>
      </c>
      <c r="F68" s="967"/>
      <c r="G68" s="967"/>
      <c r="H68" s="967"/>
      <c r="I68" s="967"/>
    </row>
    <row r="69" spans="1:9" s="18" customFormat="1" ht="12.75">
      <c r="A69" s="967" t="s">
        <v>13</v>
      </c>
      <c r="B69" s="967"/>
      <c r="C69" s="967"/>
      <c r="D69" s="967"/>
      <c r="E69" s="967" t="s">
        <v>13</v>
      </c>
      <c r="F69" s="967"/>
      <c r="G69" s="967"/>
      <c r="H69" s="967"/>
      <c r="I69" s="967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68"/>
      <c r="B76" s="968"/>
      <c r="C76" s="968"/>
      <c r="D76" s="968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1" t="s">
        <v>111</v>
      </c>
      <c r="H1" s="971"/>
      <c r="I1" s="971"/>
      <c r="J1" s="971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72"/>
      <c r="I2" s="972"/>
      <c r="J2" s="972"/>
    </row>
    <row r="3" spans="1:15" s="3" customFormat="1" ht="16.5" customHeight="1">
      <c r="A3" s="4"/>
      <c r="B3" s="16"/>
      <c r="C3" s="109"/>
      <c r="D3" s="109"/>
      <c r="E3" s="16"/>
      <c r="G3" s="972"/>
      <c r="H3" s="972"/>
      <c r="I3" s="972"/>
      <c r="J3" s="972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1" t="s">
        <v>112</v>
      </c>
      <c r="B5" s="981"/>
      <c r="C5" s="981"/>
      <c r="D5" s="981"/>
      <c r="E5" s="981"/>
      <c r="F5" s="981"/>
      <c r="G5" s="981"/>
      <c r="H5" s="981"/>
      <c r="I5" s="981"/>
      <c r="J5" s="981"/>
    </row>
    <row r="6" spans="1:15" ht="14.25" customHeight="1">
      <c r="A6" s="983" t="str">
        <f ca="1">$L$11&amp;" / "&amp;YEAR($A$14)</f>
        <v>Quý III / 2011</v>
      </c>
      <c r="B6" s="983"/>
      <c r="C6" s="983"/>
      <c r="D6" s="983"/>
      <c r="E6" s="983"/>
      <c r="F6" s="983"/>
      <c r="G6" s="983"/>
      <c r="H6" s="983"/>
      <c r="I6" s="983"/>
      <c r="J6" s="983"/>
    </row>
    <row r="7" spans="1:15">
      <c r="A7" s="982" t="s">
        <v>113</v>
      </c>
      <c r="B7" s="982"/>
      <c r="C7" s="982"/>
      <c r="D7" s="982"/>
      <c r="E7" s="982"/>
      <c r="F7" s="982"/>
      <c r="G7" s="982"/>
      <c r="H7" s="982"/>
      <c r="I7" s="982"/>
      <c r="J7" s="982"/>
    </row>
    <row r="8" spans="1:15">
      <c r="A8" s="982" t="s">
        <v>114</v>
      </c>
      <c r="B8" s="982"/>
      <c r="C8" s="982"/>
      <c r="D8" s="982"/>
      <c r="E8" s="982"/>
      <c r="F8" s="982"/>
      <c r="G8" s="982"/>
      <c r="H8" s="982"/>
      <c r="I8" s="982"/>
      <c r="J8" s="982"/>
    </row>
    <row r="9" spans="1:15">
      <c r="A9" s="112"/>
      <c r="I9" s="112" t="s">
        <v>115</v>
      </c>
    </row>
    <row r="10" spans="1:15" ht="33" customHeight="1" thickBot="1">
      <c r="A10" s="985" t="s">
        <v>19</v>
      </c>
      <c r="B10" s="985" t="s">
        <v>116</v>
      </c>
      <c r="C10" s="984" t="s">
        <v>117</v>
      </c>
      <c r="D10" s="984"/>
      <c r="E10" s="984" t="s">
        <v>0</v>
      </c>
      <c r="F10" s="985" t="s">
        <v>14</v>
      </c>
      <c r="G10" s="984" t="s">
        <v>20</v>
      </c>
      <c r="H10" s="984"/>
      <c r="I10" s="984" t="s">
        <v>118</v>
      </c>
      <c r="J10" s="984" t="s">
        <v>119</v>
      </c>
      <c r="L10" s="623"/>
      <c r="N10" s="959" t="s">
        <v>329</v>
      </c>
      <c r="O10" s="959"/>
    </row>
    <row r="11" spans="1:15" ht="24" customHeight="1" thickBot="1">
      <c r="A11" s="986"/>
      <c r="B11" s="986"/>
      <c r="C11" s="113" t="s">
        <v>120</v>
      </c>
      <c r="D11" s="113" t="s">
        <v>121</v>
      </c>
      <c r="E11" s="984"/>
      <c r="F11" s="986"/>
      <c r="G11" s="113" t="s">
        <v>21</v>
      </c>
      <c r="H11" s="113" t="s">
        <v>22</v>
      </c>
      <c r="I11" s="984"/>
      <c r="J11" s="984"/>
      <c r="L11" s="178" t="s">
        <v>1079</v>
      </c>
      <c r="N11" s="645">
        <f>IF(L11="Quý I",1,IF(L11="Quý II",4,IF(L11="Quý III",7,IF(L11="Quý IV",10,""))))</f>
        <v>7</v>
      </c>
      <c r="O11" s="645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122</v>
      </c>
      <c r="G12" s="115">
        <v>1</v>
      </c>
      <c r="H12" s="115">
        <v>2</v>
      </c>
      <c r="I12" s="115">
        <v>3</v>
      </c>
      <c r="J12" s="115" t="s">
        <v>123</v>
      </c>
      <c r="N12" s="646"/>
      <c r="O12" s="646"/>
    </row>
    <row r="13" spans="1:15" s="116" customFormat="1" ht="21.75" customHeight="1">
      <c r="A13" s="117"/>
      <c r="B13" s="117"/>
      <c r="C13" s="117"/>
      <c r="D13" s="117"/>
      <c r="E13" s="117" t="s">
        <v>124</v>
      </c>
      <c r="F13" s="118"/>
      <c r="G13" s="119"/>
      <c r="H13" s="117"/>
      <c r="I13" s="139">
        <f>IF($L$11="All",CDPS!$C$10,CDPS!$C$10+SUMIF(_N111,"x",TH)-SUMIF(_C111,"x",TH))</f>
        <v>1416624868</v>
      </c>
      <c r="J13" s="117"/>
      <c r="N13" s="647"/>
      <c r="O13" s="647"/>
    </row>
    <row r="14" spans="1:15" ht="21.75" customHeight="1">
      <c r="A14" s="120">
        <f ca="1">IF(ROWS($1:1)&gt;COUNT(Dong1),"",OFFSET(TH!C$1,SMALL(Dong1,ROWS($1:1)),))</f>
        <v>40729</v>
      </c>
      <c r="B14" s="120">
        <f ca="1">IF(ROWS($1:1)&gt;COUNT(Dong1),"",OFFSET(TH!E$1,SMALL(Dong1,ROWS($1:1)),))</f>
        <v>40729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Mực in VFLEX 6529 Blue</v>
      </c>
      <c r="F14" s="124" t="str">
        <f ca="1">IF(ROWS($1:1)&gt;COUNT(Dong1),"",IF(OFFSET(TH!M$1,SMALL(Dong1,ROWS($1:1)),)="1111",OFFSET(TH!L$1,SMALL(Dong1,ROWS($1:1)),),OFFSET(TH!M$1,SMALL(Dong1,ROWS($1:1)),)))</f>
        <v>154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2680000</v>
      </c>
      <c r="I14" s="121">
        <f ca="1">IF(E14&lt;&gt;"",I13+G14-H14,0)</f>
        <v>1413944868</v>
      </c>
      <c r="J14" s="126"/>
      <c r="N14" s="648"/>
      <c r="O14" s="648"/>
    </row>
    <row r="15" spans="1:15" ht="21.75" customHeight="1">
      <c r="A15" s="120">
        <f ca="1">IF(ROWS($1:2)&gt;COUNT(Dong1),"",OFFSET(TH!C$1,SMALL(Dong1,ROWS($1:2)),))</f>
        <v>40729</v>
      </c>
      <c r="B15" s="120">
        <f ca="1">IF(ROWS($1:2)&gt;COUNT(Dong1),"",OFFSET(TH!E$1,SMALL(Dong1,ROWS($1:2)),))</f>
        <v>40729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Mực in VFLEX 6529 Blue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268000</v>
      </c>
      <c r="I15" s="121">
        <f t="shared" ref="I15:I62" ca="1" si="0">IF(E15&lt;&gt;"",I14+G15-H15,0)</f>
        <v>1413676868</v>
      </c>
      <c r="J15" s="126"/>
      <c r="N15" s="648"/>
      <c r="O15" s="648"/>
    </row>
    <row r="16" spans="1:15" ht="21.75" customHeight="1">
      <c r="A16" s="120">
        <f ca="1">IF(ROWS($1:3)&gt;COUNT(Dong1),"",OFFSET(TH!C$1,SMALL(Dong1,ROWS($1:3)),))</f>
        <v>40736</v>
      </c>
      <c r="B16" s="120">
        <f ca="1">IF(ROWS($1:3)&gt;COUNT(Dong1),"",OFFSET(TH!E$1,SMALL(Dong1,ROWS($1:3)),))</f>
        <v>40736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Nộp tiền mặt vào tài khoản</v>
      </c>
      <c r="F16" s="124" t="str">
        <f ca="1">IF(ROWS($1:3)&gt;COUNT(Dong1),"",IF(OFFSET(TH!M$1,SMALL(Dong1,ROWS($1:3)),)="1111",OFFSET(TH!L$1,SMALL(Dong1,ROWS($1:3)),),OFFSET(TH!M$1,SMALL(Dong1,ROWS($1:3)),)))</f>
        <v>1121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114504000</v>
      </c>
      <c r="I16" s="121">
        <f t="shared" ca="1" si="0"/>
        <v>1299172868</v>
      </c>
      <c r="J16" s="126"/>
      <c r="N16" s="648"/>
      <c r="O16" s="648"/>
    </row>
    <row r="17" spans="1:15" ht="21.75" customHeight="1">
      <c r="A17" s="120">
        <f ca="1">IF(ROWS($1:4)&gt;COUNT(Dong1),"",OFFSET(TH!C$1,SMALL(Dong1,ROWS($1:4)),))</f>
        <v>40738</v>
      </c>
      <c r="B17" s="120">
        <f ca="1">IF(ROWS($1:4)&gt;COUNT(Dong1),"",OFFSET(TH!E$1,SMALL(Dong1,ROWS($1:4)),))</f>
        <v>40738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9" t="str">
        <f ca="1">IF(ROWS($1:4)&gt;COUNT(Dong1),"",OFFSET(TH!F$1,SMALL(Dong1,ROWS($1:4)),))</f>
        <v>Hộp mực in</v>
      </c>
      <c r="F17" s="124" t="str">
        <f ca="1">IF(ROWS($1:4)&gt;COUNT(Dong1),"",IF(OFFSET(TH!M$1,SMALL(Dong1,ROWS($1:4)),)="1111",OFFSET(TH!L$1,SMALL(Dong1,ROWS($1:4)),),OFFSET(TH!M$1,SMALL(Dong1,ROWS($1:4)),)))</f>
        <v>154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1090909</v>
      </c>
      <c r="I17" s="121">
        <f t="shared" ca="1" si="0"/>
        <v>1298081959</v>
      </c>
      <c r="J17" s="126"/>
      <c r="N17" s="648"/>
      <c r="O17" s="648"/>
    </row>
    <row r="18" spans="1:15" ht="21.75" customHeight="1">
      <c r="A18" s="120">
        <f ca="1">IF(ROWS($1:5)&gt;COUNT(Dong1),"",OFFSET(TH!C$1,SMALL(Dong1,ROWS($1:5)),))</f>
        <v>40738</v>
      </c>
      <c r="B18" s="120">
        <f ca="1">IF(ROWS($1:5)&gt;COUNT(Dong1),"",OFFSET(TH!E$1,SMALL(Dong1,ROWS($1:5)),))</f>
        <v>40738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VAT Hộp mực in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109091</v>
      </c>
      <c r="I18" s="121">
        <f t="shared" ca="1" si="0"/>
        <v>1297972868</v>
      </c>
      <c r="J18" s="126"/>
      <c r="N18" s="648"/>
      <c r="O18" s="648"/>
    </row>
    <row r="19" spans="1:15" ht="21.75" customHeight="1">
      <c r="A19" s="120">
        <f ca="1">IF(ROWS($1:6)&gt;COUNT(Dong1),"",OFFSET(TH!C$1,SMALL(Dong1,ROWS($1:6)),))</f>
        <v>40740</v>
      </c>
      <c r="B19" s="120">
        <f ca="1">IF(ROWS($1:6)&gt;COUNT(Dong1),"",OFFSET(TH!E$1,SMALL(Dong1,ROWS($1:6)),))</f>
        <v>40740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Rút tiền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62000000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1359972868</v>
      </c>
      <c r="J19" s="126"/>
      <c r="N19" s="648"/>
      <c r="O19" s="648"/>
    </row>
    <row r="20" spans="1:15" ht="21.75" customHeight="1">
      <c r="A20" s="120">
        <f ca="1">IF(ROWS($1:7)&gt;COUNT(Dong1),"",OFFSET(TH!C$1,SMALL(Dong1,ROWS($1:7)),))</f>
        <v>40742</v>
      </c>
      <c r="B20" s="120">
        <f ca="1">IF(ROWS($1:7)&gt;COUNT(Dong1),"",OFFSET(TH!E$1,SMALL(Dong1,ROWS($1:7)),))</f>
        <v>40742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Tiền điện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1093440</v>
      </c>
      <c r="I20" s="121">
        <f t="shared" ca="1" si="0"/>
        <v>1358879428</v>
      </c>
      <c r="J20" s="126"/>
      <c r="N20" s="648"/>
      <c r="O20" s="648"/>
    </row>
    <row r="21" spans="1:15" ht="21.75" customHeight="1">
      <c r="A21" s="120">
        <f ca="1">IF(ROWS($1:8)&gt;COUNT(Dong1),"",OFFSET(TH!C$1,SMALL(Dong1,ROWS($1:8)),))</f>
        <v>40742</v>
      </c>
      <c r="B21" s="120">
        <f ca="1">IF(ROWS($1:8)&gt;COUNT(Dong1),"",OFFSET(TH!E$1,SMALL(Dong1,ROWS($1:8)),))</f>
        <v>40742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Tiền điện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109344</v>
      </c>
      <c r="I21" s="121">
        <f t="shared" ca="1" si="0"/>
        <v>1358770084</v>
      </c>
      <c r="J21" s="126"/>
      <c r="N21" s="648"/>
      <c r="O21" s="648"/>
    </row>
    <row r="22" spans="1:15" ht="21.75" customHeight="1">
      <c r="A22" s="120">
        <f ca="1">IF(ROWS($1:9)&gt;COUNT(Dong1),"",OFFSET(TH!C$1,SMALL(Dong1,ROWS($1:9)),))</f>
        <v>40745</v>
      </c>
      <c r="B22" s="120">
        <f ca="1">IF(ROWS($1:9)&gt;COUNT(Dong1),"",OFFSET(TH!E$1,SMALL(Dong1,ROWS($1:9)),))</f>
        <v>40745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9" t="str">
        <f ca="1">IF(ROWS($1:9)&gt;COUNT(Dong1),"",OFFSET(TH!F$1,SMALL(Dong1,ROWS($1:9)),))</f>
        <v>Thanh toán tiền Kẽm đóng bao bì</v>
      </c>
      <c r="F22" s="124" t="str">
        <f ca="1">IF(ROWS($1:9)&gt;COUNT(Dong1),"",IF(OFFSET(TH!M$1,SMALL(Dong1,ROWS($1:9)),)="1111",OFFSET(TH!L$1,SMALL(Dong1,ROWS($1:9)),),OFFSET(TH!M$1,SMALL(Dong1,ROWS($1:9)),)))</f>
        <v>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1320000</v>
      </c>
      <c r="I22" s="121">
        <f t="shared" ca="1" si="0"/>
        <v>1357450084</v>
      </c>
      <c r="J22" s="126"/>
      <c r="N22" s="648"/>
      <c r="O22" s="648"/>
    </row>
    <row r="23" spans="1:15" ht="21.75" customHeight="1">
      <c r="A23" s="120">
        <f ca="1">IF(ROWS($1:10)&gt;COUNT(Dong1),"",OFFSET(TH!C$1,SMALL(Dong1,ROWS($1:10)),))</f>
        <v>40755</v>
      </c>
      <c r="B23" s="120">
        <f ca="1">IF(ROWS($1:10)&gt;COUNT(Dong1),"",OFFSET(TH!E$1,SMALL(Dong1,ROWS($1:10)),))</f>
        <v>40755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9" t="str">
        <f ca="1">IF(ROWS($1:10)&gt;COUNT(Dong1),"",OFFSET(TH!F$1,SMALL(Dong1,ROWS($1:10)),))</f>
        <v>Thanh toán tiền lương tháng 7/2011</v>
      </c>
      <c r="F23" s="124" t="str">
        <f ca="1">IF(ROWS($1:10)&gt;COUNT(Dong1),"",IF(OFFSET(TH!M$1,SMALL(Dong1,ROWS($1:10)),)="1111",OFFSET(TH!L$1,SMALL(Dong1,ROWS($1:10)),),OFFSET(TH!M$1,SMALL(Dong1,ROWS($1:10)),)))</f>
        <v>3341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13340000</v>
      </c>
      <c r="I23" s="121">
        <f t="shared" ca="1" si="0"/>
        <v>1344110084</v>
      </c>
      <c r="J23" s="126"/>
      <c r="N23" s="648"/>
      <c r="O23" s="648"/>
    </row>
    <row r="24" spans="1:15" ht="21.75" customHeight="1">
      <c r="A24" s="120">
        <f ca="1">IF(ROWS($1:11)&gt;COUNT(Dong1),"",OFFSET(TH!C$1,SMALL(Dong1,ROWS($1:11)),))</f>
        <v>40755</v>
      </c>
      <c r="B24" s="120">
        <f ca="1">IF(ROWS($1:11)&gt;COUNT(Dong1),"",OFFSET(TH!E$1,SMALL(Dong1,ROWS($1:11)),))</f>
        <v>40755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C07</v>
      </c>
      <c r="E24" s="229" t="str">
        <f ca="1">IF(ROWS($1:11)&gt;COUNT(Dong1),"",OFFSET(TH!F$1,SMALL(Dong1,ROWS($1:11)),))</f>
        <v>Difsel 0.05S, lệ phí xăng dầu</v>
      </c>
      <c r="F24" s="124" t="str">
        <f ca="1">IF(ROWS($1:11)&gt;COUNT(Dong1),"",IF(OFFSET(TH!M$1,SMALL(Dong1,ROWS($1:11)),)="1111",OFFSET(TH!L$1,SMALL(Dong1,ROWS($1:11)),),OFFSET(TH!M$1,SMALL(Dong1,ROWS($1:11)),)))</f>
        <v>641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455629</v>
      </c>
      <c r="I24" s="121">
        <f t="shared" ca="1" si="0"/>
        <v>1343654455</v>
      </c>
      <c r="J24" s="126"/>
      <c r="N24" s="648"/>
      <c r="O24" s="648"/>
    </row>
    <row r="25" spans="1:15" ht="21.75" customHeight="1">
      <c r="A25" s="120">
        <f ca="1">IF(ROWS($1:12)&gt;COUNT(Dong1),"",OFFSET(TH!C$1,SMALL(Dong1,ROWS($1:12)),))</f>
        <v>40755</v>
      </c>
      <c r="B25" s="120">
        <f ca="1">IF(ROWS($1:12)&gt;COUNT(Dong1),"",OFFSET(TH!E$1,SMALL(Dong1,ROWS($1:12)),))</f>
        <v>40755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C07</v>
      </c>
      <c r="E25" s="229" t="str">
        <f ca="1">IF(ROWS($1:12)&gt;COUNT(Dong1),"",OFFSET(TH!F$1,SMALL(Dong1,ROWS($1:12)),))</f>
        <v>VAT Difsel 0.05S</v>
      </c>
      <c r="F25" s="124" t="str">
        <f ca="1">IF(ROWS($1:12)&gt;COUNT(Dong1),"",IF(OFFSET(TH!M$1,SMALL(Dong1,ROWS($1:12)),)="1111",OFFSET(TH!L$1,SMALL(Dong1,ROWS($1:12)),),OFFSET(TH!M$1,SMALL(Dong1,ROWS($1:12)),)))</f>
        <v>1331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44378</v>
      </c>
      <c r="I25" s="121">
        <f t="shared" ca="1" si="0"/>
        <v>1343610077</v>
      </c>
      <c r="J25" s="126"/>
      <c r="N25" s="648"/>
      <c r="O25" s="648"/>
    </row>
    <row r="26" spans="1:15" ht="21.75" customHeight="1">
      <c r="A26" s="120">
        <f ca="1">IF(ROWS($1:13)&gt;COUNT(Dong1),"",OFFSET(TH!C$1,SMALL(Dong1,ROWS($1:13)),))</f>
        <v>40758</v>
      </c>
      <c r="B26" s="120">
        <f ca="1">IF(ROWS($1:13)&gt;COUNT(Dong1),"",OFFSET(TH!E$1,SMALL(Dong1,ROWS($1:13)),))</f>
        <v>40758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C08</v>
      </c>
      <c r="E26" s="229" t="str">
        <f ca="1">IF(ROWS($1:13)&gt;COUNT(Dong1),"",OFFSET(TH!F$1,SMALL(Dong1,ROWS($1:13)),))</f>
        <v>Difsel 0.05S, lệ phí xăng dầu</v>
      </c>
      <c r="F26" s="124" t="str">
        <f ca="1">IF(ROWS($1:13)&gt;COUNT(Dong1),"",IF(OFFSET(TH!M$1,SMALL(Dong1,ROWS($1:13)),)="1111",OFFSET(TH!L$1,SMALL(Dong1,ROWS($1:13)),),OFFSET(TH!M$1,SMALL(Dong1,ROWS($1:13)),)))</f>
        <v>641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384545</v>
      </c>
      <c r="I26" s="121">
        <f t="shared" ca="1" si="0"/>
        <v>1343225532</v>
      </c>
      <c r="J26" s="126"/>
      <c r="N26" s="648"/>
      <c r="O26" s="648"/>
    </row>
    <row r="27" spans="1:15" ht="21.75" customHeight="1">
      <c r="A27" s="120">
        <f ca="1">IF(ROWS($1:14)&gt;COUNT(Dong1),"",OFFSET(TH!C$1,SMALL(Dong1,ROWS($1:14)),))</f>
        <v>40758</v>
      </c>
      <c r="B27" s="120">
        <f ca="1">IF(ROWS($1:14)&gt;COUNT(Dong1),"",OFFSET(TH!E$1,SMALL(Dong1,ROWS($1:14)),))</f>
        <v>40758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C08</v>
      </c>
      <c r="E27" s="229" t="str">
        <f ca="1">IF(ROWS($1:14)&gt;COUNT(Dong1),"",OFFSET(TH!F$1,SMALL(Dong1,ROWS($1:14)),))</f>
        <v>VAT Difsel 0.05S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37455</v>
      </c>
      <c r="I27" s="121">
        <f t="shared" ca="1" si="0"/>
        <v>1343188077</v>
      </c>
      <c r="J27" s="126"/>
      <c r="N27" s="648"/>
      <c r="O27" s="648"/>
    </row>
    <row r="28" spans="1:15" ht="21.75" customHeight="1">
      <c r="A28" s="120">
        <f ca="1">IF(ROWS($1:15)&gt;COUNT(Dong1),"",OFFSET(TH!C$1,SMALL(Dong1,ROWS($1:15)),))</f>
        <v>40758</v>
      </c>
      <c r="B28" s="120">
        <f ca="1">IF(ROWS($1:15)&gt;COUNT(Dong1),"",OFFSET(TH!E$1,SMALL(Dong1,ROWS($1:15)),))</f>
        <v>40758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C09</v>
      </c>
      <c r="E28" s="229" t="str">
        <f ca="1">IF(ROWS($1:15)&gt;COUNT(Dong1),"",OFFSET(TH!F$1,SMALL(Dong1,ROWS($1:15)),))</f>
        <v>Mực in VFLEX 1563 Black-378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1600000</v>
      </c>
      <c r="I28" s="121">
        <f t="shared" ca="1" si="0"/>
        <v>1341588077</v>
      </c>
      <c r="J28" s="126"/>
      <c r="N28" s="648"/>
      <c r="O28" s="648"/>
    </row>
    <row r="29" spans="1:15" ht="21.75" customHeight="1">
      <c r="A29" s="120">
        <f ca="1">IF(ROWS($1:16)&gt;COUNT(Dong1),"",OFFSET(TH!C$1,SMALL(Dong1,ROWS($1:16)),))</f>
        <v>40758</v>
      </c>
      <c r="B29" s="120">
        <f ca="1">IF(ROWS($1:16)&gt;COUNT(Dong1),"",OFFSET(TH!E$1,SMALL(Dong1,ROWS($1:16)),))</f>
        <v>40758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29" t="str">
        <f ca="1">IF(ROWS($1:16)&gt;COUNT(Dong1),"",OFFSET(TH!F$1,SMALL(Dong1,ROWS($1:16)),))</f>
        <v>VAT Mực in VFLEX 1563 Black-378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160000</v>
      </c>
      <c r="I29" s="121">
        <f t="shared" ca="1" si="0"/>
        <v>1341428077</v>
      </c>
      <c r="J29" s="126"/>
      <c r="N29" s="648"/>
      <c r="O29" s="648"/>
    </row>
    <row r="30" spans="1:15" ht="21.75" customHeight="1">
      <c r="A30" s="120">
        <f ca="1">IF(ROWS($1:17)&gt;COUNT(Dong1),"",OFFSET(TH!C$1,SMALL(Dong1,ROWS($1:17)),))</f>
        <v>40762</v>
      </c>
      <c r="B30" s="120">
        <f ca="1">IF(ROWS($1:17)&gt;COUNT(Dong1),"",OFFSET(TH!E$1,SMALL(Dong1,ROWS($1:17)),))</f>
        <v>40762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29" t="str">
        <f ca="1">IF(ROWS($1:17)&gt;COUNT(Dong1),"",OFFSET(TH!F$1,SMALL(Dong1,ROWS($1:17)),))</f>
        <v>Difsel 0.05S, lệ phí xăng dầu</v>
      </c>
      <c r="F30" s="124" t="str">
        <f ca="1">IF(ROWS($1:17)&gt;COUNT(Dong1),"",IF(OFFSET(TH!M$1,SMALL(Dong1,ROWS($1:17)),)="1111",OFFSET(TH!L$1,SMALL(Dong1,ROWS($1:17)),),OFFSET(TH!M$1,SMALL(Dong1,ROWS($1:17)),)))</f>
        <v>641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455629</v>
      </c>
      <c r="I30" s="121">
        <f t="shared" ca="1" si="0"/>
        <v>1340972448</v>
      </c>
      <c r="J30" s="126"/>
      <c r="N30" s="648"/>
      <c r="O30" s="648"/>
    </row>
    <row r="31" spans="1:15" ht="21.75" customHeight="1">
      <c r="A31" s="120">
        <f ca="1">IF(ROWS($1:18)&gt;COUNT(Dong1),"",OFFSET(TH!C$1,SMALL(Dong1,ROWS($1:18)),))</f>
        <v>40762</v>
      </c>
      <c r="B31" s="120">
        <f ca="1">IF(ROWS($1:18)&gt;COUNT(Dong1),"",OFFSET(TH!E$1,SMALL(Dong1,ROWS($1:18)),))</f>
        <v>40762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9" t="str">
        <f ca="1">IF(ROWS($1:18)&gt;COUNT(Dong1),"",OFFSET(TH!F$1,SMALL(Dong1,ROWS($1:18)),))</f>
        <v>VAT Difsel 0.05S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44378</v>
      </c>
      <c r="I31" s="121">
        <f t="shared" ca="1" si="0"/>
        <v>1340928070</v>
      </c>
      <c r="J31" s="126"/>
      <c r="N31" s="648"/>
      <c r="O31" s="648"/>
    </row>
    <row r="32" spans="1:15" ht="21.75" customHeight="1">
      <c r="A32" s="120">
        <f ca="1">IF(ROWS($1:19)&gt;COUNT(Dong1),"",OFFSET(TH!C$1,SMALL(Dong1,ROWS($1:19)),))</f>
        <v>40764</v>
      </c>
      <c r="B32" s="120">
        <f ca="1">IF(ROWS($1:19)&gt;COUNT(Dong1),"",OFFSET(TH!E$1,SMALL(Dong1,ROWS($1:19)),))</f>
        <v>40764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Thùng 5 lớp không in</v>
      </c>
      <c r="F32" s="124" t="str">
        <f ca="1">IF(ROWS($1:19)&gt;COUNT(Dong1),"",IF(OFFSET(TH!M$1,SMALL(Dong1,ROWS($1:19)),)="1111",OFFSET(TH!L$1,SMALL(Dong1,ROWS($1:19)),),OFFSET(TH!M$1,SMALL(Dong1,ROWS($1:19)),)))</f>
        <v>131</v>
      </c>
      <c r="G32" s="125">
        <f ca="1">IF(ROWS($1:19)&gt;COUNT(Dong1),"",IF(OFFSET(TH!L$1,SMALL(Dong1,ROWS($1:19)),)="1111",OFFSET(TH!K$1,SMALL(Dong1,ROWS($1:19)),),0))</f>
        <v>11858000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1352786070</v>
      </c>
      <c r="J32" s="126"/>
      <c r="N32" s="648"/>
      <c r="O32" s="648"/>
    </row>
    <row r="33" spans="1:15" ht="21.75" customHeight="1">
      <c r="A33" s="120">
        <f ca="1">IF(ROWS($1:20)&gt;COUNT(Dong1),"",OFFSET(TH!C$1,SMALL(Dong1,ROWS($1:20)),))</f>
        <v>40766</v>
      </c>
      <c r="B33" s="120">
        <f ca="1">IF(ROWS($1:20)&gt;COUNT(Dong1),"",OFFSET(TH!E$1,SMALL(Dong1,ROWS($1:20)),))</f>
        <v>40766</v>
      </c>
      <c r="C33" s="121" t="str">
        <f ca="1">IF(ROWS($1:20)&gt;COUNT(Dong1),"",IF(OFFSET(TH!L$1,SMALL(Dong1,ROWS($1:20)),)="1111",OFFSET(TH!D$1,SMALL(Dong1,ROWS($1:20)),),""))</f>
        <v>T03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Rút tiền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35000000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1387786070</v>
      </c>
      <c r="J33" s="126"/>
      <c r="N33" s="648"/>
      <c r="O33" s="648"/>
    </row>
    <row r="34" spans="1:15" ht="21.75" customHeight="1">
      <c r="A34" s="120">
        <f ca="1">IF(ROWS($1:21)&gt;COUNT(Dong1),"",OFFSET(TH!C$1,SMALL(Dong1,ROWS($1:21)),))</f>
        <v>40772</v>
      </c>
      <c r="B34" s="120">
        <f ca="1">IF(ROWS($1:21)&gt;COUNT(Dong1),"",OFFSET(TH!E$1,SMALL(Dong1,ROWS($1:21)),))</f>
        <v>40772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29" t="str">
        <f ca="1">IF(ROWS($1:21)&gt;COUNT(Dong1),"",OFFSET(TH!F$1,SMALL(Dong1,ROWS($1:21)),))</f>
        <v>Mực in V-FLEX Red-R032</v>
      </c>
      <c r="F34" s="124" t="str">
        <f ca="1">IF(ROWS($1:21)&gt;COUNT(Dong1),"",IF(OFFSET(TH!M$1,SMALL(Dong1,ROWS($1:21)),)="1111",OFFSET(TH!L$1,SMALL(Dong1,ROWS($1:21)),),OFFSET(TH!M$1,SMALL(Dong1,ROWS($1:21)),)))</f>
        <v>154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1360000</v>
      </c>
      <c r="I34" s="121">
        <f t="shared" ca="1" si="0"/>
        <v>1386426070</v>
      </c>
      <c r="J34" s="126"/>
      <c r="N34" s="648"/>
      <c r="O34" s="648"/>
    </row>
    <row r="35" spans="1:15" ht="21.75" customHeight="1">
      <c r="A35" s="120">
        <f ca="1">IF(ROWS($1:22)&gt;COUNT(Dong1),"",OFFSET(TH!C$1,SMALL(Dong1,ROWS($1:22)),))</f>
        <v>40772</v>
      </c>
      <c r="B35" s="120">
        <f ca="1">IF(ROWS($1:22)&gt;COUNT(Dong1),"",OFFSET(TH!E$1,SMALL(Dong1,ROWS($1:22)),))</f>
        <v>40772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C11</v>
      </c>
      <c r="E35" s="229" t="str">
        <f ca="1">IF(ROWS($1:22)&gt;COUNT(Dong1),"",OFFSET(TH!F$1,SMALL(Dong1,ROWS($1:22)),))</f>
        <v>VAT Mực in V-FLEX Red-R032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136000</v>
      </c>
      <c r="I35" s="121">
        <f t="shared" ca="1" si="0"/>
        <v>1386290070</v>
      </c>
      <c r="J35" s="126"/>
      <c r="N35" s="648"/>
      <c r="O35" s="648"/>
    </row>
    <row r="36" spans="1:15" ht="21.75" customHeight="1">
      <c r="A36" s="120">
        <f ca="1">IF(ROWS($1:23)&gt;COUNT(Dong1),"",OFFSET(TH!C$1,SMALL(Dong1,ROWS($1:23)),))</f>
        <v>40772</v>
      </c>
      <c r="B36" s="120">
        <f ca="1">IF(ROWS($1:23)&gt;COUNT(Dong1),"",OFFSET(TH!E$1,SMALL(Dong1,ROWS($1:23)),))</f>
        <v>40772</v>
      </c>
      <c r="C36" s="121" t="str">
        <f ca="1">IF(ROWS($1:23)&gt;COUNT(Dong1),"",IF(OFFSET(TH!L$1,SMALL(Dong1,ROWS($1:23)),)="1111",OFFSET(TH!D$1,SMALL(Dong1,ROWS($1:23)),),""))</f>
        <v>T04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Thu tiền hàng</v>
      </c>
      <c r="F36" s="124" t="str">
        <f ca="1">IF(ROWS($1:23)&gt;COUNT(Dong1),"",IF(OFFSET(TH!M$1,SMALL(Dong1,ROWS($1:23)),)="1111",OFFSET(TH!L$1,SMALL(Dong1,ROWS($1:23)),),OFFSET(TH!M$1,SMALL(Dong1,ROWS($1:23)),)))</f>
        <v>131</v>
      </c>
      <c r="G36" s="125">
        <f ca="1">IF(ROWS($1:23)&gt;COUNT(Dong1),"",IF(OFFSET(TH!L$1,SMALL(Dong1,ROWS($1:23)),)="1111",OFFSET(TH!K$1,SMALL(Dong1,ROWS($1:23)),),0))</f>
        <v>12100000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1398390070</v>
      </c>
      <c r="J36" s="126"/>
      <c r="N36" s="648"/>
      <c r="O36" s="648"/>
    </row>
    <row r="37" spans="1:15" ht="21.75" customHeight="1">
      <c r="A37" s="120">
        <f ca="1">IF(ROWS($1:24)&gt;COUNT(Dong1),"",OFFSET(TH!C$1,SMALL(Dong1,ROWS($1:24)),))</f>
        <v>40775</v>
      </c>
      <c r="B37" s="120">
        <f ca="1">IF(ROWS($1:24)&gt;COUNT(Dong1),"",OFFSET(TH!E$1,SMALL(Dong1,ROWS($1:24)),))</f>
        <v>40775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C12</v>
      </c>
      <c r="E37" s="229" t="str">
        <f ca="1">IF(ROWS($1:24)&gt;COUNT(Dong1),"",OFFSET(TH!F$1,SMALL(Dong1,ROWS($1:24)),))</f>
        <v>Tiền điện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569500</v>
      </c>
      <c r="I37" s="121">
        <f t="shared" ca="1" si="0"/>
        <v>1397820570</v>
      </c>
      <c r="J37" s="126"/>
      <c r="N37" s="648"/>
      <c r="O37" s="648"/>
    </row>
    <row r="38" spans="1:15" ht="21.75" customHeight="1">
      <c r="A38" s="120">
        <f ca="1">IF(ROWS($1:25)&gt;COUNT(Dong1),"",OFFSET(TH!C$1,SMALL(Dong1,ROWS($1:25)),))</f>
        <v>40775</v>
      </c>
      <c r="B38" s="120">
        <f ca="1">IF(ROWS($1:25)&gt;COUNT(Dong1),"",OFFSET(TH!E$1,SMALL(Dong1,ROWS($1:25)),))</f>
        <v>40775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C12</v>
      </c>
      <c r="E38" s="229" t="str">
        <f ca="1">IF(ROWS($1:25)&gt;COUNT(Dong1),"",OFFSET(TH!F$1,SMALL(Dong1,ROWS($1:25)),))</f>
        <v>VAT Tiền điện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56950</v>
      </c>
      <c r="I38" s="121">
        <f t="shared" ca="1" si="0"/>
        <v>1397763620</v>
      </c>
      <c r="J38" s="126"/>
      <c r="N38" s="648"/>
      <c r="O38" s="648"/>
    </row>
    <row r="39" spans="1:15" ht="21.75" customHeight="1">
      <c r="A39" s="120">
        <f ca="1">IF(ROWS($1:26)&gt;COUNT(Dong1),"",OFFSET(TH!C$1,SMALL(Dong1,ROWS($1:26)),))</f>
        <v>40775</v>
      </c>
      <c r="B39" s="120">
        <f ca="1">IF(ROWS($1:26)&gt;COUNT(Dong1),"",OFFSET(TH!E$1,SMALL(Dong1,ROWS($1:26)),))</f>
        <v>40775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29" t="str">
        <f ca="1">IF(ROWS($1:26)&gt;COUNT(Dong1),"",OFFSET(TH!F$1,SMALL(Dong1,ROWS($1:26)),))</f>
        <v>Dịch vụ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752211</v>
      </c>
      <c r="I39" s="121">
        <f t="shared" ca="1" si="0"/>
        <v>1397011409</v>
      </c>
      <c r="J39" s="126"/>
      <c r="N39" s="648"/>
      <c r="O39" s="648"/>
    </row>
    <row r="40" spans="1:15" ht="21.75" customHeight="1">
      <c r="A40" s="120">
        <f ca="1">IF(ROWS($1:27)&gt;COUNT(Dong1),"",OFFSET(TH!C$1,SMALL(Dong1,ROWS($1:27)),))</f>
        <v>40775</v>
      </c>
      <c r="B40" s="120">
        <f ca="1">IF(ROWS($1:27)&gt;COUNT(Dong1),"",OFFSET(TH!E$1,SMALL(Dong1,ROWS($1:27)),))</f>
        <v>40775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29" t="str">
        <f ca="1">IF(ROWS($1:27)&gt;COUNT(Dong1),"",OFFSET(TH!F$1,SMALL(Dong1,ROWS($1:27)),))</f>
        <v>VAT Dịch vụ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75221</v>
      </c>
      <c r="I40" s="121">
        <f t="shared" ca="1" si="0"/>
        <v>1396936188</v>
      </c>
      <c r="J40" s="126"/>
      <c r="N40" s="648"/>
      <c r="O40" s="648"/>
    </row>
    <row r="41" spans="1:15" ht="21.75" customHeight="1">
      <c r="A41" s="120">
        <f ca="1">IF(ROWS($1:28)&gt;COUNT(Dong1),"",OFFSET(TH!C$1,SMALL(Dong1,ROWS($1:28)),))</f>
        <v>40780</v>
      </c>
      <c r="B41" s="120">
        <f ca="1">IF(ROWS($1:28)&gt;COUNT(Dong1),"",OFFSET(TH!E$1,SMALL(Dong1,ROWS($1:28)),))</f>
        <v>40780</v>
      </c>
      <c r="C41" s="121" t="str">
        <f ca="1">IF(ROWS($1:28)&gt;COUNT(Dong1),"",IF(OFFSET(TH!L$1,SMALL(Dong1,ROWS($1:28)),)="1111",OFFSET(TH!D$1,SMALL(Dong1,ROWS($1:28)),),""))</f>
        <v>T05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Thu tiền hàng</v>
      </c>
      <c r="F41" s="124" t="str">
        <f ca="1">IF(ROWS($1:28)&gt;COUNT(Dong1),"",IF(OFFSET(TH!M$1,SMALL(Dong1,ROWS($1:28)),)="1111",OFFSET(TH!L$1,SMALL(Dong1,ROWS($1:28)),),OFFSET(TH!M$1,SMALL(Dong1,ROWS($1:28)),)))</f>
        <v>131</v>
      </c>
      <c r="G41" s="125">
        <f ca="1">IF(ROWS($1:28)&gt;COUNT(Dong1),"",IF(OFFSET(TH!L$1,SMALL(Dong1,ROWS($1:28)),)="1111",OFFSET(TH!K$1,SMALL(Dong1,ROWS($1:28)),),0))</f>
        <v>9791100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1406727288</v>
      </c>
      <c r="J41" s="126"/>
      <c r="N41" s="648"/>
      <c r="O41" s="648"/>
    </row>
    <row r="42" spans="1:15" ht="21.75" customHeight="1">
      <c r="A42" s="120">
        <f ca="1">IF(ROWS($1:29)&gt;COUNT(Dong1),"",OFFSET(TH!C$1,SMALL(Dong1,ROWS($1:29)),))</f>
        <v>40786</v>
      </c>
      <c r="B42" s="120">
        <f ca="1">IF(ROWS($1:29)&gt;COUNT(Dong1),"",OFFSET(TH!E$1,SMALL(Dong1,ROWS($1:29)),))</f>
        <v>40786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29" t="str">
        <f ca="1">IF(ROWS($1:29)&gt;COUNT(Dong1),"",OFFSET(TH!F$1,SMALL(Dong1,ROWS($1:29)),))</f>
        <v>Thanh toán tiền lương tháng 8/2011</v>
      </c>
      <c r="F42" s="124" t="str">
        <f ca="1">IF(ROWS($1:29)&gt;COUNT(Dong1),"",IF(OFFSET(TH!M$1,SMALL(Dong1,ROWS($1:29)),)="1111",OFFSET(TH!L$1,SMALL(Dong1,ROWS($1:29)),),OFFSET(TH!M$1,SMALL(Dong1,ROWS($1:29)),)))</f>
        <v>3341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13430000</v>
      </c>
      <c r="I42" s="121">
        <f t="shared" ca="1" si="0"/>
        <v>1393297288</v>
      </c>
      <c r="J42" s="126"/>
      <c r="N42" s="648"/>
      <c r="O42" s="648"/>
    </row>
    <row r="43" spans="1:15" ht="21.75" customHeight="1">
      <c r="A43" s="120">
        <f ca="1">IF(ROWS($1:30)&gt;COUNT(Dong1),"",OFFSET(TH!C$1,SMALL(Dong1,ROWS($1:30)),))</f>
        <v>40798</v>
      </c>
      <c r="B43" s="120">
        <f ca="1">IF(ROWS($1:30)&gt;COUNT(Dong1),"",OFFSET(TH!E$1,SMALL(Dong1,ROWS($1:30)),))</f>
        <v>40798</v>
      </c>
      <c r="C43" s="121" t="str">
        <f ca="1">IF(ROWS($1:30)&gt;COUNT(Dong1),"",IF(OFFSET(TH!L$1,SMALL(Dong1,ROWS($1:30)),)="1111",OFFSET(TH!D$1,SMALL(Dong1,ROWS($1:30)),),""))</f>
        <v>T06</v>
      </c>
      <c r="D43" s="122" t="str">
        <f ca="1">IF(ROWS($1:30)&gt;COUNT(Dong1),"",IF(OFFSET(TH!M$1,SMALL(Dong1,ROWS($1:30)),)="1111",OFFSET(TH!D$1,SMALL(Dong1,ROWS($1:30)),),""))</f>
        <v/>
      </c>
      <c r="E43" s="229" t="str">
        <f ca="1">IF(ROWS($1:30)&gt;COUNT(Dong1),"",OFFSET(TH!F$1,SMALL(Dong1,ROWS($1:30)),))</f>
        <v>Rút tiền sec  nhập quỹ tiền mặt</v>
      </c>
      <c r="F43" s="124" t="str">
        <f ca="1">IF(ROWS($1:30)&gt;COUNT(Dong1),"",IF(OFFSET(TH!M$1,SMALL(Dong1,ROWS($1:30)),)="1111",OFFSET(TH!L$1,SMALL(Dong1,ROWS($1:30)),),OFFSET(TH!M$1,SMALL(Dong1,ROWS($1:30)),)))</f>
        <v>1121</v>
      </c>
      <c r="G43" s="125">
        <f ca="1">IF(ROWS($1:30)&gt;COUNT(Dong1),"",IF(OFFSET(TH!L$1,SMALL(Dong1,ROWS($1:30)),)="1111",OFFSET(TH!K$1,SMALL(Dong1,ROWS($1:30)),),0))</f>
        <v>86000000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1479297288</v>
      </c>
      <c r="J43" s="126"/>
      <c r="N43" s="648"/>
      <c r="O43" s="648"/>
    </row>
    <row r="44" spans="1:15" ht="21.75" customHeight="1">
      <c r="A44" s="120">
        <f ca="1">IF(ROWS($1:31)&gt;COUNT(Dong1),"",OFFSET(TH!C$1,SMALL(Dong1,ROWS($1:31)),))</f>
        <v>40799</v>
      </c>
      <c r="B44" s="120">
        <f ca="1">IF(ROWS($1:31)&gt;COUNT(Dong1),"",OFFSET(TH!E$1,SMALL(Dong1,ROWS($1:31)),))</f>
        <v>40799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29" t="str">
        <f ca="1">IF(ROWS($1:31)&gt;COUNT(Dong1),"",OFFSET(TH!F$1,SMALL(Dong1,ROWS($1:31)),))</f>
        <v>PC để bàn, màn hình</v>
      </c>
      <c r="F44" s="124" t="str">
        <f ca="1">IF(ROWS($1:31)&gt;COUNT(Dong1),"",IF(OFFSET(TH!M$1,SMALL(Dong1,ROWS($1:31)),)="1111",OFFSET(TH!L$1,SMALL(Dong1,ROWS($1:31)),),OFFSET(TH!M$1,SMALL(Dong1,ROWS($1:31)),)))</f>
        <v>142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6089091</v>
      </c>
      <c r="I44" s="121">
        <f t="shared" ca="1" si="0"/>
        <v>1473208197</v>
      </c>
      <c r="J44" s="126"/>
      <c r="N44" s="648"/>
      <c r="O44" s="648"/>
    </row>
    <row r="45" spans="1:15" ht="21.75" customHeight="1">
      <c r="A45" s="120">
        <f ca="1">IF(ROWS($1:32)&gt;COUNT(Dong1),"",OFFSET(TH!C$1,SMALL(Dong1,ROWS($1:32)),))</f>
        <v>40799</v>
      </c>
      <c r="B45" s="120">
        <f ca="1">IF(ROWS($1:32)&gt;COUNT(Dong1),"",OFFSET(TH!E$1,SMALL(Dong1,ROWS($1:32)),))</f>
        <v>40799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C15</v>
      </c>
      <c r="E45" s="229" t="str">
        <f ca="1">IF(ROWS($1:32)&gt;COUNT(Dong1),"",OFFSET(TH!F$1,SMALL(Dong1,ROWS($1:32)),))</f>
        <v>VAT PC để bàn, màn hình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608909</v>
      </c>
      <c r="I45" s="121">
        <f t="shared" ca="1" si="0"/>
        <v>1472599288</v>
      </c>
      <c r="J45" s="126"/>
      <c r="N45" s="648"/>
      <c r="O45" s="648"/>
    </row>
    <row r="46" spans="1:15" ht="21.75" customHeight="1">
      <c r="A46" s="120">
        <f ca="1">IF(ROWS($1:33)&gt;COUNT(Dong1),"",OFFSET(TH!C$1,SMALL(Dong1,ROWS($1:33)),))</f>
        <v>40801</v>
      </c>
      <c r="B46" s="120">
        <f ca="1">IF(ROWS($1:33)&gt;COUNT(Dong1),"",OFFSET(TH!E$1,SMALL(Dong1,ROWS($1:33)),))</f>
        <v>40801</v>
      </c>
      <c r="C46" s="121" t="str">
        <f ca="1">IF(ROWS($1:33)&gt;COUNT(Dong1),"",IF(OFFSET(TH!L$1,SMALL(Dong1,ROWS($1:33)),)="1111",OFFSET(TH!D$1,SMALL(Dong1,ROWS($1:33)),),""))</f>
        <v>T07</v>
      </c>
      <c r="D46" s="122" t="str">
        <f ca="1">IF(ROWS($1:33)&gt;COUNT(Dong1),"",IF(OFFSET(TH!M$1,SMALL(Dong1,ROWS($1:33)),)="1111",OFFSET(TH!D$1,SMALL(Dong1,ROWS($1:33)),),""))</f>
        <v/>
      </c>
      <c r="E46" s="229" t="str">
        <f ca="1">IF(ROWS($1:33)&gt;COUNT(Dong1),"",OFFSET(TH!F$1,SMALL(Dong1,ROWS($1:33)),))</f>
        <v>Thu tiền hàng</v>
      </c>
      <c r="F46" s="124" t="str">
        <f ca="1">IF(ROWS($1:33)&gt;COUNT(Dong1),"",IF(OFFSET(TH!M$1,SMALL(Dong1,ROWS($1:33)),)="1111",OFFSET(TH!L$1,SMALL(Dong1,ROWS($1:33)),),OFFSET(TH!M$1,SMALL(Dong1,ROWS($1:33)),)))</f>
        <v>131</v>
      </c>
      <c r="G46" s="125">
        <f ca="1">IF(ROWS($1:33)&gt;COUNT(Dong1),"",IF(OFFSET(TH!L$1,SMALL(Dong1,ROWS($1:33)),)="1111",OFFSET(TH!K$1,SMALL(Dong1,ROWS($1:33)),),0))</f>
        <v>7139000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1479738288</v>
      </c>
      <c r="J46" s="126"/>
      <c r="N46" s="648"/>
      <c r="O46" s="648"/>
    </row>
    <row r="47" spans="1:15" ht="21.75" customHeight="1">
      <c r="A47" s="120">
        <f ca="1">IF(ROWS($1:34)&gt;COUNT(Dong1),"",OFFSET(TH!C$1,SMALL(Dong1,ROWS($1:34)),))</f>
        <v>40802</v>
      </c>
      <c r="B47" s="120">
        <f ca="1">IF(ROWS($1:34)&gt;COUNT(Dong1),"",OFFSET(TH!E$1,SMALL(Dong1,ROWS($1:34)),))</f>
        <v>40802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C16</v>
      </c>
      <c r="E47" s="229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33000000</v>
      </c>
      <c r="I47" s="121">
        <f t="shared" ca="1" si="0"/>
        <v>1446738288</v>
      </c>
      <c r="J47" s="126"/>
      <c r="N47" s="648"/>
      <c r="O47" s="648"/>
    </row>
    <row r="48" spans="1:15" ht="21.75" customHeight="1">
      <c r="A48" s="120">
        <f ca="1">IF(ROWS($1:35)&gt;COUNT(Dong1),"",OFFSET(TH!C$1,SMALL(Dong1,ROWS($1:35)),))</f>
        <v>40803</v>
      </c>
      <c r="B48" s="120">
        <f ca="1">IF(ROWS($1:35)&gt;COUNT(Dong1),"",OFFSET(TH!E$1,SMALL(Dong1,ROWS($1:35)),))</f>
        <v>40803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C17</v>
      </c>
      <c r="E48" s="229" t="str">
        <f ca="1">IF(ROWS($1:35)&gt;COUNT(Dong1),"",OFFSET(TH!F$1,SMALL(Dong1,ROWS($1:35)),))</f>
        <v>Tiền điện</v>
      </c>
      <c r="F48" s="124" t="str">
        <f ca="1">IF(ROWS($1:35)&gt;COUNT(Dong1),"",IF(OFFSET(TH!M$1,SMALL(Dong1,ROWS($1:35)),)="1111",OFFSET(TH!L$1,SMALL(Dong1,ROWS($1:35)),),OFFSET(TH!M$1,SMALL(Dong1,ROWS($1:35)),)))</f>
        <v>154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250580</v>
      </c>
      <c r="I48" s="121">
        <f t="shared" ca="1" si="0"/>
        <v>1446487708</v>
      </c>
      <c r="J48" s="126"/>
      <c r="N48" s="648"/>
      <c r="O48" s="648"/>
    </row>
    <row r="49" spans="1:15" ht="21.75" customHeight="1">
      <c r="A49" s="120">
        <f ca="1">IF(ROWS($1:36)&gt;COUNT(Dong1),"",OFFSET(TH!C$1,SMALL(Dong1,ROWS($1:36)),))</f>
        <v>40803</v>
      </c>
      <c r="B49" s="120">
        <f ca="1">IF(ROWS($1:36)&gt;COUNT(Dong1),"",OFFSET(TH!E$1,SMALL(Dong1,ROWS($1:36)),))</f>
        <v>40803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C17</v>
      </c>
      <c r="E49" s="229" t="str">
        <f ca="1">IF(ROWS($1:36)&gt;COUNT(Dong1),"",OFFSET(TH!F$1,SMALL(Dong1,ROWS($1:36)),))</f>
        <v>VAT Tiền điện</v>
      </c>
      <c r="F49" s="124" t="str">
        <f ca="1">IF(ROWS($1:36)&gt;COUNT(Dong1),"",IF(OFFSET(TH!M$1,SMALL(Dong1,ROWS($1:36)),)="1111",OFFSET(TH!L$1,SMALL(Dong1,ROWS($1:36)),),OFFSET(TH!M$1,SMALL(Dong1,ROWS($1:36)),)))</f>
        <v>1331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25058</v>
      </c>
      <c r="I49" s="121">
        <f t="shared" ca="1" si="0"/>
        <v>1446462650</v>
      </c>
      <c r="J49" s="126"/>
      <c r="N49" s="648"/>
      <c r="O49" s="648"/>
    </row>
    <row r="50" spans="1:15" ht="21.75" customHeight="1">
      <c r="A50" s="120">
        <f ca="1">IF(ROWS($1:37)&gt;COUNT(Dong1),"",OFFSET(TH!C$1,SMALL(Dong1,ROWS($1:37)),))</f>
        <v>40805</v>
      </c>
      <c r="B50" s="120">
        <f ca="1">IF(ROWS($1:37)&gt;COUNT(Dong1),"",OFFSET(TH!E$1,SMALL(Dong1,ROWS($1:37)),))</f>
        <v>40805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29" t="str">
        <f ca="1">IF(ROWS($1:37)&gt;COUNT(Dong1),"",OFFSET(TH!F$1,SMALL(Dong1,ROWS($1:37)),))</f>
        <v>Mực in FW - Xanh, FW - Đỏ, FW - Đen</v>
      </c>
      <c r="F50" s="124" t="str">
        <f ca="1">IF(ROWS($1:37)&gt;COUNT(Dong1),"",IF(OFFSET(TH!M$1,SMALL(Dong1,ROWS($1:37)),)="1111",OFFSET(TH!L$1,SMALL(Dong1,ROWS($1:37)),),OFFSET(TH!M$1,SMALL(Dong1,ROWS($1:37)),)))</f>
        <v>154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2640000</v>
      </c>
      <c r="I50" s="121">
        <f t="shared" ca="1" si="0"/>
        <v>1443822650</v>
      </c>
      <c r="J50" s="126"/>
    </row>
    <row r="51" spans="1:15" ht="21.75" customHeight="1">
      <c r="A51" s="120">
        <f ca="1">IF(ROWS($1:38)&gt;COUNT(Dong1),"",OFFSET(TH!C$1,SMALL(Dong1,ROWS($1:38)),))</f>
        <v>40805</v>
      </c>
      <c r="B51" s="120">
        <f ca="1">IF(ROWS($1:38)&gt;COUNT(Dong1),"",OFFSET(TH!E$1,SMALL(Dong1,ROWS($1:38)),))</f>
        <v>40805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C18</v>
      </c>
      <c r="E51" s="229" t="str">
        <f ca="1">IF(ROWS($1:38)&gt;COUNT(Dong1),"",OFFSET(TH!F$1,SMALL(Dong1,ROWS($1:38)),))</f>
        <v>Vat mực in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264000</v>
      </c>
      <c r="I51" s="121">
        <f t="shared" ca="1" si="0"/>
        <v>1443558650</v>
      </c>
      <c r="J51" s="126"/>
    </row>
    <row r="52" spans="1:15" ht="21.75" customHeight="1">
      <c r="A52" s="120">
        <f ca="1">IF(ROWS($1:39)&gt;COUNT(Dong1),"",OFFSET(TH!C$1,SMALL(Dong1,ROWS($1:39)),))</f>
        <v>40807</v>
      </c>
      <c r="B52" s="120">
        <f ca="1">IF(ROWS($1:39)&gt;COUNT(Dong1),"",OFFSET(TH!E$1,SMALL(Dong1,ROWS($1:39)),))</f>
        <v>40807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C19</v>
      </c>
      <c r="E52" s="229" t="str">
        <f ca="1">IF(ROWS($1:39)&gt;COUNT(Dong1),"",OFFSET(TH!F$1,SMALL(Dong1,ROWS($1:39)),))</f>
        <v>Dịch vụ viễn thông</v>
      </c>
      <c r="F52" s="124" t="str">
        <f ca="1">IF(ROWS($1:39)&gt;COUNT(Dong1),"",IF(OFFSET(TH!M$1,SMALL(Dong1,ROWS($1:39)),)="1111",OFFSET(TH!L$1,SMALL(Dong1,ROWS($1:39)),),OFFSET(TH!M$1,SMALL(Dong1,ROWS($1:39)),)))</f>
        <v>642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642847</v>
      </c>
      <c r="I52" s="121">
        <f t="shared" ca="1" si="0"/>
        <v>1442915803</v>
      </c>
      <c r="J52" s="126"/>
    </row>
    <row r="53" spans="1:15" ht="21.75" customHeight="1">
      <c r="A53" s="120">
        <f ca="1">IF(ROWS($1:40)&gt;COUNT(Dong1),"",OFFSET(TH!C$1,SMALL(Dong1,ROWS($1:40)),))</f>
        <v>40807</v>
      </c>
      <c r="B53" s="120">
        <f ca="1">IF(ROWS($1:40)&gt;COUNT(Dong1),"",OFFSET(TH!E$1,SMALL(Dong1,ROWS($1:40)),))</f>
        <v>40807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C19</v>
      </c>
      <c r="E53" s="229" t="str">
        <f ca="1">IF(ROWS($1:40)&gt;COUNT(Dong1),"",OFFSET(TH!F$1,SMALL(Dong1,ROWS($1:40)),))</f>
        <v>VAT Dịch vụ viễn thông</v>
      </c>
      <c r="F53" s="124" t="str">
        <f ca="1">IF(ROWS($1:40)&gt;COUNT(Dong1),"",IF(OFFSET(TH!M$1,SMALL(Dong1,ROWS($1:40)),)="1111",OFFSET(TH!L$1,SMALL(Dong1,ROWS($1:40)),),OFFSET(TH!M$1,SMALL(Dong1,ROWS($1:40)),)))</f>
        <v>1331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64285</v>
      </c>
      <c r="I53" s="121">
        <f t="shared" ca="1" si="0"/>
        <v>1442851518</v>
      </c>
      <c r="J53" s="126"/>
    </row>
    <row r="54" spans="1:15" ht="21.75" customHeight="1">
      <c r="A54" s="120">
        <f ca="1">IF(ROWS($1:41)&gt;COUNT(Dong1),"",OFFSET(TH!C$1,SMALL(Dong1,ROWS($1:41)),))</f>
        <v>40808</v>
      </c>
      <c r="B54" s="120">
        <f ca="1">IF(ROWS($1:41)&gt;COUNT(Dong1),"",OFFSET(TH!E$1,SMALL(Dong1,ROWS($1:41)),))</f>
        <v>40808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C20</v>
      </c>
      <c r="E54" s="229" t="str">
        <f ca="1">IF(ROWS($1:41)&gt;COUNT(Dong1),"",OFFSET(TH!F$1,SMALL(Dong1,ROWS($1:41)),))</f>
        <v>Thanh toán tiền Kẽm đóng bao bì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1375000</v>
      </c>
      <c r="I54" s="121">
        <f t="shared" ca="1" si="0"/>
        <v>1441476518</v>
      </c>
      <c r="J54" s="126"/>
    </row>
    <row r="55" spans="1:15" ht="21.75" customHeight="1">
      <c r="A55" s="120">
        <f ca="1">IF(ROWS($1:42)&gt;COUNT(Dong1),"",OFFSET(TH!C$1,SMALL(Dong1,ROWS($1:42)),))</f>
        <v>40808</v>
      </c>
      <c r="B55" s="120">
        <f ca="1">IF(ROWS($1:42)&gt;COUNT(Dong1),"",OFFSET(TH!E$1,SMALL(Dong1,ROWS($1:42)),))</f>
        <v>40808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C21</v>
      </c>
      <c r="E55" s="229" t="str">
        <f ca="1">IF(ROWS($1:42)&gt;COUNT(Dong1),"",OFFSET(TH!F$1,SMALL(Dong1,ROWS($1:42)),))</f>
        <v>Dầu DO, Phí xăng dầu</v>
      </c>
      <c r="F55" s="124" t="str">
        <f ca="1">IF(ROWS($1:42)&gt;COUNT(Dong1),"",IF(OFFSET(TH!M$1,SMALL(Dong1,ROWS($1:42)),)="1111",OFFSET(TH!L$1,SMALL(Dong1,ROWS($1:42)),),OFFSET(TH!M$1,SMALL(Dong1,ROWS($1:42)),)))</f>
        <v>641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500011</v>
      </c>
      <c r="I55" s="121">
        <f t="shared" ca="1" si="0"/>
        <v>1440976507</v>
      </c>
      <c r="J55" s="126"/>
    </row>
    <row r="56" spans="1:15" ht="21.75" customHeight="1">
      <c r="A56" s="120">
        <f ca="1">IF(ROWS($1:43)&gt;COUNT(Dong1),"",OFFSET(TH!C$1,SMALL(Dong1,ROWS($1:43)),))</f>
        <v>40809</v>
      </c>
      <c r="B56" s="120">
        <f ca="1">IF(ROWS($1:43)&gt;COUNT(Dong1),"",OFFSET(TH!E$1,SMALL(Dong1,ROWS($1:43)),))</f>
        <v>40809</v>
      </c>
      <c r="C56" s="121" t="str">
        <f ca="1">IF(ROWS($1:43)&gt;COUNT(Dong1),"",IF(OFFSET(TH!L$1,SMALL(Dong1,ROWS($1:43)),)="1111",OFFSET(TH!D$1,SMALL(Dong1,ROWS($1:43)),),""))</f>
        <v>T08</v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1610294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1442586801</v>
      </c>
      <c r="J56" s="126"/>
    </row>
    <row r="57" spans="1:15" ht="21.75" customHeight="1">
      <c r="A57" s="120">
        <f ca="1">IF(ROWS($1:44)&gt;COUNT(Dong1),"",OFFSET(TH!C$1,SMALL(Dong1,ROWS($1:44)),))</f>
        <v>40810</v>
      </c>
      <c r="B57" s="120">
        <f ca="1">IF(ROWS($1:44)&gt;COUNT(Dong1),"",OFFSET(TH!E$1,SMALL(Dong1,ROWS($1:44)),))</f>
        <v>40810</v>
      </c>
      <c r="C57" s="121" t="str">
        <f ca="1">IF(ROWS($1:44)&gt;COUNT(Dong1),"",IF(OFFSET(TH!L$1,SMALL(Dong1,ROWS($1:44)),)="1111",OFFSET(TH!D$1,SMALL(Dong1,ROWS($1:44)),),""))</f>
        <v>T09</v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5078546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1447665347</v>
      </c>
      <c r="J57" s="126"/>
    </row>
    <row r="58" spans="1:15" ht="21.75" customHeight="1">
      <c r="A58" s="120">
        <f ca="1">IF(ROWS($1:45)&gt;COUNT(Dong1),"",OFFSET(TH!C$1,SMALL(Dong1,ROWS($1:45)),))</f>
        <v>40813</v>
      </c>
      <c r="B58" s="120">
        <f ca="1">IF(ROWS($1:45)&gt;COUNT(Dong1),"",OFFSET(TH!E$1,SMALL(Dong1,ROWS($1:45)),))</f>
        <v>40813</v>
      </c>
      <c r="C58" s="121" t="str">
        <f ca="1">IF(ROWS($1:45)&gt;COUNT(Dong1),"",IF(OFFSET(TH!L$1,SMALL(Dong1,ROWS($1:45)),)="1111",OFFSET(TH!D$1,SMALL(Dong1,ROWS($1:45)),),""))</f>
        <v>T10</v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18998716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1466664063</v>
      </c>
      <c r="J58" s="126"/>
    </row>
    <row r="59" spans="1:15" ht="21.75" customHeight="1">
      <c r="A59" s="120">
        <f ca="1">IF(ROWS($1:46)&gt;COUNT(Dong1),"",OFFSET(TH!C$1,SMALL(Dong1,ROWS($1:46)),))</f>
        <v>40816</v>
      </c>
      <c r="B59" s="120">
        <f ca="1">IF(ROWS($1:46)&gt;COUNT(Dong1),"",OFFSET(TH!E$1,SMALL(Dong1,ROWS($1:46)),))</f>
        <v>40816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C22</v>
      </c>
      <c r="E59" s="229" t="str">
        <f ca="1">IF(ROWS($1:46)&gt;COUNT(Dong1),"",OFFSET(TH!F$1,SMALL(Dong1,ROWS($1:46)),))</f>
        <v>Thanh toán tiền lương tháng 9/2011</v>
      </c>
      <c r="F59" s="124" t="str">
        <f ca="1">IF(ROWS($1:46)&gt;COUNT(Dong1),"",IF(OFFSET(TH!M$1,SMALL(Dong1,ROWS($1:46)),)="1111",OFFSET(TH!L$1,SMALL(Dong1,ROWS($1:46)),),OFFSET(TH!M$1,SMALL(Dong1,ROWS($1:46)),)))</f>
        <v>3341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13250000</v>
      </c>
      <c r="I59" s="121">
        <f t="shared" ca="1" si="0"/>
        <v>1453414063</v>
      </c>
      <c r="J59" s="126"/>
    </row>
    <row r="60" spans="1:15" ht="21.75" customHeight="1">
      <c r="A60" s="120">
        <f ca="1">IF(ROWS($1:47)&gt;COUNT(Dong1),"",OFFSET(TH!C$1,SMALL(Dong1,ROWS($1:47)),))</f>
        <v>40816</v>
      </c>
      <c r="B60" s="120">
        <f ca="1">IF(ROWS($1:47)&gt;COUNT(Dong1),"",OFFSET(TH!E$1,SMALL(Dong1,ROWS($1:47)),))</f>
        <v>40816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C23</v>
      </c>
      <c r="E60" s="229" t="str">
        <f ca="1">IF(ROWS($1:47)&gt;COUNT(Dong1),"",OFFSET(TH!F$1,SMALL(Dong1,ROWS($1:47)),))</f>
        <v>Nộp tiền mặt vào tài khoản</v>
      </c>
      <c r="F60" s="124" t="str">
        <f ca="1">IF(ROWS($1:47)&gt;COUNT(Dong1),"",IF(OFFSET(TH!M$1,SMALL(Dong1,ROWS($1:47)),)="1111",OFFSET(TH!L$1,SMALL(Dong1,ROWS($1:47)),),OFFSET(TH!M$1,SMALL(Dong1,ROWS($1:47)),)))</f>
        <v>1121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105600000</v>
      </c>
      <c r="I60" s="121">
        <f t="shared" ca="1" si="0"/>
        <v>1347814063</v>
      </c>
      <c r="J60" s="126"/>
    </row>
    <row r="61" spans="1:15" ht="21.75" customHeight="1">
      <c r="A61" s="120">
        <f ca="1">IF(ROWS($1:48)&gt;COUNT(Dong1),"",OFFSET(TH!C$1,SMALL(Dong1,ROWS($1:48)),))</f>
        <v>40816</v>
      </c>
      <c r="B61" s="120">
        <f ca="1">IF(ROWS($1:48)&gt;COUNT(Dong1),"",OFFSET(TH!E$1,SMALL(Dong1,ROWS($1:48)),))</f>
        <v>40816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C24</v>
      </c>
      <c r="E61" s="229" t="str">
        <f ca="1">IF(ROWS($1:48)&gt;COUNT(Dong1),"",OFFSET(TH!F$1,SMALL(Dong1,ROWS($1:48)),))</f>
        <v>Mực in V-FLEX 7844 Dark Blue</v>
      </c>
      <c r="F61" s="124" t="str">
        <f ca="1">IF(ROWS($1:48)&gt;COUNT(Dong1),"",IF(OFFSET(TH!M$1,SMALL(Dong1,ROWS($1:48)),)="1111",OFFSET(TH!L$1,SMALL(Dong1,ROWS($1:48)),),OFFSET(TH!M$1,SMALL(Dong1,ROWS($1:48)),)))</f>
        <v>154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1160000</v>
      </c>
      <c r="I61" s="121">
        <f t="shared" ca="1" si="0"/>
        <v>1346654063</v>
      </c>
      <c r="J61" s="126"/>
    </row>
    <row r="62" spans="1:15" ht="21.75" customHeight="1">
      <c r="A62" s="120">
        <f ca="1">IF(ROWS($1:49)&gt;COUNT(Dong1),"",OFFSET(TH!C$1,SMALL(Dong1,ROWS($1:49)),))</f>
        <v>40816</v>
      </c>
      <c r="B62" s="120">
        <f ca="1">IF(ROWS($1:49)&gt;COUNT(Dong1),"",OFFSET(TH!E$1,SMALL(Dong1,ROWS($1:49)),))</f>
        <v>40816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C24</v>
      </c>
      <c r="E62" s="229" t="str">
        <f ca="1">IF(ROWS($1:49)&gt;COUNT(Dong1),"",OFFSET(TH!F$1,SMALL(Dong1,ROWS($1:49)),))</f>
        <v>VAT Mực in V-FLEX 7844 Dark Blue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116000</v>
      </c>
      <c r="I62" s="121">
        <f t="shared" ca="1" si="0"/>
        <v>1346538063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125</v>
      </c>
      <c r="F64" s="130" t="s">
        <v>18</v>
      </c>
      <c r="G64" s="129">
        <f ca="1">SUM(G14:G63)</f>
        <v>249575656</v>
      </c>
      <c r="H64" s="129">
        <f ca="1">SUM(H14:H63)</f>
        <v>319662461</v>
      </c>
      <c r="I64" s="130" t="s">
        <v>18</v>
      </c>
      <c r="J64" s="130" t="s">
        <v>18</v>
      </c>
    </row>
    <row r="65" spans="1:12" s="116" customFormat="1" ht="21.75" customHeight="1">
      <c r="A65" s="131"/>
      <c r="B65" s="131"/>
      <c r="C65" s="131"/>
      <c r="D65" s="131"/>
      <c r="E65" s="131" t="s">
        <v>126</v>
      </c>
      <c r="F65" s="132" t="s">
        <v>18</v>
      </c>
      <c r="G65" s="132" t="s">
        <v>18</v>
      </c>
      <c r="H65" s="132" t="s">
        <v>18</v>
      </c>
      <c r="I65" s="133">
        <f ca="1">I13+G64-H64</f>
        <v>1346538063</v>
      </c>
      <c r="J65" s="132" t="s">
        <v>18</v>
      </c>
    </row>
    <row r="66" spans="1:12">
      <c r="L66" s="252" t="s">
        <v>147</v>
      </c>
    </row>
    <row r="67" spans="1:12">
      <c r="A67" s="134" t="s">
        <v>148</v>
      </c>
      <c r="L67" s="252" t="s">
        <v>148</v>
      </c>
    </row>
    <row r="68" spans="1:12">
      <c r="A68" s="180" t="str">
        <f ca="1">"- Ngày mở sổ: "&amp;DAY($A$14)&amp;"/"&amp;MONTH($A$14)&amp;"/ " &amp;YEAR($A$14)</f>
        <v>- Ngày mở sổ: 5/7/ 2011</v>
      </c>
      <c r="L68" s="252" t="s">
        <v>127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2011</v>
      </c>
      <c r="L69" s="252" t="s">
        <v>145</v>
      </c>
    </row>
    <row r="70" spans="1:12" s="135" customFormat="1" ht="14.25">
      <c r="C70" s="135" t="s">
        <v>11</v>
      </c>
      <c r="E70" s="135" t="s">
        <v>12</v>
      </c>
      <c r="I70" s="135" t="s">
        <v>101</v>
      </c>
    </row>
    <row r="71" spans="1:12" s="136" customFormat="1">
      <c r="C71" s="136" t="s">
        <v>13</v>
      </c>
      <c r="E71" s="136" t="s">
        <v>13</v>
      </c>
      <c r="I71" s="136" t="s">
        <v>128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96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0"/>
      <c r="R3" s="195"/>
      <c r="S3" s="196" t="s">
        <v>345</v>
      </c>
      <c r="T3" s="195"/>
      <c r="U3" s="196" t="s">
        <v>97</v>
      </c>
      <c r="V3" s="73"/>
      <c r="W3" s="74" t="s">
        <v>97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1"/>
      <c r="R4" s="81"/>
      <c r="S4" s="629">
        <v>4</v>
      </c>
      <c r="T4" s="81"/>
      <c r="U4" s="502" t="s">
        <v>4</v>
      </c>
      <c r="V4" s="107"/>
      <c r="W4" s="503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31  tháng  12  năm  2011</v>
      </c>
      <c r="J5" s="77"/>
      <c r="K5" s="79"/>
      <c r="M5" s="79"/>
      <c r="N5" s="79"/>
      <c r="O5" s="79"/>
      <c r="P5" s="80"/>
      <c r="Q5" s="50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98</v>
      </c>
      <c r="M8" s="94" t="str">
        <f>IF($U$4="T","1111",IF($U$4="C",IF(ISNA(VLOOKUP($M$7,TM,13,0)),"",VLOOKUP($M$7,TM,12,0)),""))</f>
        <v>3341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99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chi : Thanh toán tiền lương tháng 12/2011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110</v>
      </c>
      <c r="D13" s="98">
        <f ca="1">SUMIF(TM,$M$7,TH)</f>
        <v>12411055</v>
      </c>
      <c r="E13" s="61" t="s">
        <v>100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31  tháng  12  năm  2011</v>
      </c>
      <c r="N16" s="100"/>
      <c r="O16" s="100"/>
      <c r="P16" s="61"/>
    </row>
    <row r="17" spans="1:23">
      <c r="C17" s="101" t="s">
        <v>101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102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103</v>
      </c>
      <c r="E18" s="105" t="s">
        <v>104</v>
      </c>
      <c r="H18" s="105" t="s">
        <v>104</v>
      </c>
      <c r="I18" s="102"/>
      <c r="J18" s="105" t="s">
        <v>104</v>
      </c>
      <c r="L18" s="102"/>
      <c r="M18" s="105" t="s">
        <v>104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105</v>
      </c>
      <c r="P25" s="61"/>
    </row>
    <row r="26" spans="1:23">
      <c r="B26" s="96"/>
      <c r="C26" s="96" t="s">
        <v>106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107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D43" sqref="D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2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146</v>
      </c>
      <c r="H1" s="608"/>
      <c r="I1" s="231"/>
      <c r="K1" s="890"/>
      <c r="L1" s="890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87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7"/>
      <c r="H2" s="987"/>
      <c r="I2" s="232"/>
      <c r="K2" s="891"/>
      <c r="L2" s="891"/>
    </row>
    <row r="3" spans="1:20" s="140" customFormat="1" ht="16.5" customHeight="1">
      <c r="A3" s="177"/>
      <c r="B3" s="177"/>
      <c r="C3" s="177"/>
      <c r="D3" s="177"/>
      <c r="F3" s="987"/>
      <c r="G3" s="987"/>
      <c r="H3" s="987"/>
      <c r="I3" s="232"/>
    </row>
    <row r="4" spans="1:20" s="140" customFormat="1" ht="19.5" customHeight="1">
      <c r="A4" s="990" t="s">
        <v>129</v>
      </c>
      <c r="B4" s="990"/>
      <c r="C4" s="990"/>
      <c r="D4" s="990"/>
      <c r="E4" s="990"/>
      <c r="F4" s="990"/>
      <c r="G4" s="990"/>
      <c r="H4" s="990"/>
      <c r="I4" s="990"/>
    </row>
    <row r="5" spans="1:20" s="140" customFormat="1" ht="15">
      <c r="A5" s="991" t="str">
        <f>"Nơi mở tài khoản giao dịch:  "&amp;IF($M$9="ACB"," Ngân Hàng ACB"," Ngân Hàng Eximbank - Chi Nhánh Chợ Lớn")</f>
        <v>Nơi mở tài khoản giao dịch:   Ngân Hàng ACB</v>
      </c>
      <c r="B5" s="991"/>
      <c r="C5" s="991"/>
      <c r="D5" s="991"/>
      <c r="E5" s="991"/>
      <c r="F5" s="991"/>
      <c r="G5" s="991"/>
      <c r="H5" s="991"/>
      <c r="I5" s="991"/>
    </row>
    <row r="6" spans="1:20" s="140" customFormat="1" ht="15">
      <c r="D6" s="261" t="s">
        <v>150</v>
      </c>
      <c r="E6" s="991" t="str">
        <f>IF($M$9="ACB","100983119","1004 148 5104 6511")</f>
        <v>100983119</v>
      </c>
      <c r="F6" s="991"/>
      <c r="G6" s="991"/>
      <c r="H6" s="609" t="s">
        <v>100</v>
      </c>
      <c r="I6" s="262" t="str">
        <f>IF(H6="VNĐ","1121",IF(H6="USD","1122",""))</f>
        <v>1121</v>
      </c>
      <c r="N6" s="982" t="s">
        <v>329</v>
      </c>
      <c r="O6" s="982"/>
      <c r="Q6" s="988" t="s">
        <v>270</v>
      </c>
      <c r="R6" s="988" t="s">
        <v>330</v>
      </c>
      <c r="S6" s="988" t="s">
        <v>331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0"/>
      <c r="I7" s="144"/>
      <c r="Q7" s="989"/>
      <c r="R7" s="989"/>
      <c r="S7" s="989"/>
    </row>
    <row r="8" spans="1:20" s="145" customFormat="1" ht="22.5" customHeight="1" thickBot="1">
      <c r="A8" s="994" t="s">
        <v>130</v>
      </c>
      <c r="B8" s="996" t="s">
        <v>1</v>
      </c>
      <c r="C8" s="997"/>
      <c r="D8" s="992" t="s">
        <v>0</v>
      </c>
      <c r="E8" s="998" t="s">
        <v>14</v>
      </c>
      <c r="F8" s="1000" t="s">
        <v>131</v>
      </c>
      <c r="G8" s="1000"/>
      <c r="H8" s="997"/>
      <c r="I8" s="992" t="s">
        <v>119</v>
      </c>
      <c r="K8" s="138"/>
      <c r="L8" s="140"/>
      <c r="N8" s="617">
        <f>IF(K9="Quý I",1,IF(K9="Quý II",4,IF(K9="Quý III",7,IF(K9="Quý IV",10,""))))</f>
        <v>4</v>
      </c>
      <c r="O8" s="618">
        <f>IF(K9="Quý I",3,IF(K9="Quý II",6,IF(K9="Quý III",9,IF(K9="Quý IV",12,""))))</f>
        <v>6</v>
      </c>
      <c r="Q8" s="479" t="s">
        <v>271</v>
      </c>
      <c r="R8" s="480"/>
      <c r="S8" s="480"/>
      <c r="T8" s="481">
        <f>SUM(R8:S8)</f>
        <v>0</v>
      </c>
    </row>
    <row r="9" spans="1:20" s="145" customFormat="1" ht="22.5" customHeight="1" thickBot="1">
      <c r="A9" s="995"/>
      <c r="B9" s="146" t="s">
        <v>15</v>
      </c>
      <c r="C9" s="147" t="s">
        <v>132</v>
      </c>
      <c r="D9" s="993"/>
      <c r="E9" s="999"/>
      <c r="F9" s="253" t="s">
        <v>133</v>
      </c>
      <c r="G9" s="148" t="s">
        <v>134</v>
      </c>
      <c r="H9" s="611" t="s">
        <v>135</v>
      </c>
      <c r="I9" s="993"/>
      <c r="K9" s="178" t="s">
        <v>365</v>
      </c>
      <c r="L9" s="140"/>
      <c r="M9" s="478" t="s">
        <v>330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122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5"/>
      <c r="G11" s="485"/>
      <c r="H11" s="485">
        <f>IF($M$9="ACB",$R$8,$S$8)+SUMIF(_N112,"x",TH)-SUMIF(_C112,"x",TH)</f>
        <v>0</v>
      </c>
      <c r="I11" s="48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40640</v>
      </c>
      <c r="B12" s="156" t="str">
        <f ca="1">IF(ROWS($1:1)&gt;COUNT(Dong2),"",OFFSET(TH!D$1,SMALL(Dong2,ROWS($1:1)),))</f>
        <v>C09</v>
      </c>
      <c r="C12" s="156">
        <f ca="1">IF(ROWS($1:1)&gt;COUNT(Dong2),"",OFFSET(TH!E$1,SMALL(Dong2,ROWS($1:1)),))</f>
        <v>40640</v>
      </c>
      <c r="D12" s="235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8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8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9">
        <f ca="1">IF(A12&lt;&gt;"",H11+F12-G12,0)</f>
        <v>200000000</v>
      </c>
      <c r="I12" s="483"/>
      <c r="L12" s="140"/>
    </row>
    <row r="13" spans="1:20" s="145" customFormat="1" ht="18.75" customHeight="1">
      <c r="A13" s="156">
        <f ca="1">IF(ROWS($1:2)&gt;COUNT(Dong2),"",OFFSET(TH!C$1,SMALL(Dong2,ROWS($1:2)),))</f>
        <v>40646</v>
      </c>
      <c r="B13" s="156" t="str">
        <f ca="1">IF(ROWS($1:2)&gt;COUNT(Dong2),"",OFFSET(TH!D$1,SMALL(Dong2,ROWS($1:2)),))</f>
        <v>T04</v>
      </c>
      <c r="C13" s="156">
        <f ca="1">IF(ROWS($1:2)&gt;COUNT(Dong2),"",OFFSET(TH!E$1,SMALL(Dong2,ROWS($1:2)),))</f>
        <v>40646</v>
      </c>
      <c r="D13" s="235" t="str">
        <f ca="1">IF(ROWS($1:2)&gt;COUNT(Dong2),"",OFFSET(TH!F$1,SMALL(Dong2,ROWS($1:2)),))</f>
        <v>Rút tiền nhập quỹ tiền mặt</v>
      </c>
      <c r="E13" s="156" t="str">
        <f ca="1">IF(ROWS($1:2)&gt;COUNT(Dong2),"",IF(OFFSET(TH!M$1,SMALL(Dong2,ROWS($1:2)),)=$I$6,OFFSET(TH!L$1,SMALL(Dong2,ROWS($1:2)),),OFFSET(TH!M$1,SMALL(Dong2,ROWS($1:2)),)))</f>
        <v>1111</v>
      </c>
      <c r="F13" s="48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8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619">
        <f t="shared" ref="H13:H40" ca="1" si="0">IF(A13&lt;&gt;"",H12+F13-G13,0)</f>
        <v>150000000</v>
      </c>
      <c r="I13" s="483"/>
      <c r="L13" s="140"/>
    </row>
    <row r="14" spans="1:20" s="145" customFormat="1" ht="18.75" customHeight="1">
      <c r="A14" s="156">
        <f ca="1">IF(ROWS($1:3)&gt;COUNT(Dong2),"",OFFSET(TH!C$1,SMALL(Dong2,ROWS($1:3)),))</f>
        <v>40655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40655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8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8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19">
        <f t="shared" ca="1" si="0"/>
        <v>178175740</v>
      </c>
      <c r="I14" s="483"/>
      <c r="L14" s="140"/>
    </row>
    <row r="15" spans="1:20" s="145" customFormat="1" ht="18.75" customHeight="1">
      <c r="A15" s="156">
        <f ca="1">IF(ROWS($1:4)&gt;COUNT(Dong2),"",OFFSET(TH!C$1,SMALL(Dong2,ROWS($1:4)),))</f>
        <v>40658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40658</v>
      </c>
      <c r="D15" s="235" t="str">
        <f ca="1">IF(ROWS($1:4)&gt;COUNT(Dong2),"",OFFSET(TH!F$1,SMALL(Dong2,ROWS($1:4)),))</f>
        <v>Lãi tiền gửi</v>
      </c>
      <c r="E15" s="156" t="str">
        <f ca="1">IF(ROWS($1:4)&gt;COUNT(Dong2),"",IF(OFFSET(TH!M$1,SMALL(Dong2,ROWS($1:4)),)=$I$6,OFFSET(TH!L$1,SMALL(Dong2,ROWS($1:4)),),OFFSET(TH!M$1,SMALL(Dong2,ROWS($1:4)),)))</f>
        <v>515</v>
      </c>
      <c r="F15" s="48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8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19">
        <f t="shared" ca="1" si="0"/>
        <v>178447632</v>
      </c>
      <c r="I15" s="483"/>
      <c r="L15" s="140"/>
    </row>
    <row r="16" spans="1:20" s="145" customFormat="1" ht="18.75" customHeight="1">
      <c r="A16" s="156">
        <f ca="1">IF(ROWS($1:5)&gt;COUNT(Dong2),"",OFFSET(TH!C$1,SMALL(Dong2,ROWS($1:5)),))</f>
        <v>40669</v>
      </c>
      <c r="B16" s="156" t="str">
        <f ca="1">IF(ROWS($1:5)&gt;COUNT(Dong2),"",OFFSET(TH!D$1,SMALL(Dong2,ROWS($1:5)),))</f>
        <v>GBN</v>
      </c>
      <c r="C16" s="156">
        <f ca="1">IF(ROWS($1:5)&gt;COUNT(Dong2),"",OFFSET(TH!E$1,SMALL(Dong2,ROWS($1:5)),))</f>
        <v>40669</v>
      </c>
      <c r="D16" s="235" t="str">
        <f ca="1">IF(ROWS($1:5)&gt;COUNT(Dong2),"",OFFSET(TH!F$1,SMALL(Dong2,ROWS($1:5)),))</f>
        <v>Chuyển trả tiền do chuyển sai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8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8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619">
        <f t="shared" ca="1" si="0"/>
        <v>150271892</v>
      </c>
      <c r="I16" s="483"/>
      <c r="L16" s="140"/>
    </row>
    <row r="17" spans="1:17" s="145" customFormat="1" ht="18.75" customHeight="1">
      <c r="A17" s="156">
        <f ca="1">IF(ROWS($1:6)&gt;COUNT(Dong2),"",OFFSET(TH!C$1,SMALL(Dong2,ROWS($1:6)),))</f>
        <v>40669</v>
      </c>
      <c r="B17" s="156" t="str">
        <f ca="1">IF(ROWS($1:6)&gt;COUNT(Dong2),"",OFFSET(TH!D$1,SMALL(Dong2,ROWS($1:6)),))</f>
        <v>T05</v>
      </c>
      <c r="C17" s="156">
        <f ca="1">IF(ROWS($1:6)&gt;COUNT(Dong2),"",OFFSET(TH!E$1,SMALL(Dong2,ROWS($1:6)),))</f>
        <v>40669</v>
      </c>
      <c r="D17" s="235" t="str">
        <f ca="1">IF(ROWS($1:6)&gt;COUNT(Dong2),"",OFFSET(TH!F$1,SMALL(Dong2,ROWS($1:6)),))</f>
        <v>Rút tiền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8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619">
        <f t="shared" ca="1" si="0"/>
        <v>140271892</v>
      </c>
      <c r="I17" s="483"/>
      <c r="L17" s="140"/>
    </row>
    <row r="18" spans="1:17" s="145" customFormat="1" ht="18.75" customHeight="1">
      <c r="A18" s="156">
        <f ca="1">IF(ROWS($1:7)&gt;COUNT(Dong2),"",OFFSET(TH!C$1,SMALL(Dong2,ROWS($1:7)),))</f>
        <v>40673</v>
      </c>
      <c r="B18" s="156" t="str">
        <f ca="1">IF(ROWS($1:7)&gt;COUNT(Dong2),"",OFFSET(TH!D$1,SMALL(Dong2,ROWS($1:7)),))</f>
        <v>GBN</v>
      </c>
      <c r="C18" s="156">
        <f ca="1">IF(ROWS($1:7)&gt;COUNT(Dong2),"",OFFSET(TH!E$1,SMALL(Dong2,ROWS($1:7)),))</f>
        <v>40673</v>
      </c>
      <c r="D18" s="235" t="str">
        <f ca="1">IF(ROWS($1:7)&gt;COUNT(Dong2),"",OFFSET(TH!F$1,SMALL(Dong2,ROWS($1:7)),))</f>
        <v>Thanh toán tiền hàng</v>
      </c>
      <c r="E18" s="156" t="str">
        <f ca="1">IF(ROWS($1:7)&gt;COUNT(Dong2),"",IF(OFFSET(TH!M$1,SMALL(Dong2,ROWS($1:7)),)=$I$6,OFFSET(TH!L$1,SMALL(Dong2,ROWS($1:7)),),OFFSET(TH!M$1,SMALL(Dong2,ROWS($1:7)),)))</f>
        <v>331</v>
      </c>
      <c r="F18" s="48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8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619">
        <f t="shared" ca="1" si="0"/>
        <v>90271892</v>
      </c>
      <c r="I18" s="483"/>
      <c r="L18" s="140"/>
    </row>
    <row r="19" spans="1:17" s="145" customFormat="1" ht="18.75" customHeight="1">
      <c r="A19" s="156">
        <f ca="1">IF(ROWS($1:8)&gt;COUNT(Dong2),"",OFFSET(TH!C$1,SMALL(Dong2,ROWS($1:8)),))</f>
        <v>40673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40673</v>
      </c>
      <c r="D19" s="235" t="str">
        <f ca="1">IF(ROWS($1:8)&gt;COUNT(Dong2),"",OFFSET(TH!F$1,SMALL(Dong2,ROWS($1:8)),))</f>
        <v>Phí chuyển tiền</v>
      </c>
      <c r="E19" s="156" t="str">
        <f ca="1">IF(ROWS($1:8)&gt;COUNT(Dong2),"",IF(OFFSET(TH!M$1,SMALL(Dong2,ROWS($1:8)),)=$I$6,OFFSET(TH!L$1,SMALL(Dong2,ROWS($1:8)),),OFFSET(TH!M$1,SMALL(Dong2,ROWS($1:8)),)))</f>
        <v>642</v>
      </c>
      <c r="F19" s="48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619">
        <f t="shared" ca="1" si="0"/>
        <v>90261892</v>
      </c>
      <c r="I19" s="483"/>
      <c r="L19" s="140"/>
    </row>
    <row r="20" spans="1:17" s="145" customFormat="1" ht="18.75" customHeight="1">
      <c r="A20" s="156">
        <f ca="1">IF(ROWS($1:9)&gt;COUNT(Dong2),"",OFFSET(TH!C$1,SMALL(Dong2,ROWS($1:9)),))</f>
        <v>40680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40680</v>
      </c>
      <c r="D20" s="235" t="str">
        <f ca="1">IF(ROWS($1:9)&gt;COUNT(Dong2),"",OFFSET(TH!F$1,SMALL(Dong2,ROWS($1:9)),))</f>
        <v>Thanh toán tiền hàng</v>
      </c>
      <c r="E20" s="156" t="str">
        <f ca="1">IF(ROWS($1:9)&gt;COUNT(Dong2),"",IF(OFFSET(TH!M$1,SMALL(Dong2,ROWS($1:9)),)=$I$6,OFFSET(TH!L$1,SMALL(Dong2,ROWS($1:9)),),OFFSET(TH!M$1,SMALL(Dong2,ROWS($1:9)),)))</f>
        <v>331</v>
      </c>
      <c r="F20" s="48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619">
        <f t="shared" ca="1" si="0"/>
        <v>40261892</v>
      </c>
      <c r="I20" s="483"/>
      <c r="L20" s="140"/>
    </row>
    <row r="21" spans="1:17" s="145" customFormat="1" ht="18.75" customHeight="1">
      <c r="A21" s="156">
        <f ca="1">IF(ROWS($1:10)&gt;COUNT(Dong2),"",OFFSET(TH!C$1,SMALL(Dong2,ROWS($1:10)),))</f>
        <v>40680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40680</v>
      </c>
      <c r="D21" s="235" t="str">
        <f ca="1">IF(ROWS($1:10)&gt;COUNT(Dong2),"",OFFSET(TH!F$1,SMALL(Dong2,ROWS($1:10)),))</f>
        <v>Phí chuyển tiền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8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619">
        <f t="shared" ca="1" si="0"/>
        <v>40251892</v>
      </c>
      <c r="I21" s="483"/>
      <c r="L21" s="140"/>
      <c r="Q21" s="481"/>
    </row>
    <row r="22" spans="1:17" s="145" customFormat="1" ht="18.75" customHeight="1">
      <c r="A22" s="156">
        <f ca="1">IF(ROWS($1:11)&gt;COUNT(Dong2),"",OFFSET(TH!C$1,SMALL(Dong2,ROWS($1:11)),))</f>
        <v>40688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40688</v>
      </c>
      <c r="D22" s="235" t="str">
        <f ca="1">IF(ROWS($1:11)&gt;COUNT(Dong2),"",OFFSET(TH!F$1,SMALL(Dong2,ROWS($1:11)),))</f>
        <v>Lãi tiền gửi</v>
      </c>
      <c r="E22" s="156" t="str">
        <f ca="1">IF(ROWS($1:11)&gt;COUNT(Dong2),"",IF(OFFSET(TH!M$1,SMALL(Dong2,ROWS($1:11)),)=$I$6,OFFSET(TH!L$1,SMALL(Dong2,ROWS($1:11)),),OFFSET(TH!M$1,SMALL(Dong2,ROWS($1:11)),)))</f>
        <v>515</v>
      </c>
      <c r="F22" s="48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8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19">
        <f t="shared" ca="1" si="0"/>
        <v>40530197</v>
      </c>
      <c r="I22" s="483"/>
      <c r="L22" s="140"/>
    </row>
    <row r="23" spans="1:17" s="145" customFormat="1" ht="18.75" customHeight="1">
      <c r="A23" s="156">
        <f ca="1">IF(ROWS($1:12)&gt;COUNT(Dong2),"",OFFSET(TH!C$1,SMALL(Dong2,ROWS($1:12)),))</f>
        <v>40689</v>
      </c>
      <c r="B23" s="156" t="str">
        <f ca="1">IF(ROWS($1:12)&gt;COUNT(Dong2),"",OFFSET(TH!D$1,SMALL(Dong2,ROWS($1:12)),))</f>
        <v>C31</v>
      </c>
      <c r="C23" s="156">
        <f ca="1">IF(ROWS($1:12)&gt;COUNT(Dong2),"",OFFSET(TH!E$1,SMALL(Dong2,ROWS($1:12)),))</f>
        <v>40689</v>
      </c>
      <c r="D23" s="235" t="str">
        <f ca="1">IF(ROWS($1:12)&gt;COUNT(Dong2),"",OFFSET(TH!F$1,SMALL(Dong2,ROWS($1:12)),))</f>
        <v>Nộp tiền mặt vào tài khoản</v>
      </c>
      <c r="E23" s="156" t="str">
        <f ca="1">IF(ROWS($1:12)&gt;COUNT(Dong2),"",IF(OFFSET(TH!M$1,SMALL(Dong2,ROWS($1:12)),)=$I$6,OFFSET(TH!L$1,SMALL(Dong2,ROWS($1:12)),),OFFSET(TH!M$1,SMALL(Dong2,ROWS($1:12)),)))</f>
        <v>1111</v>
      </c>
      <c r="F23" s="48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8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19">
        <f t="shared" ca="1" si="0"/>
        <v>45530197</v>
      </c>
      <c r="I23" s="483"/>
      <c r="L23" s="140"/>
      <c r="Q23" s="607"/>
    </row>
    <row r="24" spans="1:17" s="145" customFormat="1" ht="18.75" customHeight="1">
      <c r="A24" s="156">
        <f ca="1">IF(ROWS($1:13)&gt;COUNT(Dong2),"",OFFSET(TH!C$1,SMALL(Dong2,ROWS($1:13)),))</f>
        <v>40690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40690</v>
      </c>
      <c r="D24" s="235" t="str">
        <f ca="1">IF(ROWS($1:13)&gt;COUNT(Dong2),"",OFFSET(TH!F$1,SMALL(Dong2,ROWS($1:13)),))</f>
        <v>Thanh toán tiền hàng</v>
      </c>
      <c r="E24" s="156" t="str">
        <f ca="1">IF(ROWS($1:13)&gt;COUNT(Dong2),"",IF(OFFSET(TH!M$1,SMALL(Dong2,ROWS($1:13)),)=$I$6,OFFSET(TH!L$1,SMALL(Dong2,ROWS($1:13)),),OFFSET(TH!M$1,SMALL(Dong2,ROWS($1:13)),)))</f>
        <v>331</v>
      </c>
      <c r="F24" s="48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8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619">
        <f t="shared" ca="1" si="0"/>
        <v>3817801</v>
      </c>
      <c r="I24" s="483"/>
      <c r="L24" s="140"/>
    </row>
    <row r="25" spans="1:17" s="145" customFormat="1" ht="18.75" customHeight="1">
      <c r="A25" s="156">
        <f ca="1">IF(ROWS($1:14)&gt;COUNT(Dong2),"",OFFSET(TH!C$1,SMALL(Dong2,ROWS($1:14)),))</f>
        <v>40690</v>
      </c>
      <c r="B25" s="156" t="str">
        <f ca="1">IF(ROWS($1:14)&gt;COUNT(Dong2),"",OFFSET(TH!D$1,SMALL(Dong2,ROWS($1:14)),))</f>
        <v>GBN</v>
      </c>
      <c r="C25" s="156">
        <f ca="1">IF(ROWS($1:14)&gt;COUNT(Dong2),"",OFFSET(TH!E$1,SMALL(Dong2,ROWS($1:14)),))</f>
        <v>40690</v>
      </c>
      <c r="D25" s="235" t="str">
        <f ca="1">IF(ROWS($1:14)&gt;COUNT(Dong2),"",OFFSET(TH!F$1,SMALL(Dong2,ROWS($1:14)),))</f>
        <v>Phí chuyển tiền</v>
      </c>
      <c r="E25" s="156" t="str">
        <f ca="1">IF(ROWS($1:14)&gt;COUNT(Dong2),"",IF(OFFSET(TH!M$1,SMALL(Dong2,ROWS($1:14)),)=$I$6,OFFSET(TH!L$1,SMALL(Dong2,ROWS($1:14)),),OFFSET(TH!M$1,SMALL(Dong2,ROWS($1:14)),)))</f>
        <v>642</v>
      </c>
      <c r="F25" s="48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8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619">
        <f t="shared" ca="1" si="0"/>
        <v>3807801</v>
      </c>
      <c r="I25" s="483"/>
      <c r="L25" s="140"/>
    </row>
    <row r="26" spans="1:17" s="145" customFormat="1" ht="18.75" customHeight="1">
      <c r="A26" s="156">
        <f ca="1">IF(ROWS($1:15)&gt;COUNT(Dong2),"",OFFSET(TH!C$1,SMALL(Dong2,ROWS($1:15)),))</f>
        <v>40690</v>
      </c>
      <c r="B26" s="156" t="str">
        <f ca="1">IF(ROWS($1:15)&gt;COUNT(Dong2),"",OFFSET(TH!D$1,SMALL(Dong2,ROWS($1:15)),))</f>
        <v>GBN</v>
      </c>
      <c r="C26" s="156">
        <f ca="1">IF(ROWS($1:15)&gt;COUNT(Dong2),"",OFFSET(TH!E$1,SMALL(Dong2,ROWS($1:15)),))</f>
        <v>40690</v>
      </c>
      <c r="D26" s="235" t="str">
        <f ca="1">IF(ROWS($1:15)&gt;COUNT(Dong2),"",OFFSET(TH!F$1,SMALL(Dong2,ROWS($1:15)),))</f>
        <v>Phí chuyển tiền</v>
      </c>
      <c r="E26" s="156" t="str">
        <f ca="1">IF(ROWS($1:15)&gt;COUNT(Dong2),"",IF(OFFSET(TH!M$1,SMALL(Dong2,ROWS($1:15)),)=$I$6,OFFSET(TH!L$1,SMALL(Dong2,ROWS($1:15)),),OFFSET(TH!M$1,SMALL(Dong2,ROWS($1:15)),)))</f>
        <v>642</v>
      </c>
      <c r="F26" s="48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8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619">
        <f t="shared" ca="1" si="0"/>
        <v>3797801</v>
      </c>
      <c r="I26" s="483"/>
      <c r="L26" s="140"/>
    </row>
    <row r="27" spans="1:17" s="145" customFormat="1" ht="18.75" customHeight="1">
      <c r="A27" s="156">
        <f ca="1">IF(ROWS($1:16)&gt;COUNT(Dong2),"",OFFSET(TH!C$1,SMALL(Dong2,ROWS($1:16)),))</f>
        <v>40697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40697</v>
      </c>
      <c r="D27" s="235" t="str">
        <f ca="1">IF(ROWS($1:16)&gt;COUNT(Dong2),"",OFFSET(TH!F$1,SMALL(Dong2,ROWS($1:16)),))</f>
        <v>Thu tiền hàng</v>
      </c>
      <c r="E27" s="156" t="str">
        <f ca="1">IF(ROWS($1:16)&gt;COUNT(Dong2),"",IF(OFFSET(TH!M$1,SMALL(Dong2,ROWS($1:16)),)=$I$6,OFFSET(TH!L$1,SMALL(Dong2,ROWS($1:16)),),OFFSET(TH!M$1,SMALL(Dong2,ROWS($1:16)),)))</f>
        <v>131</v>
      </c>
      <c r="F27" s="48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8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619">
        <f t="shared" ca="1" si="0"/>
        <v>71215889</v>
      </c>
      <c r="I27" s="483"/>
      <c r="L27" s="140"/>
    </row>
    <row r="28" spans="1:17" s="145" customFormat="1" ht="18.75" customHeight="1">
      <c r="A28" s="156">
        <f ca="1">IF(ROWS($1:17)&gt;COUNT(Dong2),"",OFFSET(TH!C$1,SMALL(Dong2,ROWS($1:17)),))</f>
        <v>40700</v>
      </c>
      <c r="B28" s="156" t="str">
        <f ca="1">IF(ROWS($1:17)&gt;COUNT(Dong2),"",OFFSET(TH!D$1,SMALL(Dong2,ROWS($1:17)),))</f>
        <v>C38</v>
      </c>
      <c r="C28" s="156">
        <f ca="1">IF(ROWS($1:17)&gt;COUNT(Dong2),"",OFFSET(TH!E$1,SMALL(Dong2,ROWS($1:17)),))</f>
        <v>40700</v>
      </c>
      <c r="D28" s="235" t="str">
        <f ca="1">IF(ROWS($1:17)&gt;COUNT(Dong2),"",OFFSET(TH!F$1,SMALL(Dong2,ROWS($1:17)),))</f>
        <v>Nộp tiền mặt vào tài khoản</v>
      </c>
      <c r="E28" s="156" t="str">
        <f ca="1">IF(ROWS($1:17)&gt;COUNT(Dong2),"",IF(OFFSET(TH!M$1,SMALL(Dong2,ROWS($1:17)),)=$I$6,OFFSET(TH!L$1,SMALL(Dong2,ROWS($1:17)),),OFFSET(TH!M$1,SMALL(Dong2,ROWS($1:17)),)))</f>
        <v>1111</v>
      </c>
      <c r="F28" s="48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8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19">
        <f t="shared" ca="1" si="0"/>
        <v>101215889</v>
      </c>
      <c r="I28" s="483"/>
      <c r="L28" s="140"/>
    </row>
    <row r="29" spans="1:17" s="145" customFormat="1" ht="18.75" customHeight="1">
      <c r="A29" s="156">
        <f ca="1">IF(ROWS($1:18)&gt;COUNT(Dong2),"",OFFSET(TH!C$1,SMALL(Dong2,ROWS($1:18)),))</f>
        <v>40700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40700</v>
      </c>
      <c r="D29" s="235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8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619">
        <f t="shared" ca="1" si="0"/>
        <v>1215889</v>
      </c>
      <c r="I29" s="483"/>
      <c r="L29" s="140"/>
    </row>
    <row r="30" spans="1:17" s="145" customFormat="1" ht="18.75" customHeight="1">
      <c r="A30" s="156">
        <f ca="1">IF(ROWS($1:19)&gt;COUNT(Dong2),"",OFFSET(TH!C$1,SMALL(Dong2,ROWS($1:19)),))</f>
        <v>40700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40700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8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19">
        <f t="shared" ca="1" si="0"/>
        <v>1205889</v>
      </c>
      <c r="I30" s="483"/>
      <c r="L30" s="140"/>
    </row>
    <row r="31" spans="1:17" s="145" customFormat="1" ht="18.75" customHeight="1">
      <c r="A31" s="156">
        <f ca="1">IF(ROWS($1:20)&gt;COUNT(Dong2),"",OFFSET(TH!C$1,SMALL(Dong2,ROWS($1:20)),))</f>
        <v>40702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40702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8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19">
        <f t="shared" ca="1" si="0"/>
        <v>77238800</v>
      </c>
      <c r="I31" s="483"/>
      <c r="L31" s="140"/>
    </row>
    <row r="32" spans="1:17" s="145" customFormat="1" ht="18.75" customHeight="1">
      <c r="A32" s="156">
        <f ca="1">IF(ROWS($1:21)&gt;COUNT(Dong2),"",OFFSET(TH!C$1,SMALL(Dong2,ROWS($1:21)),))</f>
        <v>40709</v>
      </c>
      <c r="B32" s="156" t="str">
        <f ca="1">IF(ROWS($1:21)&gt;COUNT(Dong2),"",OFFSET(TH!D$1,SMALL(Dong2,ROWS($1:21)),))</f>
        <v>C46</v>
      </c>
      <c r="C32" s="156">
        <f ca="1">IF(ROWS($1:21)&gt;COUNT(Dong2),"",OFFSET(TH!E$1,SMALL(Dong2,ROWS($1:21)),))</f>
        <v>40709</v>
      </c>
      <c r="D32" s="235" t="str">
        <f ca="1">IF(ROWS($1:21)&gt;COUNT(Dong2),"",OFFSET(TH!F$1,SMALL(Dong2,ROWS($1:21)),))</f>
        <v>Nộp tiền mặt vào tài khoản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8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8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9">
        <f t="shared" ca="1" si="0"/>
        <v>167238800</v>
      </c>
      <c r="I32" s="483"/>
      <c r="L32" s="140"/>
    </row>
    <row r="33" spans="1:20" s="145" customFormat="1" ht="18.75" customHeight="1">
      <c r="A33" s="156">
        <f ca="1">IF(ROWS($1:22)&gt;COUNT(Dong2),"",OFFSET(TH!C$1,SMALL(Dong2,ROWS($1:22)),))</f>
        <v>40709</v>
      </c>
      <c r="B33" s="156" t="str">
        <f ca="1">IF(ROWS($1:22)&gt;COUNT(Dong2),"",OFFSET(TH!D$1,SMALL(Dong2,ROWS($1:22)),))</f>
        <v>GBN</v>
      </c>
      <c r="C33" s="156">
        <f ca="1">IF(ROWS($1:22)&gt;COUNT(Dong2),"",OFFSET(TH!E$1,SMALL(Dong2,ROWS($1:22)),))</f>
        <v>40709</v>
      </c>
      <c r="D33" s="235" t="str">
        <f ca="1">IF(ROWS($1:22)&gt;COUNT(Dong2),"",OFFSET(TH!F$1,SMALL(Dong2,ROWS($1:22)),))</f>
        <v>Thanh toán tiền máy</v>
      </c>
      <c r="E33" s="156" t="str">
        <f ca="1">IF(ROWS($1:22)&gt;COUNT(Dong2),"",IF(OFFSET(TH!M$1,SMALL(Dong2,ROWS($1:22)),)=$I$6,OFFSET(TH!L$1,SMALL(Dong2,ROWS($1:22)),),OFFSET(TH!M$1,SMALL(Dong2,ROWS($1:22)),)))</f>
        <v>331</v>
      </c>
      <c r="F33" s="48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619">
        <f t="shared" ca="1" si="0"/>
        <v>20838800</v>
      </c>
      <c r="I33" s="483"/>
      <c r="L33" s="140"/>
    </row>
    <row r="34" spans="1:20" s="145" customFormat="1" ht="18.75" customHeight="1">
      <c r="A34" s="156">
        <f ca="1">IF(ROWS($1:23)&gt;COUNT(Dong2),"",OFFSET(TH!C$1,SMALL(Dong2,ROWS($1:23)),))</f>
        <v>40709</v>
      </c>
      <c r="B34" s="156" t="str">
        <f ca="1">IF(ROWS($1:23)&gt;COUNT(Dong2),"",OFFSET(TH!D$1,SMALL(Dong2,ROWS($1:23)),))</f>
        <v>GBN</v>
      </c>
      <c r="C34" s="156">
        <f ca="1">IF(ROWS($1:23)&gt;COUNT(Dong2),"",OFFSET(TH!E$1,SMALL(Dong2,ROWS($1:23)),))</f>
        <v>40709</v>
      </c>
      <c r="D34" s="235" t="str">
        <f ca="1">IF(ROWS($1:23)&gt;COUNT(Dong2),"",OFFSET(TH!F$1,SMALL(Dong2,ROWS($1:23)),))</f>
        <v>Phí KD</v>
      </c>
      <c r="E34" s="156" t="str">
        <f ca="1">IF(ROWS($1:23)&gt;COUNT(Dong2),"",IF(OFFSET(TH!M$1,SMALL(Dong2,ROWS($1:23)),)=$I$6,OFFSET(TH!L$1,SMALL(Dong2,ROWS($1:23)),),OFFSET(TH!M$1,SMALL(Dong2,ROWS($1:23)),)))</f>
        <v>642</v>
      </c>
      <c r="F34" s="48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619">
        <f t="shared" ca="1" si="0"/>
        <v>20818052</v>
      </c>
      <c r="I34" s="483"/>
      <c r="L34" s="140"/>
    </row>
    <row r="35" spans="1:20" s="145" customFormat="1" ht="18.75" customHeight="1">
      <c r="A35" s="156">
        <f ca="1">IF(ROWS($1:24)&gt;COUNT(Dong2),"",OFFSET(TH!C$1,SMALL(Dong2,ROWS($1:24)),))</f>
        <v>40710</v>
      </c>
      <c r="B35" s="156" t="str">
        <f ca="1">IF(ROWS($1:24)&gt;COUNT(Dong2),"",OFFSET(TH!D$1,SMALL(Dong2,ROWS($1:24)),))</f>
        <v>C48</v>
      </c>
      <c r="C35" s="156">
        <f ca="1">IF(ROWS($1:24)&gt;COUNT(Dong2),"",OFFSET(TH!E$1,SMALL(Dong2,ROWS($1:24)),))</f>
        <v>40710</v>
      </c>
      <c r="D35" s="235" t="str">
        <f ca="1">IF(ROWS($1:24)&gt;COUNT(Dong2),"",OFFSET(TH!F$1,SMALL(Dong2,ROWS($1:24)),))</f>
        <v>Nộp tiền mặt vào tài khoản</v>
      </c>
      <c r="E35" s="156" t="str">
        <f ca="1">IF(ROWS($1:24)&gt;COUNT(Dong2),"",IF(OFFSET(TH!M$1,SMALL(Dong2,ROWS($1:24)),)=$I$6,OFFSET(TH!L$1,SMALL(Dong2,ROWS($1:24)),),OFFSET(TH!M$1,SMALL(Dong2,ROWS($1:24)),)))</f>
        <v>1111</v>
      </c>
      <c r="F35" s="48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8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19">
        <f t="shared" ca="1" si="0"/>
        <v>40818052</v>
      </c>
      <c r="I35" s="483"/>
      <c r="L35" s="140"/>
    </row>
    <row r="36" spans="1:20" s="145" customFormat="1" ht="18.75" customHeight="1">
      <c r="A36" s="156">
        <f ca="1">IF(ROWS($1:25)&gt;COUNT(Dong2),"",OFFSET(TH!C$1,SMALL(Dong2,ROWS($1:25)),))</f>
        <v>40711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40711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8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8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19">
        <f t="shared" ca="1" si="0"/>
        <v>69464714</v>
      </c>
      <c r="I36" s="483"/>
      <c r="L36" s="140"/>
    </row>
    <row r="37" spans="1:20" s="145" customFormat="1" ht="18.75" customHeight="1">
      <c r="A37" s="156">
        <f ca="1">IF(ROWS($1:26)&gt;COUNT(Dong2),"",OFFSET(TH!C$1,SMALL(Dong2,ROWS($1:26)),))</f>
        <v>40711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40711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8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619">
        <f t="shared" ca="1" si="0"/>
        <v>29464714</v>
      </c>
      <c r="I37" s="483"/>
      <c r="L37" s="140"/>
    </row>
    <row r="38" spans="1:20" s="145" customFormat="1" ht="18.75" customHeight="1">
      <c r="A38" s="156">
        <f ca="1">IF(ROWS($1:27)&gt;COUNT(Dong2),"",OFFSET(TH!C$1,SMALL(Dong2,ROWS($1:27)),))</f>
        <v>40711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40711</v>
      </c>
      <c r="D38" s="235" t="str">
        <f ca="1">IF(ROWS($1:27)&gt;COUNT(Dong2),"",OFFSET(TH!F$1,SMALL(Dong2,ROWS($1:27)),))</f>
        <v>Phí chuyển tiền</v>
      </c>
      <c r="E38" s="156" t="str">
        <f ca="1">IF(ROWS($1:27)&gt;COUNT(Dong2),"",IF(OFFSET(TH!M$1,SMALL(Dong2,ROWS($1:27)),)=$I$6,OFFSET(TH!L$1,SMALL(Dong2,ROWS($1:27)),),OFFSET(TH!M$1,SMALL(Dong2,ROWS($1:27)),)))</f>
        <v>642</v>
      </c>
      <c r="F38" s="48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619">
        <f t="shared" ca="1" si="0"/>
        <v>29454714</v>
      </c>
      <c r="I38" s="483"/>
      <c r="L38" s="140"/>
    </row>
    <row r="39" spans="1:20" s="145" customFormat="1" ht="18.75" customHeight="1">
      <c r="A39" s="156">
        <f ca="1">IF(ROWS($1:28)&gt;COUNT(Dong2),"",OFFSET(TH!C$1,SMALL(Dong2,ROWS($1:28)),))</f>
        <v>40711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40711</v>
      </c>
      <c r="D39" s="235" t="str">
        <f ca="1">IF(ROWS($1:28)&gt;COUNT(Dong2),"",OFFSET(TH!F$1,SMALL(Dong2,ROWS($1:28)),))</f>
        <v>Phí chuyển tiền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8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619">
        <f t="shared" ca="1" si="0"/>
        <v>29444714</v>
      </c>
      <c r="I39" s="483"/>
      <c r="L39" s="140"/>
    </row>
    <row r="40" spans="1:20" s="145" customFormat="1" ht="18.75" customHeight="1">
      <c r="A40" s="156">
        <f ca="1">IF(ROWS($1:29)&gt;COUNT(Dong2),"",OFFSET(TH!C$1,SMALL(Dong2,ROWS($1:29)),))</f>
        <v>40714</v>
      </c>
      <c r="B40" s="156" t="str">
        <f ca="1">IF(ROWS($1:29)&gt;COUNT(Dong2),"",OFFSET(TH!D$1,SMALL(Dong2,ROWS($1:29)),))</f>
        <v>C50</v>
      </c>
      <c r="C40" s="156">
        <f ca="1">IF(ROWS($1:29)&gt;COUNT(Dong2),"",OFFSET(TH!E$1,SMALL(Dong2,ROWS($1:29)),))</f>
        <v>40714</v>
      </c>
      <c r="D40" s="235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8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8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9">
        <f t="shared" ca="1" si="0"/>
        <v>32444714</v>
      </c>
      <c r="I40" s="483"/>
    </row>
    <row r="41" spans="1:20" s="145" customFormat="1" ht="18.75" customHeight="1">
      <c r="A41" s="156">
        <f ca="1">IF(ROWS($1:30)&gt;COUNT(Dong2),"",OFFSET(TH!C$1,SMALL(Dong2,ROWS($1:30)),))</f>
        <v>40714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40714</v>
      </c>
      <c r="D41" s="235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8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619">
        <f t="shared" ref="H41:H43" ca="1" si="1">IF(A41&lt;&gt;"",H40+F41-G41,0)</f>
        <v>1564714</v>
      </c>
      <c r="I41" s="483"/>
    </row>
    <row r="42" spans="1:20" s="145" customFormat="1" ht="18.75" customHeight="1">
      <c r="A42" s="156">
        <f ca="1">IF(ROWS($1:31)&gt;COUNT(Dong2),"",OFFSET(TH!C$1,SMALL(Dong2,ROWS($1:31)),))</f>
        <v>40715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40715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8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619">
        <f t="shared" ca="1" si="1"/>
        <v>1554714</v>
      </c>
      <c r="I42" s="483"/>
    </row>
    <row r="43" spans="1:20" s="145" customFormat="1" ht="18.75" customHeight="1">
      <c r="A43" s="156">
        <f ca="1">IF(ROWS($1:32)&gt;COUNT(Dong2),"",OFFSET(TH!C$1,SMALL(Dong2,ROWS($1:32)),))</f>
        <v>40719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40719</v>
      </c>
      <c r="D43" s="235" t="str">
        <f ca="1">IF(ROWS($1:32)&gt;COUNT(Dong2),"",OFFSET(TH!F$1,SMALL(Dong2,ROWS($1:32)),))</f>
        <v>Lãi tiền gửi</v>
      </c>
      <c r="E43" s="156" t="str">
        <f ca="1">IF(ROWS($1:32)&gt;COUNT(Dong2),"",IF(OFFSET(TH!M$1,SMALL(Dong2,ROWS($1:32)),)=$I$6,OFFSET(TH!L$1,SMALL(Dong2,ROWS($1:32)),),OFFSET(TH!M$1,SMALL(Dong2,ROWS($1:32)),)))</f>
        <v>515</v>
      </c>
      <c r="F43" s="48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8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19">
        <f t="shared" ca="1" si="1"/>
        <v>1637060</v>
      </c>
      <c r="I43" s="483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86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6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19">
        <f t="shared" ref="H44" ca="1" si="2">IF(A44&lt;&gt;"",H43+F44-G44,0)</f>
        <v>0</v>
      </c>
      <c r="I44" s="483"/>
    </row>
    <row r="45" spans="1:20" s="145" customFormat="1" ht="18.75" customHeight="1">
      <c r="A45" s="156"/>
      <c r="B45" s="156"/>
      <c r="C45" s="156"/>
      <c r="D45" s="235"/>
      <c r="E45" s="156"/>
      <c r="F45" s="486"/>
      <c r="G45" s="486"/>
      <c r="H45" s="619"/>
      <c r="I45" s="483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125</v>
      </c>
      <c r="E46" s="159"/>
      <c r="F46" s="485">
        <f ca="1">SUM(F12:F45)</f>
        <v>548905944</v>
      </c>
      <c r="G46" s="485">
        <f ca="1">SUM(G12:G45)</f>
        <v>547268884</v>
      </c>
      <c r="H46" s="485">
        <f ca="1">H11+F46-G46</f>
        <v>1637060</v>
      </c>
      <c r="I46" s="484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5">
        <f ca="1">H46</f>
        <v>1637060</v>
      </c>
      <c r="I47" s="159"/>
    </row>
    <row r="48" spans="1:20" s="155" customFormat="1" ht="22.5" customHeight="1">
      <c r="A48" s="252" t="s">
        <v>147</v>
      </c>
      <c r="B48" s="161"/>
      <c r="F48" s="162"/>
      <c r="H48" s="612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7/4/ 2011</v>
      </c>
      <c r="B49" s="164"/>
      <c r="F49" s="162"/>
      <c r="H49" s="612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2011</v>
      </c>
      <c r="H50" s="612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101</v>
      </c>
      <c r="H51" s="613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128</v>
      </c>
      <c r="H52" s="612"/>
      <c r="K52" s="173"/>
      <c r="L52" s="173"/>
      <c r="Q52" s="174"/>
      <c r="R52" s="174"/>
      <c r="S52" s="174"/>
      <c r="T52" s="174"/>
    </row>
  </sheetData>
  <autoFilter ref="A10:K4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6"/>
  <sheetViews>
    <sheetView showZeros="0" workbookViewId="0">
      <selection sqref="A1:H2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8" t="str">
        <f>TH!$A$1</f>
        <v>Đơn vị: CÔNG TY TNHH SX TM KIM DUNG PHÁT</v>
      </c>
    </row>
    <row r="2" spans="1:9">
      <c r="A2" s="919" t="str">
        <f>TH!$A$2</f>
        <v>Địa chỉ: 1A227/1 Ấp 1, Phạm Văn Hai, Bình Chánh, TPHCM</v>
      </c>
    </row>
    <row r="3" spans="1:9" ht="27" customHeight="1">
      <c r="A3" s="1002" t="s">
        <v>344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34</v>
      </c>
      <c r="B4" s="1005" t="s">
        <v>35</v>
      </c>
      <c r="C4" s="1007" t="s">
        <v>36</v>
      </c>
      <c r="D4" s="1008"/>
      <c r="E4" s="1007" t="s">
        <v>37</v>
      </c>
      <c r="F4" s="1008"/>
      <c r="G4" s="1007" t="s">
        <v>40</v>
      </c>
      <c r="H4" s="1008"/>
    </row>
    <row r="5" spans="1:9" s="10" customFormat="1" ht="14.25" customHeight="1">
      <c r="A5" s="1004"/>
      <c r="B5" s="1006"/>
      <c r="C5" s="625" t="s">
        <v>41</v>
      </c>
      <c r="D5" s="625" t="s">
        <v>42</v>
      </c>
      <c r="E5" s="625" t="s">
        <v>41</v>
      </c>
      <c r="F5" s="625" t="s">
        <v>42</v>
      </c>
      <c r="G5" s="625" t="s">
        <v>41</v>
      </c>
      <c r="H5" s="625" t="s">
        <v>42</v>
      </c>
    </row>
    <row r="6" spans="1:9" s="10" customFormat="1" ht="16.5" customHeight="1">
      <c r="A6" s="6">
        <f>IF(B6&lt;&gt;"",ROW()-5,"")</f>
        <v>1</v>
      </c>
      <c r="B6" s="7" t="s">
        <v>732</v>
      </c>
      <c r="C6" s="8"/>
      <c r="D6" s="8"/>
      <c r="E6" s="8">
        <f t="array" ref="E6">SUM(IF("131"&amp;B6=KHN&amp;KH,TH))</f>
        <v>28175740</v>
      </c>
      <c r="F6" s="8">
        <f t="array" ref="F6">SUM(IF("131"&amp;B6=KHC&amp;KH,TH))</f>
        <v>28175740</v>
      </c>
      <c r="G6" s="55">
        <f t="shared" ref="G6:G12" si="0">ROUND(MAX(C6+E6-D6-F6,0),2)</f>
        <v>0</v>
      </c>
      <c r="H6" s="55">
        <f t="shared" ref="H6:H12" si="1">ROUND(MAX(D6+F6-C6-E6,0),2)</f>
        <v>0</v>
      </c>
      <c r="I6" s="10" t="str">
        <f>IF(ISNA(VLOOKUP(B6,'[4]131'!$B$4:$B$26,1,0)),"","x")</f>
        <v/>
      </c>
    </row>
    <row r="7" spans="1:9" s="10" customFormat="1" ht="16.5" customHeight="1">
      <c r="A7" s="6">
        <f>IF(B7&lt;&gt;"",ROW()-5,"")</f>
        <v>2</v>
      </c>
      <c r="B7" s="7" t="s">
        <v>733</v>
      </c>
      <c r="C7" s="8"/>
      <c r="D7" s="8"/>
      <c r="E7" s="8">
        <f t="array" ref="E7">SUM(IF("131"&amp;B7=KHN&amp;KH,TH))</f>
        <v>940845731</v>
      </c>
      <c r="F7" s="8">
        <f t="array" ref="F7">SUM(IF("131"&amp;B7=KHC&amp;KH,TH))</f>
        <v>823151544</v>
      </c>
      <c r="G7" s="55">
        <f t="shared" si="0"/>
        <v>117694187</v>
      </c>
      <c r="H7" s="55">
        <f t="shared" si="1"/>
        <v>0</v>
      </c>
      <c r="I7" s="10" t="str">
        <f>IF(ISNA(VLOOKUP(B7,'[4]131'!$B$4:$B$26,1,0)),"","x")</f>
        <v>x</v>
      </c>
    </row>
    <row r="8" spans="1:9" s="10" customFormat="1" ht="16.5" customHeight="1">
      <c r="A8" s="6">
        <f t="shared" ref="A8:A20" si="2">IF(B8&lt;&gt;"",ROW()-5,"")</f>
        <v>3</v>
      </c>
      <c r="B8" s="7" t="s">
        <v>734</v>
      </c>
      <c r="C8" s="8"/>
      <c r="D8" s="8"/>
      <c r="E8" s="8">
        <f t="array" ref="E8">SUM(IF("131"&amp;B8=KHN&amp;KH,TH))</f>
        <v>56849914</v>
      </c>
      <c r="F8" s="8">
        <f t="array" ref="F8">SUM(IF("131"&amp;B8=KHC&amp;KH,TH))</f>
        <v>56849914</v>
      </c>
      <c r="G8" s="55">
        <f t="shared" si="0"/>
        <v>0</v>
      </c>
      <c r="H8" s="55">
        <f t="shared" si="1"/>
        <v>0</v>
      </c>
      <c r="I8" s="10" t="str">
        <f>IF(ISNA(VLOOKUP(B8,'[4]131'!$B$4:$B$26,1,0)),"","x")</f>
        <v/>
      </c>
    </row>
    <row r="9" spans="1:9" s="10" customFormat="1" ht="16.5" customHeight="1">
      <c r="A9" s="6">
        <f t="shared" si="2"/>
        <v>4</v>
      </c>
      <c r="B9" s="7" t="s">
        <v>735</v>
      </c>
      <c r="C9" s="8"/>
      <c r="D9" s="8"/>
      <c r="E9" s="8">
        <f t="array" ref="E9">SUM(IF("131"&amp;B9=KHN&amp;KH,TH))</f>
        <v>50903229</v>
      </c>
      <c r="F9" s="8">
        <f t="array" ref="F9">SUM(IF("131"&amp;B9=KHC&amp;KH,TH))</f>
        <v>36922000</v>
      </c>
      <c r="G9" s="55">
        <f t="shared" si="0"/>
        <v>13981229</v>
      </c>
      <c r="H9" s="55">
        <f t="shared" si="1"/>
        <v>0</v>
      </c>
      <c r="I9" s="10" t="str">
        <f>IF(ISNA(VLOOKUP(B9,'[4]131'!$B$4:$B$26,1,0)),"","x")</f>
        <v>x</v>
      </c>
    </row>
    <row r="10" spans="1:9" s="10" customFormat="1" ht="16.5" customHeight="1">
      <c r="A10" s="6">
        <f t="shared" si="2"/>
        <v>5</v>
      </c>
      <c r="B10" s="7" t="s">
        <v>765</v>
      </c>
      <c r="C10" s="8"/>
      <c r="D10" s="8"/>
      <c r="E10" s="8">
        <f t="array" ref="E10">SUM(IF("131"&amp;B10=KHN&amp;KH,TH))</f>
        <v>23893917</v>
      </c>
      <c r="F10" s="8">
        <f t="array" ref="F10">SUM(IF("131"&amp;B10=KHC&amp;KH,TH))</f>
        <v>18616664</v>
      </c>
      <c r="G10" s="55">
        <f t="shared" si="0"/>
        <v>5277253</v>
      </c>
      <c r="H10" s="55">
        <f t="shared" si="1"/>
        <v>0</v>
      </c>
      <c r="I10" s="10" t="str">
        <f>IF(ISNA(VLOOKUP(B10,'[4]131'!$B$4:$B$26,1,0)),"","x")</f>
        <v>x</v>
      </c>
    </row>
    <row r="11" spans="1:9" s="10" customFormat="1" ht="16.5" customHeight="1">
      <c r="A11" s="6">
        <f t="shared" si="2"/>
        <v>6</v>
      </c>
      <c r="B11" s="834" t="s">
        <v>766</v>
      </c>
      <c r="C11" s="8"/>
      <c r="D11" s="8"/>
      <c r="E11" s="8">
        <f t="array" ref="E11">SUM(IF("131"&amp;B11=KHN&amp;KH,TH))</f>
        <v>47789997</v>
      </c>
      <c r="F11" s="8">
        <f t="array" ref="F11">SUM(IF("131"&amp;B11=KHC&amp;KH,TH))</f>
        <v>47789997</v>
      </c>
      <c r="G11" s="55">
        <f t="shared" si="0"/>
        <v>0</v>
      </c>
      <c r="H11" s="55">
        <f t="shared" si="1"/>
        <v>0</v>
      </c>
      <c r="I11" s="10" t="str">
        <f>IF(ISNA(VLOOKUP(B11,'[4]131'!$B$4:$B$26,1,0)),"","x")</f>
        <v/>
      </c>
    </row>
    <row r="12" spans="1:9" s="10" customFormat="1" ht="16.5" customHeight="1">
      <c r="A12" s="6">
        <f t="shared" si="2"/>
        <v>7</v>
      </c>
      <c r="B12" s="7" t="s">
        <v>767</v>
      </c>
      <c r="C12" s="8"/>
      <c r="D12" s="8"/>
      <c r="E12" s="8">
        <f t="array" ref="E12">SUM(IF("131"&amp;B12=KHN&amp;KH,TH))</f>
        <v>54530300</v>
      </c>
      <c r="F12" s="8">
        <f t="array" ref="F12">SUM(IF("131"&amp;B12=KHC&amp;KH,TH))</f>
        <v>0</v>
      </c>
      <c r="G12" s="55">
        <f t="shared" si="0"/>
        <v>54530300</v>
      </c>
      <c r="H12" s="55">
        <f t="shared" si="1"/>
        <v>0</v>
      </c>
      <c r="I12" s="10" t="str">
        <f>IF(ISNA(VLOOKUP(B12,'[4]131'!$B$4:$B$26,1,0)),"","x")</f>
        <v>x</v>
      </c>
    </row>
    <row r="13" spans="1:9" s="10" customFormat="1" ht="16.5" customHeight="1">
      <c r="A13" s="6">
        <f t="shared" si="2"/>
        <v>8</v>
      </c>
      <c r="B13" s="210" t="s">
        <v>906</v>
      </c>
      <c r="C13" s="8"/>
      <c r="D13" s="8"/>
      <c r="E13" s="8">
        <f t="array" ref="E13">SUM(IF("131"&amp;B13=KHN&amp;KH,TH))</f>
        <v>31795473</v>
      </c>
      <c r="F13" s="8">
        <f t="array" ref="F13">SUM(IF("131"&amp;B13=KHC&amp;KH,TH))</f>
        <v>31795473</v>
      </c>
      <c r="G13" s="822">
        <f t="shared" ref="G13:G16" si="3">ROUND(MAX(C13+E13-D13-F13,0),2)</f>
        <v>0</v>
      </c>
      <c r="H13" s="822">
        <f t="shared" ref="H13:H16" si="4">ROUND(MAX(D13+F13-C13-E13,0),2)</f>
        <v>0</v>
      </c>
    </row>
    <row r="14" spans="1:9" s="10" customFormat="1" ht="16.5" customHeight="1">
      <c r="A14" s="6">
        <f t="shared" si="2"/>
        <v>9</v>
      </c>
      <c r="B14" s="7" t="s">
        <v>910</v>
      </c>
      <c r="C14" s="8"/>
      <c r="D14" s="8"/>
      <c r="E14" s="8">
        <f t="array" ref="E14">SUM(IF("131"&amp;B14=KHN&amp;KH,TH))</f>
        <v>481008</v>
      </c>
      <c r="F14" s="8">
        <f t="array" ref="F14">SUM(IF("131"&amp;B14=KHC&amp;KH,TH))</f>
        <v>481008</v>
      </c>
      <c r="G14" s="822">
        <f t="shared" si="3"/>
        <v>0</v>
      </c>
      <c r="H14" s="822">
        <f t="shared" si="4"/>
        <v>0</v>
      </c>
    </row>
    <row r="15" spans="1:9" s="10" customFormat="1" ht="16.5" customHeight="1">
      <c r="A15" s="6">
        <f t="shared" si="2"/>
        <v>10</v>
      </c>
      <c r="B15" s="193" t="s">
        <v>738</v>
      </c>
      <c r="C15" s="8"/>
      <c r="D15" s="8"/>
      <c r="E15" s="8">
        <f t="array" ref="E15">SUM(IF("131"&amp;B15=KHN&amp;KH,TH))</f>
        <v>10474619</v>
      </c>
      <c r="F15" s="8">
        <f t="array" ref="F15">SUM(IF("131"&amp;B15=KHC&amp;KH,TH))</f>
        <v>10474619</v>
      </c>
      <c r="G15" s="822">
        <f t="shared" si="3"/>
        <v>0</v>
      </c>
      <c r="H15" s="822">
        <f t="shared" si="4"/>
        <v>0</v>
      </c>
    </row>
    <row r="16" spans="1:9" s="10" customFormat="1" ht="16.5" customHeight="1">
      <c r="A16" s="6">
        <f t="shared" si="2"/>
        <v>11</v>
      </c>
      <c r="B16" s="193" t="s">
        <v>760</v>
      </c>
      <c r="C16" s="8"/>
      <c r="D16" s="8"/>
      <c r="E16" s="8">
        <f t="array" ref="E16">SUM(IF("131"&amp;B16=KHN&amp;KH,TH))</f>
        <v>40888100</v>
      </c>
      <c r="F16" s="8">
        <f t="array" ref="F16">SUM(IF("131"&amp;B16=KHC&amp;KH,TH))</f>
        <v>40888100</v>
      </c>
      <c r="G16" s="822">
        <f t="shared" si="3"/>
        <v>0</v>
      </c>
      <c r="H16" s="822">
        <f t="shared" si="4"/>
        <v>0</v>
      </c>
    </row>
    <row r="17" spans="1:9" s="10" customFormat="1" ht="16.5" customHeight="1">
      <c r="A17" s="6">
        <f t="shared" si="2"/>
        <v>12</v>
      </c>
      <c r="B17" s="210" t="s">
        <v>761</v>
      </c>
      <c r="C17" s="8"/>
      <c r="D17" s="8"/>
      <c r="E17" s="8">
        <f t="array" ref="E17">SUM(IF("131"&amp;B17=KHN&amp;KH,TH))</f>
        <v>1610294</v>
      </c>
      <c r="F17" s="8">
        <f t="array" ref="F17">SUM(IF("131"&amp;B17=KHC&amp;KH,TH))</f>
        <v>1610294</v>
      </c>
      <c r="G17" s="822">
        <f t="shared" ref="G17:G18" si="5">ROUND(MAX(C17+E17-D17-F17,0),2)</f>
        <v>0</v>
      </c>
      <c r="H17" s="822">
        <f t="shared" ref="H17:H18" si="6">ROUND(MAX(D17+F17-C17-E17,0),2)</f>
        <v>0</v>
      </c>
    </row>
    <row r="18" spans="1:9" s="10" customFormat="1" ht="16.5" customHeight="1">
      <c r="A18" s="6">
        <f t="shared" si="2"/>
        <v>13</v>
      </c>
      <c r="B18" s="210" t="s">
        <v>762</v>
      </c>
      <c r="C18" s="8"/>
      <c r="D18" s="8"/>
      <c r="E18" s="8">
        <f t="array" ref="E18">SUM(IF("131"&amp;B18=KHN&amp;KH,TH))</f>
        <v>5078546</v>
      </c>
      <c r="F18" s="8">
        <f t="array" ref="F18">SUM(IF("131"&amp;B18=KHC&amp;KH,TH))</f>
        <v>5078546</v>
      </c>
      <c r="G18" s="822">
        <f t="shared" si="5"/>
        <v>0</v>
      </c>
      <c r="H18" s="822">
        <f t="shared" si="6"/>
        <v>0</v>
      </c>
    </row>
    <row r="19" spans="1:9" s="10" customFormat="1" ht="16.5" customHeight="1">
      <c r="A19" s="6">
        <f t="shared" si="2"/>
        <v>14</v>
      </c>
      <c r="B19" s="193" t="s">
        <v>764</v>
      </c>
      <c r="C19" s="8"/>
      <c r="D19" s="8"/>
      <c r="E19" s="8">
        <f t="array" ref="E19">SUM(IF("131"&amp;B19=KHN&amp;KH,TH))</f>
        <v>5088161</v>
      </c>
      <c r="F19" s="8">
        <f t="array" ref="F19">SUM(IF("131"&amp;B19=KHC&amp;KH,TH))</f>
        <v>5088161</v>
      </c>
      <c r="G19" s="822">
        <f t="shared" ref="G19:G20" si="7">ROUND(MAX(C19+E19-D19-F19,0),2)</f>
        <v>0</v>
      </c>
      <c r="H19" s="822">
        <f t="shared" ref="H19:H20" si="8">ROUND(MAX(D19+F19-C19-E19,0),2)</f>
        <v>0</v>
      </c>
    </row>
    <row r="20" spans="1:9" s="10" customFormat="1" ht="16.5" customHeight="1">
      <c r="A20" s="6">
        <f t="shared" si="2"/>
        <v>15</v>
      </c>
      <c r="B20" s="210" t="s">
        <v>763</v>
      </c>
      <c r="C20" s="8"/>
      <c r="D20" s="8"/>
      <c r="E20" s="8">
        <f t="array" ref="E20">SUM(IF("131"&amp;B20=KHN&amp;KH,TH))</f>
        <v>1364001</v>
      </c>
      <c r="F20" s="8">
        <f t="array" ref="F20">SUM(IF("131"&amp;B20=KHC&amp;KH,TH))</f>
        <v>1364001</v>
      </c>
      <c r="G20" s="822">
        <f t="shared" si="7"/>
        <v>0</v>
      </c>
      <c r="H20" s="822">
        <f t="shared" si="8"/>
        <v>0</v>
      </c>
    </row>
    <row r="21" spans="1:9" s="10" customFormat="1" ht="16.5" customHeight="1">
      <c r="A21" s="6" t="str">
        <f t="shared" ref="A21" si="9">IF(B21&lt;&gt;"",ROW()-3,"")</f>
        <v/>
      </c>
      <c r="B21" s="44"/>
      <c r="C21" s="8"/>
      <c r="D21" s="8"/>
      <c r="E21" s="8"/>
      <c r="F21" s="8"/>
      <c r="G21" s="55"/>
      <c r="H21" s="55"/>
      <c r="I21" s="10" t="str">
        <f>IF(ISNA(VLOOKUP(B21,'[4]131'!$B$4:$B$26,1,0)),"","x")</f>
        <v/>
      </c>
    </row>
    <row r="22" spans="1:9" s="14" customFormat="1" ht="14.25" customHeight="1">
      <c r="A22" s="11"/>
      <c r="B22" s="12" t="s">
        <v>38</v>
      </c>
      <c r="C22" s="13">
        <f t="shared" ref="C22:H22" si="10">SUM(C6:C21)</f>
        <v>0</v>
      </c>
      <c r="D22" s="13">
        <f t="shared" si="10"/>
        <v>0</v>
      </c>
      <c r="E22" s="13">
        <f t="shared" si="10"/>
        <v>1299769030</v>
      </c>
      <c r="F22" s="13">
        <f t="shared" si="10"/>
        <v>1108286061</v>
      </c>
      <c r="G22" s="13">
        <f t="shared" si="10"/>
        <v>191482969</v>
      </c>
      <c r="H22" s="13">
        <f t="shared" si="10"/>
        <v>0</v>
      </c>
    </row>
    <row r="24" spans="1:9">
      <c r="E24" s="15"/>
      <c r="F24" s="1001" t="s">
        <v>1443</v>
      </c>
      <c r="G24" s="1001"/>
      <c r="H24" s="1001"/>
    </row>
    <row r="25" spans="1:9">
      <c r="F25" s="1001" t="s">
        <v>101</v>
      </c>
      <c r="G25" s="1001"/>
      <c r="H25" s="1001"/>
    </row>
    <row r="26" spans="1:9">
      <c r="E26" s="183"/>
      <c r="F26" s="1001" t="s">
        <v>128</v>
      </c>
      <c r="G26" s="1001"/>
      <c r="H26" s="1001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5" customFormat="1" ht="14.25" customHeight="1">
      <c r="A1" s="631" t="str">
        <f>TH!A1</f>
        <v>Đơn vị: CÔNG TY TNHH SX TM KIM DUNG PHÁT</v>
      </c>
      <c r="B1" s="622"/>
      <c r="C1" s="622"/>
      <c r="G1" s="2"/>
      <c r="H1" s="1011" t="s">
        <v>45</v>
      </c>
      <c r="I1" s="1011"/>
      <c r="J1" s="1011"/>
    </row>
    <row r="2" spans="1:10" s="475" customFormat="1" ht="14.25" customHeight="1">
      <c r="A2" s="630" t="str">
        <f>TH!A2</f>
        <v>Địa chỉ: 1A227/1 Ấp 1, Phạm Văn Hai, Bình Chánh, TPHCM</v>
      </c>
      <c r="B2" s="622"/>
      <c r="C2" s="622"/>
      <c r="G2" s="17"/>
      <c r="H2" s="101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2"/>
      <c r="J2" s="1012"/>
    </row>
    <row r="3" spans="1:10" s="475" customFormat="1" ht="14.25" customHeight="1">
      <c r="A3" s="624"/>
      <c r="B3" s="622"/>
      <c r="C3" s="622"/>
      <c r="G3" s="17"/>
      <c r="H3" s="1012"/>
      <c r="I3" s="1012"/>
      <c r="J3" s="1012"/>
    </row>
    <row r="4" spans="1:10" s="5" customFormat="1" ht="28.5" customHeight="1">
      <c r="A4" s="1013" t="s">
        <v>25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620" t="s">
        <v>26</v>
      </c>
    </row>
    <row r="6" spans="1:10" s="18" customFormat="1" ht="14.25" customHeight="1">
      <c r="E6" s="620" t="s">
        <v>347</v>
      </c>
    </row>
    <row r="7" spans="1:10" s="18" customFormat="1" ht="14.25" customHeight="1">
      <c r="D7" s="20" t="s">
        <v>44</v>
      </c>
      <c r="E7" s="1014" t="s">
        <v>733</v>
      </c>
      <c r="F7" s="1014"/>
      <c r="G7" s="1014"/>
      <c r="H7" s="1014"/>
    </row>
    <row r="8" spans="1:10" s="18" customFormat="1" ht="14.25" customHeight="1">
      <c r="E8" s="620" t="s">
        <v>28</v>
      </c>
    </row>
    <row r="9" spans="1:10" s="18" customFormat="1" ht="6.75" customHeight="1">
      <c r="B9" s="620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79" t="s">
        <v>19</v>
      </c>
      <c r="B10" s="1016" t="s">
        <v>1</v>
      </c>
      <c r="C10" s="1016"/>
      <c r="D10" s="979" t="s">
        <v>0</v>
      </c>
      <c r="E10" s="979" t="s">
        <v>14</v>
      </c>
      <c r="F10" s="979" t="s">
        <v>29</v>
      </c>
      <c r="G10" s="1009" t="s">
        <v>20</v>
      </c>
      <c r="H10" s="1010"/>
      <c r="I10" s="1009" t="s">
        <v>30</v>
      </c>
      <c r="J10" s="1010"/>
    </row>
    <row r="11" spans="1:10" s="18" customFormat="1" ht="24.75" customHeight="1">
      <c r="A11" s="979"/>
      <c r="B11" s="30" t="s">
        <v>15</v>
      </c>
      <c r="C11" s="30" t="s">
        <v>31</v>
      </c>
      <c r="D11" s="979"/>
      <c r="E11" s="979"/>
      <c r="F11" s="979"/>
      <c r="G11" s="30" t="s">
        <v>21</v>
      </c>
      <c r="H11" s="30" t="s">
        <v>22</v>
      </c>
      <c r="I11" s="30" t="s">
        <v>21</v>
      </c>
      <c r="J11" s="30" t="s">
        <v>22</v>
      </c>
    </row>
    <row r="12" spans="1:10" s="18" customFormat="1" ht="11.25" customHeight="1">
      <c r="A12" s="626" t="s">
        <v>2</v>
      </c>
      <c r="B12" s="627" t="s">
        <v>3</v>
      </c>
      <c r="C12" s="626" t="s">
        <v>4</v>
      </c>
      <c r="D12" s="626" t="s">
        <v>5</v>
      </c>
      <c r="E12" s="626" t="s">
        <v>6</v>
      </c>
      <c r="F12" s="626">
        <v>1</v>
      </c>
      <c r="G12" s="626">
        <v>2</v>
      </c>
      <c r="H12" s="626">
        <v>3</v>
      </c>
      <c r="I12" s="626">
        <v>4</v>
      </c>
      <c r="J12" s="626">
        <v>5</v>
      </c>
    </row>
    <row r="13" spans="1:10" s="18" customFormat="1" ht="18" customHeight="1">
      <c r="A13" s="626"/>
      <c r="B13" s="626"/>
      <c r="C13" s="626"/>
      <c r="D13" s="23" t="s">
        <v>7</v>
      </c>
      <c r="E13" s="626"/>
      <c r="F13" s="24"/>
      <c r="G13" s="24"/>
      <c r="H13" s="24"/>
      <c r="I13" s="47">
        <f>VLOOKUP($E$7,'131'!$B$6:$H$21,2,0)</f>
        <v>0</v>
      </c>
      <c r="J13" s="47">
        <f>VLOOKUP($E$7,'131'!$B$6:$H$21,3,0)</f>
        <v>0</v>
      </c>
    </row>
    <row r="14" spans="1:10" s="18" customFormat="1" ht="18" customHeight="1">
      <c r="A14" s="9">
        <f ca="1">IF(ROWS($1:1)&gt;COUNT(Dong14),"",OFFSET(TH!C$1,SMALL(Dong14,ROWS($1:1)),))</f>
        <v>40690</v>
      </c>
      <c r="B14" s="9" t="str">
        <f ca="1">IF(ROWS($1:1)&gt;COUNT(Dong14),"",OFFSET(TH!D$1,SMALL(Dong14,ROWS($1:1)),))</f>
        <v>TP/X03</v>
      </c>
      <c r="C14" s="9">
        <f ca="1">IF(ROWS($1:1)&gt;COUNT(Dong14),"",OFFSET(TH!E$1,SMALL(Dong14,ROWS($1:1)),))</f>
        <v>40690</v>
      </c>
      <c r="D14" s="226" t="str">
        <f ca="1">IF(ROWS($1:1)&gt;COUNT(Dong14),"",OFFSET(TH!F$1,SMALL(Dong14,ROWS($1:1)),))</f>
        <v>Thùng 5 lớp không in (55x32x30)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691600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691600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40690</v>
      </c>
      <c r="B15" s="9" t="str">
        <f ca="1">IF(ROWS($1:2)&gt;COUNT(Dong14),"",OFFSET(TH!D$1,SMALL(Dong14,ROWS($1:2)),))</f>
        <v>TP/X03</v>
      </c>
      <c r="C15" s="9">
        <f ca="1">IF(ROWS($1:2)&gt;COUNT(Dong14),"",OFFSET(TH!E$1,SMALL(Dong14,ROWS($1:2)),))</f>
        <v>40690</v>
      </c>
      <c r="D15" s="226" t="str">
        <f ca="1">IF(ROWS($1:2)&gt;COUNT(Dong14),"",OFFSET(TH!F$1,SMALL(Dong14,ROWS($1:2)),))</f>
        <v>Bộ vĩ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1050000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1741600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40690</v>
      </c>
      <c r="B16" s="9" t="str">
        <f ca="1">IF(ROWS($1:3)&gt;COUNT(Dong14),"",OFFSET(TH!D$1,SMALL(Dong14,ROWS($1:3)),))</f>
        <v>TP/X03</v>
      </c>
      <c r="C16" s="9">
        <f ca="1">IF(ROWS($1:3)&gt;COUNT(Dong14),"",OFFSET(TH!E$1,SMALL(Dong14,ROWS($1:3)),))</f>
        <v>40690</v>
      </c>
      <c r="D16" s="226" t="str">
        <f ca="1">IF(ROWS($1:3)&gt;COUNT(Dong14),"",OFFSET(TH!F$1,SMALL(Dong14,ROWS($1:3)),))</f>
        <v>Thùng 5 lớp không in (69x41x30)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139356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1880956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40690</v>
      </c>
      <c r="B17" s="9" t="str">
        <f ca="1">IF(ROWS($1:4)&gt;COUNT(Dong14),"",OFFSET(TH!D$1,SMALL(Dong14,ROWS($1:4)),))</f>
        <v>TP/X03</v>
      </c>
      <c r="C17" s="9">
        <f ca="1">IF(ROWS($1:4)&gt;COUNT(Dong14),"",OFFSET(TH!E$1,SMALL(Dong14,ROWS($1:4)),))</f>
        <v>40690</v>
      </c>
      <c r="D17" s="226" t="str">
        <f ca="1">IF(ROWS($1:4)&gt;COUNT(Dong14),"",OFFSET(TH!F$1,SMALL(Dong14,ROWS($1:4)),))</f>
        <v>Thùng 5 lớp không in (69x39x33)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134995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2015951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40690</v>
      </c>
      <c r="B18" s="9" t="str">
        <f ca="1">IF(ROWS($1:5)&gt;COUNT(Dong14),"",OFFSET(TH!D$1,SMALL(Dong14,ROWS($1:5)),))</f>
        <v>TP/X03</v>
      </c>
      <c r="C18" s="9">
        <f ca="1">IF(ROWS($1:5)&gt;COUNT(Dong14),"",OFFSET(TH!E$1,SMALL(Dong14,ROWS($1:5)),))</f>
        <v>40690</v>
      </c>
      <c r="D18" s="226" t="str">
        <f ca="1">IF(ROWS($1:5)&gt;COUNT(Dong14),"",OFFSET(TH!F$1,SMALL(Dong14,ROWS($1:5)),))</f>
        <v>Thùng 5 lớp không in (55x32x30)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3458000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5473951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40690</v>
      </c>
      <c r="B19" s="9" t="str">
        <f ca="1">IF(ROWS($1:6)&gt;COUNT(Dong14),"",OFFSET(TH!D$1,SMALL(Dong14,ROWS($1:6)),))</f>
        <v>TP/X03</v>
      </c>
      <c r="C19" s="9">
        <f ca="1">IF(ROWS($1:6)&gt;COUNT(Dong14),"",OFFSET(TH!E$1,SMALL(Dong14,ROWS($1:6)),))</f>
        <v>40690</v>
      </c>
      <c r="D19" s="226" t="str">
        <f ca="1">IF(ROWS($1:6)&gt;COUNT(Dong14),"",OFFSET(TH!F$1,SMALL(Dong14,ROWS($1:6)),))</f>
        <v>Thùng 5 lớp không in (59.5x29.5x39.5)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1415160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6889111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40690</v>
      </c>
      <c r="B20" s="9" t="str">
        <f ca="1">IF(ROWS($1:7)&gt;COUNT(Dong14),"",OFFSET(TH!D$1,SMALL(Dong14,ROWS($1:7)),))</f>
        <v>TP/X03</v>
      </c>
      <c r="C20" s="9">
        <f ca="1">IF(ROWS($1:7)&gt;COUNT(Dong14),"",OFFSET(TH!E$1,SMALL(Dong14,ROWS($1:7)),))</f>
        <v>40690</v>
      </c>
      <c r="D20" s="226" t="str">
        <f ca="1">IF(ROWS($1:7)&gt;COUNT(Dong14),"",OFFSET(TH!F$1,SMALL(Dong14,ROWS($1:7)),))</f>
        <v>Bộ vĩ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383850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7272961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40690</v>
      </c>
      <c r="B21" s="9" t="str">
        <f ca="1">IF(ROWS($1:8)&gt;COUNT(Dong14),"",OFFSET(TH!D$1,SMALL(Dong14,ROWS($1:8)),))</f>
        <v>TP/X03</v>
      </c>
      <c r="C21" s="9">
        <f ca="1">IF(ROWS($1:8)&gt;COUNT(Dong14),"",OFFSET(TH!E$1,SMALL(Dong14,ROWS($1:8)),))</f>
        <v>40690</v>
      </c>
      <c r="D21" s="226" t="str">
        <f ca="1">IF(ROWS($1:8)&gt;COUNT(Dong14),"",OFFSET(TH!F$1,SMALL(Dong14,ROWS($1:8)),))</f>
        <v>VAT Thùng 5 lớp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727296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8000257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40690</v>
      </c>
      <c r="B22" s="9" t="str">
        <f ca="1">IF(ROWS($1:9)&gt;COUNT(Dong14),"",OFFSET(TH!D$1,SMALL(Dong14,ROWS($1:9)),))</f>
        <v>TP/X04</v>
      </c>
      <c r="C22" s="9">
        <f ca="1">IF(ROWS($1:9)&gt;COUNT(Dong14),"",OFFSET(TH!E$1,SMALL(Dong14,ROWS($1:9)),))</f>
        <v>40690</v>
      </c>
      <c r="D22" s="226" t="str">
        <f ca="1">IF(ROWS($1:9)&gt;COUNT(Dong14),"",OFFSET(TH!F$1,SMALL(Dong14,ROWS($1:9)),))</f>
        <v>Thùng 3 lớp không in (44x27x34)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17678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8017935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40690</v>
      </c>
      <c r="B23" s="9" t="str">
        <f ca="1">IF(ROWS($1:10)&gt;COUNT(Dong14),"",OFFSET(TH!D$1,SMALL(Dong14,ROWS($1:10)),))</f>
        <v>TP/X04</v>
      </c>
      <c r="C23" s="9">
        <f ca="1">IF(ROWS($1:10)&gt;COUNT(Dong14),"",OFFSET(TH!E$1,SMALL(Dong14,ROWS($1:10)),))</f>
        <v>40690</v>
      </c>
      <c r="D23" s="226" t="str">
        <f ca="1">IF(ROWS($1:10)&gt;COUNT(Dong14),"",OFFSET(TH!F$1,SMALL(Dong14,ROWS($1:10)),))</f>
        <v>Thùng 3 lớp không in (33x27x20.5)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11714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8029649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40690</v>
      </c>
      <c r="B24" s="9" t="str">
        <f ca="1">IF(ROWS($1:11)&gt;COUNT(Dong14),"",OFFSET(TH!D$1,SMALL(Dong14,ROWS($1:11)),))</f>
        <v>TP/X04</v>
      </c>
      <c r="C24" s="9">
        <f ca="1">IF(ROWS($1:11)&gt;COUNT(Dong14),"",OFFSET(TH!E$1,SMALL(Dong14,ROWS($1:11)),))</f>
        <v>40690</v>
      </c>
      <c r="D24" s="226" t="str">
        <f ca="1">IF(ROWS($1:11)&gt;COUNT(Dong14),"",OFFSET(TH!F$1,SMALL(Dong14,ROWS($1:11)),))</f>
        <v>Thùng 3 lớp không in (45.5x34x20.5)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1720680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9750329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40690</v>
      </c>
      <c r="B25" s="9" t="str">
        <f ca="1">IF(ROWS($1:12)&gt;COUNT(Dong14),"",OFFSET(TH!D$1,SMALL(Dong14,ROWS($1:12)),))</f>
        <v>TP/X04</v>
      </c>
      <c r="C25" s="9">
        <f ca="1">IF(ROWS($1:12)&gt;COUNT(Dong14),"",OFFSET(TH!E$1,SMALL(Dong14,ROWS($1:12)),))</f>
        <v>40690</v>
      </c>
      <c r="D25" s="226" t="str">
        <f ca="1">IF(ROWS($1:12)&gt;COUNT(Dong14),"",OFFSET(TH!F$1,SMALL(Dong14,ROWS($1:12)),))</f>
        <v>Thùng 3 lớp không in (43x41x33)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320460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10070789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40690</v>
      </c>
      <c r="B26" s="9" t="str">
        <f ca="1">IF(ROWS($1:13)&gt;COUNT(Dong14),"",OFFSET(TH!D$1,SMALL(Dong14,ROWS($1:13)),))</f>
        <v>TP/X04</v>
      </c>
      <c r="C26" s="9">
        <f ca="1">IF(ROWS($1:13)&gt;COUNT(Dong14),"",OFFSET(TH!E$1,SMALL(Dong14,ROWS($1:13)),))</f>
        <v>40690</v>
      </c>
      <c r="D26" s="226" t="str">
        <f ca="1">IF(ROWS($1:13)&gt;COUNT(Dong14),"",OFFSET(TH!F$1,SMALL(Dong14,ROWS($1:13)),))</f>
        <v>Thùng 3 lớp không in (39x24x33)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7358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10078147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40690</v>
      </c>
      <c r="B27" s="9" t="str">
        <f ca="1">IF(ROWS($1:14)&gt;COUNT(Dong14),"",OFFSET(TH!D$1,SMALL(Dong14,ROWS($1:14)),))</f>
        <v>TP/X04</v>
      </c>
      <c r="C27" s="9">
        <f ca="1">IF(ROWS($1:14)&gt;COUNT(Dong14),"",OFFSET(TH!E$1,SMALL(Dong14,ROWS($1:14)),))</f>
        <v>40690</v>
      </c>
      <c r="D27" s="226" t="str">
        <f ca="1">IF(ROWS($1:14)&gt;COUNT(Dong14),"",OFFSET(TH!F$1,SMALL(Dong14,ROWS($1:14)),))</f>
        <v>Thùng 3 lớp không in (41x25x30)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29716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10107863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40690</v>
      </c>
      <c r="B28" s="9" t="str">
        <f ca="1">IF(ROWS($1:15)&gt;COUNT(Dong14),"",OFFSET(TH!D$1,SMALL(Dong14,ROWS($1:15)),))</f>
        <v>TP/X04</v>
      </c>
      <c r="C28" s="9">
        <f ca="1">IF(ROWS($1:15)&gt;COUNT(Dong14),"",OFFSET(TH!E$1,SMALL(Dong14,ROWS($1:15)),))</f>
        <v>40690</v>
      </c>
      <c r="D28" s="226" t="str">
        <f ca="1">IF(ROWS($1:15)&gt;COUNT(Dong14),"",OFFSET(TH!F$1,SMALL(Dong14,ROWS($1:15)),))</f>
        <v>Thùng 3 lớp không in (35x20x22.5)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9646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10117509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40690</v>
      </c>
      <c r="B29" s="9" t="str">
        <f ca="1">IF(ROWS($1:16)&gt;COUNT(Dong14),"",OFFSET(TH!D$1,SMALL(Dong14,ROWS($1:16)),))</f>
        <v>TP/X04</v>
      </c>
      <c r="C29" s="9">
        <f ca="1">IF(ROWS($1:16)&gt;COUNT(Dong14),"",OFFSET(TH!E$1,SMALL(Dong14,ROWS($1:16)),))</f>
        <v>40690</v>
      </c>
      <c r="D29" s="226" t="str">
        <f ca="1">IF(ROWS($1:16)&gt;COUNT(Dong14),"",OFFSET(TH!F$1,SMALL(Dong14,ROWS($1:16)),))</f>
        <v>Thùng 3 lớp không in (51x33x20.5)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18282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10135791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40690</v>
      </c>
      <c r="B30" s="9" t="str">
        <f ca="1">IF(ROWS($1:17)&gt;COUNT(Dong14),"",OFFSET(TH!D$1,SMALL(Dong14,ROWS($1:17)),))</f>
        <v>TP/X04</v>
      </c>
      <c r="C30" s="9">
        <f ca="1">IF(ROWS($1:17)&gt;COUNT(Dong14),"",OFFSET(TH!E$1,SMALL(Dong14,ROWS($1:17)),))</f>
        <v>40690</v>
      </c>
      <c r="D30" s="226" t="str">
        <f ca="1">IF(ROWS($1:17)&gt;COUNT(Dong14),"",OFFSET(TH!F$1,SMALL(Dong14,ROWS($1:17)),))</f>
        <v>VAT Thùng 3 lớp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213555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10349346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6"/>
      <c r="C32" s="26"/>
      <c r="D32" s="23" t="s">
        <v>32</v>
      </c>
      <c r="E32" s="626" t="s">
        <v>18</v>
      </c>
      <c r="F32" s="626" t="s">
        <v>18</v>
      </c>
      <c r="G32" s="27">
        <f ca="1">SUM(G14:G30)</f>
        <v>10349346</v>
      </c>
      <c r="H32" s="27">
        <f ca="1">SUM(H14:H30)</f>
        <v>0</v>
      </c>
      <c r="I32" s="27" t="s">
        <v>18</v>
      </c>
      <c r="J32" s="27" t="s">
        <v>18</v>
      </c>
    </row>
    <row r="33" spans="1:11" s="18" customFormat="1" ht="18" customHeight="1">
      <c r="A33" s="24"/>
      <c r="B33" s="626"/>
      <c r="C33" s="626"/>
      <c r="D33" s="23" t="s">
        <v>10</v>
      </c>
      <c r="E33" s="626" t="s">
        <v>18</v>
      </c>
      <c r="F33" s="626" t="s">
        <v>18</v>
      </c>
      <c r="G33" s="27" t="s">
        <v>18</v>
      </c>
      <c r="H33" s="27" t="s">
        <v>18</v>
      </c>
      <c r="I33" s="27">
        <f ca="1">MAX(I13+G32-H32-J13,0)</f>
        <v>10349346</v>
      </c>
      <c r="J33" s="27">
        <f ca="1">MAX(J13+H32-G32-I13,0)</f>
        <v>0</v>
      </c>
    </row>
    <row r="34" spans="1:11" s="18" customFormat="1" ht="6" customHeight="1">
      <c r="B34" s="620"/>
      <c r="C34" s="620"/>
      <c r="E34" s="620"/>
    </row>
    <row r="35" spans="1:11" s="18" customFormat="1" ht="14.25" customHeight="1">
      <c r="A35" s="28" t="s">
        <v>144</v>
      </c>
      <c r="B35" s="620"/>
      <c r="C35" s="620"/>
      <c r="E35" s="620"/>
      <c r="K35" s="28" t="s">
        <v>144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27/5/ 2011</v>
      </c>
      <c r="B36" s="620"/>
      <c r="C36" s="620"/>
      <c r="E36" s="620"/>
      <c r="K36" s="28" t="s">
        <v>33</v>
      </c>
    </row>
    <row r="37" spans="1:11" s="18" customFormat="1" ht="14.25" customHeight="1">
      <c r="B37" s="620"/>
      <c r="C37" s="620"/>
      <c r="E37" s="967" t="str">
        <f ca="1">"Ngày 31 tháng  12  năm  "&amp;YEAR($A$14)</f>
        <v>Ngày 31 tháng  12  năm  2011</v>
      </c>
      <c r="F37" s="967"/>
      <c r="G37" s="967"/>
      <c r="H37" s="967"/>
      <c r="I37" s="967"/>
      <c r="J37" s="967"/>
    </row>
    <row r="38" spans="1:11" s="18" customFormat="1" ht="14.25" customHeight="1">
      <c r="C38" s="620" t="s">
        <v>11</v>
      </c>
      <c r="E38" s="967" t="s">
        <v>12</v>
      </c>
      <c r="F38" s="967"/>
      <c r="G38" s="967"/>
      <c r="H38" s="967"/>
      <c r="I38" s="967"/>
      <c r="J38" s="967"/>
    </row>
    <row r="39" spans="1:11" s="18" customFormat="1" ht="14.25" customHeight="1">
      <c r="C39" s="620" t="s">
        <v>13</v>
      </c>
      <c r="E39" s="967" t="s">
        <v>13</v>
      </c>
      <c r="F39" s="967"/>
      <c r="G39" s="967"/>
      <c r="H39" s="967"/>
      <c r="I39" s="967"/>
      <c r="J39" s="967"/>
    </row>
    <row r="40" spans="1:11" s="29" customFormat="1"/>
    <row r="46" spans="1:11" ht="15">
      <c r="C46" s="621" t="s">
        <v>143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0"/>
  <sheetViews>
    <sheetView showZeros="0" workbookViewId="0">
      <pane ySplit="5" topLeftCell="A6" activePane="bottomLeft" state="frozen"/>
      <selection pane="bottomLeft" activeCell="H6" sqref="H6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8" t="str">
        <f>TH!$A$1</f>
        <v>Đơn vị: CÔNG TY TNHH SX TM KIM DUNG PHÁT</v>
      </c>
    </row>
    <row r="2" spans="1:9">
      <c r="A2" s="919" t="str">
        <f>TH!$A$2</f>
        <v>Địa chỉ: 1A227/1 Ấp 1, Phạm Văn Hai, Bình Chánh, TPHCM</v>
      </c>
    </row>
    <row r="3" spans="1:9" ht="27" customHeight="1">
      <c r="A3" s="1002" t="s">
        <v>94</v>
      </c>
      <c r="B3" s="1002"/>
      <c r="C3" s="1002"/>
      <c r="D3" s="1002"/>
      <c r="E3" s="1002"/>
      <c r="F3" s="1002"/>
      <c r="G3" s="1002"/>
      <c r="H3" s="1002"/>
    </row>
    <row r="4" spans="1:9" s="10" customFormat="1" ht="14.25" customHeight="1">
      <c r="A4" s="1003" t="s">
        <v>34</v>
      </c>
      <c r="B4" s="1005" t="s">
        <v>35</v>
      </c>
      <c r="C4" s="1007" t="s">
        <v>36</v>
      </c>
      <c r="D4" s="1008"/>
      <c r="E4" s="1007" t="s">
        <v>37</v>
      </c>
      <c r="F4" s="1008"/>
      <c r="G4" s="1007" t="s">
        <v>40</v>
      </c>
      <c r="H4" s="1008"/>
    </row>
    <row r="5" spans="1:9" s="10" customFormat="1" ht="14.25" customHeight="1">
      <c r="A5" s="1004"/>
      <c r="B5" s="1006"/>
      <c r="C5" s="197" t="s">
        <v>41</v>
      </c>
      <c r="D5" s="197" t="s">
        <v>42</v>
      </c>
      <c r="E5" s="197" t="s">
        <v>41</v>
      </c>
      <c r="F5" s="197" t="s">
        <v>42</v>
      </c>
      <c r="G5" s="197" t="s">
        <v>41</v>
      </c>
      <c r="H5" s="197" t="s">
        <v>42</v>
      </c>
    </row>
    <row r="6" spans="1:9" s="10" customFormat="1" ht="16.5" customHeight="1">
      <c r="A6" s="6">
        <f>IF(B6&lt;&gt;"",ROW()-5,"")</f>
        <v>1</v>
      </c>
      <c r="B6" s="7" t="s">
        <v>499</v>
      </c>
      <c r="C6" s="8"/>
      <c r="D6" s="8"/>
      <c r="E6" s="8">
        <f t="array" ref="E6">SUM(IF("331"&amp;B6=KHN&amp;KH,TH))</f>
        <v>360875032</v>
      </c>
      <c r="F6" s="8">
        <f t="array" ref="F6">SUM(IF("331"&amp;B6=KHC&amp;KH,TH))</f>
        <v>360875032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IF(ISNA(VLOOKUP(B6,'[4]331'!$B$4:$B$15,1,0)),"","x")</f>
        <v/>
      </c>
    </row>
    <row r="7" spans="1:9" s="10" customFormat="1" ht="16.5" customHeight="1">
      <c r="A7" s="6">
        <f t="shared" ref="A7:A14" si="2">IF(B7&lt;&gt;"",ROW()-5,"")</f>
        <v>2</v>
      </c>
      <c r="B7" s="7" t="s">
        <v>391</v>
      </c>
      <c r="C7" s="8"/>
      <c r="D7" s="8"/>
      <c r="E7" s="8">
        <f t="array" ref="E7">SUM(IF("331"&amp;B7=KHN&amp;KH,TH))</f>
        <v>8030000</v>
      </c>
      <c r="F7" s="8">
        <f t="array" ref="F7">SUM(IF("331"&amp;B7=KHC&amp;KH,TH))</f>
        <v>8030000</v>
      </c>
      <c r="G7" s="55">
        <f t="shared" si="0"/>
        <v>0</v>
      </c>
      <c r="H7" s="55">
        <f t="shared" si="1"/>
        <v>0</v>
      </c>
      <c r="I7" s="10" t="str">
        <f>IF(ISNA(VLOOKUP(B7,'[4]331'!$B$4:$B$15,1,0)),"","x")</f>
        <v>x</v>
      </c>
    </row>
    <row r="8" spans="1:9" s="10" customFormat="1" ht="16.5" customHeight="1">
      <c r="A8" s="6">
        <f t="shared" si="2"/>
        <v>3</v>
      </c>
      <c r="B8" s="7" t="s">
        <v>392</v>
      </c>
      <c r="C8" s="8"/>
      <c r="D8" s="8"/>
      <c r="E8" s="8">
        <f t="array" ref="E8">SUM(IF("331"&amp;B8=KHN&amp;KH,TH))</f>
        <v>4435200</v>
      </c>
      <c r="F8" s="8">
        <f t="array" ref="F8">SUM(IF("331"&amp;B8=KHC&amp;KH,TH))</f>
        <v>4435200</v>
      </c>
      <c r="G8" s="55">
        <f t="shared" si="0"/>
        <v>0</v>
      </c>
      <c r="H8" s="55">
        <f t="shared" si="1"/>
        <v>0</v>
      </c>
      <c r="I8" s="10" t="str">
        <f>IF(ISNA(VLOOKUP(B8,'[4]331'!$B$4:$B$15,1,0)),"","x")</f>
        <v>x</v>
      </c>
    </row>
    <row r="9" spans="1:9" s="10" customFormat="1" ht="16.5" customHeight="1">
      <c r="A9" s="6">
        <f t="shared" si="2"/>
        <v>4</v>
      </c>
      <c r="B9" s="44" t="s">
        <v>531</v>
      </c>
      <c r="C9" s="8"/>
      <c r="D9" s="8"/>
      <c r="E9" s="8">
        <f t="array" ref="E9">SUM(IF("331"&amp;B9=KHN&amp;KH,TH))</f>
        <v>352000000</v>
      </c>
      <c r="F9" s="8">
        <f t="array" ref="F9">SUM(IF("331"&amp;B9=KHC&amp;KH,TH))</f>
        <v>352000000</v>
      </c>
      <c r="G9" s="55">
        <f t="shared" si="0"/>
        <v>0</v>
      </c>
      <c r="H9" s="55">
        <f t="shared" si="1"/>
        <v>0</v>
      </c>
      <c r="I9" s="10" t="str">
        <f>IF(ISNA(VLOOKUP(B9,'[4]331'!$B$4:$B$15,1,0)),"","x")</f>
        <v/>
      </c>
    </row>
    <row r="10" spans="1:9" s="10" customFormat="1" ht="16.5" customHeight="1">
      <c r="A10" s="6">
        <f t="shared" si="2"/>
        <v>5</v>
      </c>
      <c r="B10" s="7" t="s">
        <v>548</v>
      </c>
      <c r="C10" s="8"/>
      <c r="D10" s="8"/>
      <c r="E10" s="8">
        <f t="array" ref="E10">SUM(IF("331"&amp;B10=KHN&amp;KH,TH))</f>
        <v>95593438</v>
      </c>
      <c r="F10" s="8">
        <f t="array" ref="F10">SUM(IF("331"&amp;B10=KHC&amp;KH,TH))</f>
        <v>95593438</v>
      </c>
      <c r="G10" s="55">
        <f t="shared" ref="G10:G12" si="3">ROUND(MAX(C10+E10-D10-F10,0),2)</f>
        <v>0</v>
      </c>
      <c r="H10" s="55">
        <f t="shared" ref="H10:H12" si="4">ROUND(MAX(D10+F10-C10-E10,0),2)</f>
        <v>0</v>
      </c>
      <c r="I10" s="10" t="str">
        <f>IF(ISNA(VLOOKUP(B10,'[4]331'!$B$4:$B$15,1,0)),"","x")</f>
        <v/>
      </c>
    </row>
    <row r="11" spans="1:9" s="10" customFormat="1" ht="16.5" customHeight="1">
      <c r="A11" s="6">
        <f t="shared" si="2"/>
        <v>6</v>
      </c>
      <c r="B11" s="44" t="s">
        <v>559</v>
      </c>
      <c r="C11" s="8"/>
      <c r="D11" s="8"/>
      <c r="E11" s="8">
        <f t="array" ref="E11">SUM(IF("331"&amp;B11=KHN&amp;KH,TH))</f>
        <v>288672684</v>
      </c>
      <c r="F11" s="8">
        <f t="array" ref="F11">SUM(IF("331"&amp;B11=KHC&amp;KH,TH))</f>
        <v>288672684</v>
      </c>
      <c r="G11" s="55">
        <f t="shared" si="3"/>
        <v>0</v>
      </c>
      <c r="H11" s="55">
        <f t="shared" si="4"/>
        <v>0</v>
      </c>
      <c r="I11" s="10" t="str">
        <f>IF(ISNA(VLOOKUP(B11,'[4]331'!$B$4:$B$15,1,0)),"","x")</f>
        <v>x</v>
      </c>
    </row>
    <row r="12" spans="1:9" s="10" customFormat="1" ht="16.5" customHeight="1">
      <c r="A12" s="6">
        <f t="shared" si="2"/>
        <v>7</v>
      </c>
      <c r="B12" s="44" t="s">
        <v>647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140518821</v>
      </c>
      <c r="G12" s="55">
        <f t="shared" si="3"/>
        <v>0</v>
      </c>
      <c r="H12" s="55">
        <f t="shared" si="4"/>
        <v>140518821</v>
      </c>
      <c r="I12" s="10" t="str">
        <f>IF(ISNA(VLOOKUP(B12,'[4]331'!$B$4:$B$15,1,0)),"","x")</f>
        <v>x</v>
      </c>
    </row>
    <row r="13" spans="1:9" s="10" customFormat="1" ht="16.5" customHeight="1">
      <c r="A13" s="6">
        <f t="shared" si="2"/>
        <v>8</v>
      </c>
      <c r="B13" s="44" t="s">
        <v>474</v>
      </c>
      <c r="C13" s="8"/>
      <c r="D13" s="8"/>
      <c r="E13" s="8">
        <f t="array" ref="E13">SUM(IF("331"&amp;B13=KHN&amp;KH,TH))</f>
        <v>2762067</v>
      </c>
      <c r="F13" s="8">
        <f t="array" ref="F13">SUM(IF("331"&amp;B13=KHC&amp;KH,TH))</f>
        <v>2762067</v>
      </c>
      <c r="G13" s="55">
        <f t="shared" ref="G13:G14" si="5">ROUND(MAX(C13+E13-D13-F13,0),2)</f>
        <v>0</v>
      </c>
      <c r="H13" s="55">
        <f t="shared" ref="H13:H14" si="6">ROUND(MAX(D13+F13-C13-E13,0),2)</f>
        <v>0</v>
      </c>
      <c r="I13" s="10" t="str">
        <f>IF(ISNA(VLOOKUP(B13,'[4]331'!$B$4:$B$15,1,0)),"","x")</f>
        <v/>
      </c>
    </row>
    <row r="14" spans="1:9" s="10" customFormat="1" ht="16.5" customHeight="1">
      <c r="A14" s="6">
        <f t="shared" si="2"/>
        <v>9</v>
      </c>
      <c r="B14" s="44" t="s">
        <v>510</v>
      </c>
      <c r="C14" s="8"/>
      <c r="D14" s="8"/>
      <c r="E14" s="8">
        <f t="array" ref="E14">SUM(IF("331"&amp;B14=KHN&amp;KH,TH))</f>
        <v>1430000</v>
      </c>
      <c r="F14" s="8">
        <f t="array" ref="F14">SUM(IF("331"&amp;B14=KHC&amp;KH,TH))</f>
        <v>1430000</v>
      </c>
      <c r="G14" s="55">
        <f t="shared" si="5"/>
        <v>0</v>
      </c>
      <c r="H14" s="55">
        <f t="shared" si="6"/>
        <v>0</v>
      </c>
      <c r="I14" s="10" t="str">
        <f>IF(ISNA(VLOOKUP(B14,'[4]331'!$B$4:$B$15,1,0)),"","x")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91"/>
      <c r="F15" s="491"/>
      <c r="G15" s="492"/>
      <c r="H15" s="492"/>
      <c r="I15" s="10" t="str">
        <f>IF(ISNA(VLOOKUP(B15,'[4]331'!$B$4:$B$15,1,0)),"","x")</f>
        <v/>
      </c>
    </row>
    <row r="16" spans="1:9" s="14" customFormat="1" ht="14.25" customHeight="1">
      <c r="A16" s="11"/>
      <c r="B16" s="12" t="s">
        <v>38</v>
      </c>
      <c r="C16" s="13">
        <f t="shared" ref="C16:H16" si="7">SUM(C6:C15)</f>
        <v>0</v>
      </c>
      <c r="D16" s="13">
        <f t="shared" si="7"/>
        <v>0</v>
      </c>
      <c r="E16" s="13">
        <f t="shared" si="7"/>
        <v>1113798421</v>
      </c>
      <c r="F16" s="13">
        <f t="shared" si="7"/>
        <v>1254317242</v>
      </c>
      <c r="G16" s="13">
        <f t="shared" si="7"/>
        <v>0</v>
      </c>
      <c r="H16" s="13">
        <f t="shared" si="7"/>
        <v>140518821</v>
      </c>
    </row>
    <row r="18" spans="5:8">
      <c r="E18" s="15"/>
      <c r="F18" s="1001" t="s">
        <v>1443</v>
      </c>
      <c r="G18" s="1001"/>
      <c r="H18" s="1001"/>
    </row>
    <row r="19" spans="5:8">
      <c r="F19" s="1001" t="s">
        <v>101</v>
      </c>
      <c r="G19" s="1001"/>
      <c r="H19" s="1001"/>
    </row>
    <row r="20" spans="5:8">
      <c r="E20" s="183"/>
      <c r="F20" s="1001" t="s">
        <v>128</v>
      </c>
      <c r="G20" s="1001"/>
      <c r="H20" s="1001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09"/>
  <sheetViews>
    <sheetView topLeftCell="A6" workbookViewId="0">
      <pane ySplit="8" topLeftCell="A80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1" t="str">
        <f>TH!A1</f>
        <v>Đơn vị: CÔNG TY TNHH SX TM KIM DUNG PHÁT</v>
      </c>
      <c r="B1" s="16"/>
      <c r="C1" s="16"/>
      <c r="G1" s="2"/>
      <c r="H1" s="1011" t="s">
        <v>45</v>
      </c>
      <c r="I1" s="1011"/>
      <c r="J1" s="1011"/>
    </row>
    <row r="2" spans="1:10" s="3" customFormat="1" ht="14.25" customHeight="1">
      <c r="A2" s="630" t="str">
        <f>TH!A2</f>
        <v>Địa chỉ: 1A227/1 Ấp 1, Phạm Văn Hai, Bình Chánh, TPHCM</v>
      </c>
      <c r="B2" s="16"/>
      <c r="C2" s="16"/>
      <c r="G2" s="17"/>
      <c r="H2" s="101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2"/>
      <c r="J2" s="1012"/>
    </row>
    <row r="3" spans="1:10" s="3" customFormat="1" ht="14.25" customHeight="1">
      <c r="A3" s="4"/>
      <c r="B3" s="16"/>
      <c r="C3" s="16"/>
      <c r="G3" s="17"/>
      <c r="H3" s="1012"/>
      <c r="I3" s="1012"/>
      <c r="J3" s="1012"/>
    </row>
    <row r="4" spans="1:10" s="5" customFormat="1" ht="28.5" customHeight="1">
      <c r="A4" s="1013" t="s">
        <v>25</v>
      </c>
      <c r="B4" s="1013"/>
      <c r="C4" s="1013"/>
      <c r="D4" s="1013"/>
      <c r="E4" s="1013"/>
      <c r="F4" s="1013"/>
      <c r="G4" s="1013"/>
      <c r="H4" s="1013"/>
      <c r="I4" s="1013"/>
      <c r="J4" s="1013"/>
    </row>
    <row r="5" spans="1:10" s="18" customFormat="1" ht="14.25" customHeight="1">
      <c r="E5" s="19" t="s">
        <v>26</v>
      </c>
    </row>
    <row r="6" spans="1:10" s="18" customFormat="1" ht="14.25" customHeight="1">
      <c r="E6" s="19" t="s">
        <v>27</v>
      </c>
    </row>
    <row r="7" spans="1:10" s="18" customFormat="1" ht="14.25" customHeight="1">
      <c r="D7" s="20" t="s">
        <v>44</v>
      </c>
      <c r="E7" s="1014" t="s">
        <v>499</v>
      </c>
      <c r="F7" s="1014"/>
      <c r="G7" s="1014"/>
      <c r="H7" s="1014"/>
    </row>
    <row r="8" spans="1:10" s="18" customFormat="1" ht="14.25" customHeight="1">
      <c r="E8" s="19" t="s">
        <v>28</v>
      </c>
    </row>
    <row r="9" spans="1:10" s="18" customFormat="1" ht="6.75" customHeight="1">
      <c r="B9" s="19"/>
      <c r="C9" s="1015"/>
      <c r="D9" s="1015"/>
      <c r="E9" s="1015"/>
      <c r="F9" s="1015"/>
      <c r="G9" s="1015"/>
      <c r="H9" s="1015"/>
      <c r="I9" s="1015"/>
      <c r="J9" s="1015"/>
    </row>
    <row r="10" spans="1:10" s="18" customFormat="1" ht="14.25" customHeight="1">
      <c r="A10" s="979" t="s">
        <v>19</v>
      </c>
      <c r="B10" s="1016" t="s">
        <v>1</v>
      </c>
      <c r="C10" s="1016"/>
      <c r="D10" s="979" t="s">
        <v>0</v>
      </c>
      <c r="E10" s="979" t="s">
        <v>14</v>
      </c>
      <c r="F10" s="979" t="s">
        <v>29</v>
      </c>
      <c r="G10" s="1009" t="s">
        <v>20</v>
      </c>
      <c r="H10" s="1010"/>
      <c r="I10" s="1009" t="s">
        <v>30</v>
      </c>
      <c r="J10" s="1010"/>
    </row>
    <row r="11" spans="1:10" s="18" customFormat="1" ht="24.75" customHeight="1">
      <c r="A11" s="979"/>
      <c r="B11" s="30" t="s">
        <v>15</v>
      </c>
      <c r="C11" s="30" t="s">
        <v>31</v>
      </c>
      <c r="D11" s="979"/>
      <c r="E11" s="979"/>
      <c r="F11" s="979"/>
      <c r="G11" s="30" t="s">
        <v>21</v>
      </c>
      <c r="H11" s="30" t="s">
        <v>22</v>
      </c>
      <c r="I11" s="30" t="s">
        <v>21</v>
      </c>
      <c r="J11" s="30" t="s">
        <v>22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VLOOKUP($E$7,'331'!$B$6:$H$15,2,0)</f>
        <v>0</v>
      </c>
      <c r="J13" s="47">
        <f>VLOOKUP($E$7,'331'!$B$6:$H$15,3,0)</f>
        <v>0</v>
      </c>
    </row>
    <row r="14" spans="1:10" s="18" customFormat="1" ht="18" customHeight="1">
      <c r="A14" s="9">
        <f ca="1">IF(ROWS($1:1)&gt;COUNT(Dong),"",OFFSET(TH!C$1,SMALL(Dong,ROWS($1:1)),))</f>
        <v>40642</v>
      </c>
      <c r="B14" s="9" t="str">
        <f ca="1">IF(ROWS($1:1)&gt;COUNT(Dong),"",OFFSET(TH!D$1,SMALL(Dong,ROWS($1:1)),))</f>
        <v>C10</v>
      </c>
      <c r="C14" s="9">
        <f ca="1">IF(ROWS($1:1)&gt;COUNT(Dong),"",OFFSET(TH!E$1,SMALL(Dong,ROWS($1:1)),))</f>
        <v>40642</v>
      </c>
      <c r="D14" s="226" t="str">
        <f ca="1">IF(ROWS($1:1)&gt;COUNT(Dong),"",OFFSET(TH!F$1,SMALL(Dong,ROWS($1:1)),))</f>
        <v>Thanh toán tiền giấy tấm</v>
      </c>
      <c r="E14" s="46" t="str">
        <f ca="1">IF(ROWS($1:1)&gt;COUNT(Dong),"",IF(OFFSET(TH!L$1,SMALL(Dong,ROWS($1:1)),)="331",OFFSET(TH!M$1,SMALL(Dong,ROWS($1:1)),),OFFSET(TH!L$1,SMALL(Dong,ROWS($1:1)),)))</f>
        <v>1111</v>
      </c>
      <c r="F14" s="46"/>
      <c r="G14" s="58">
        <f ca="1">IF(ROWS($1:1)&gt;COUNT(Dong),"",IF(OFFSET(TH!L$1,SMALL(Dong,ROWS($1:1)),)="331",OFFSET(TH!K$1,SMALL(Dong,ROWS($1:1)),),0))</f>
        <v>5947392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5947392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40642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40642</v>
      </c>
      <c r="D15" s="226" t="str">
        <f ca="1">IF(ROWS($1:2)&gt;COUNT(Dong),"",OFFSET(TH!F$1,SMALL(Dong,ROWS($1:2)),))</f>
        <v>Giấy tấm 2V+3X ( 1000x1500)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799900</v>
      </c>
      <c r="I15" s="25">
        <f t="shared" ref="I15:I20" ca="1" si="0">IF(D15&lt;&gt;"",MAX(I14+G15-H15-J14,0),0)</f>
        <v>5147492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40642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40642</v>
      </c>
      <c r="D16" s="226" t="str">
        <f ca="1">IF(ROWS($1:3)&gt;COUNT(Dong),"",OFFSET(TH!F$1,SMALL(Dong,ROWS($1:3)),))</f>
        <v>Giấy tấm 2V+1X ( 1000x1500)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541500</v>
      </c>
      <c r="I16" s="25">
        <f t="shared" ca="1" si="0"/>
        <v>4605992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40642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40642</v>
      </c>
      <c r="D17" s="226" t="str">
        <f ca="1">IF(ROWS($1:4)&gt;COUNT(Dong),"",OFFSET(TH!F$1,SMALL(Dong,ROWS($1:4)),))</f>
        <v>Giấy tấm 2V+3X ( 2240x1500)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367920</v>
      </c>
      <c r="I17" s="25">
        <f t="shared" ca="1" si="0"/>
        <v>4238072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40642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40642</v>
      </c>
      <c r="D18" s="226" t="str">
        <f ca="1">IF(ROWS($1:5)&gt;COUNT(Dong),"",OFFSET(TH!F$1,SMALL(Dong,ROWS($1:5)),))</f>
        <v>Giấy tấm 2V+3X ( 1780x1248)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3697400</v>
      </c>
      <c r="I18" s="25">
        <f t="shared" ca="1" si="0"/>
        <v>540672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40642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40642</v>
      </c>
      <c r="D19" s="226" t="str">
        <f ca="1">IF(ROWS($1:6)&gt;COUNT(Dong),"",OFFSET(TH!F$1,SMALL(Dong,ROWS($1:6)),))</f>
        <v>Vat Giấy tấm</v>
      </c>
      <c r="E19" s="46" t="str">
        <f ca="1">IF(ROWS($1:6)&gt;COUNT(Dong),"",IF(OFFSET(TH!L$1,SMALL(Dong,ROWS($1:6)),)="331",OFFSET(TH!M$1,SMALL(Dong,ROWS($1:6)),),OFFSET(TH!L$1,SMALL(Dong,ROWS($1:6)),)))</f>
        <v>1331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540672</v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40646</v>
      </c>
      <c r="B20" s="9" t="str">
        <f ca="1">IF(ROWS($1:7)&gt;COUNT(Dong),"",OFFSET(TH!D$1,SMALL(Dong,ROWS($1:7)),))</f>
        <v>C14</v>
      </c>
      <c r="C20" s="9">
        <f ca="1">IF(ROWS($1:7)&gt;COUNT(Dong),"",OFFSET(TH!E$1,SMALL(Dong,ROWS($1:7)),))</f>
        <v>40646</v>
      </c>
      <c r="D20" s="226" t="str">
        <f ca="1">IF(ROWS($1:7)&gt;COUNT(Dong),"",OFFSET(TH!F$1,SMALL(Dong,ROWS($1:7)),))</f>
        <v>Thanh toán tiền giấy tấm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12234750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12234750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40646</v>
      </c>
      <c r="B21" s="9" t="str">
        <f ca="1">IF(ROWS($1:8)&gt;COUNT(Dong),"",OFFSET(TH!D$1,SMALL(Dong,ROWS($1:8)),))</f>
        <v>NL/N02</v>
      </c>
      <c r="C21" s="9">
        <f ca="1">IF(ROWS($1:8)&gt;COUNT(Dong),"",OFFSET(TH!E$1,SMALL(Dong,ROWS($1:8)),))</f>
        <v>40646</v>
      </c>
      <c r="D21" s="226" t="str">
        <f ca="1">IF(ROWS($1:8)&gt;COUNT(Dong),"",OFFSET(TH!F$1,SMALL(Dong,ROWS($1:8)),))</f>
        <v>Giấy tấm 1V+2X ( 1460x444)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11122500</v>
      </c>
      <c r="I21" s="25">
        <f t="shared" ref="I21" ca="1" si="2">IF(D21&lt;&gt;"",MAX(I20+G21-H21-J20,0),0)</f>
        <v>1112250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40646</v>
      </c>
      <c r="B22" s="9" t="str">
        <f ca="1">IF(ROWS($1:9)&gt;COUNT(Dong),"",OFFSET(TH!D$1,SMALL(Dong,ROWS($1:9)),))</f>
        <v>NL/N02</v>
      </c>
      <c r="C22" s="9">
        <f ca="1">IF(ROWS($1:9)&gt;COUNT(Dong),"",OFFSET(TH!E$1,SMALL(Dong,ROWS($1:9)),))</f>
        <v>40646</v>
      </c>
      <c r="D22" s="226" t="str">
        <f ca="1">IF(ROWS($1:9)&gt;COUNT(Dong),"",OFFSET(TH!F$1,SMALL(Dong,ROWS($1:9)),))</f>
        <v>Vat Giấy tấm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1112250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40647</v>
      </c>
      <c r="B23" s="9" t="str">
        <f ca="1">IF(ROWS($1:10)&gt;COUNT(Dong),"",OFFSET(TH!D$1,SMALL(Dong,ROWS($1:10)),))</f>
        <v>C15</v>
      </c>
      <c r="C23" s="9">
        <f ca="1">IF(ROWS($1:10)&gt;COUNT(Dong),"",OFFSET(TH!E$1,SMALL(Dong,ROWS($1:10)),))</f>
        <v>40647</v>
      </c>
      <c r="D23" s="226" t="str">
        <f ca="1">IF(ROWS($1:10)&gt;COUNT(Dong),"",OFFSET(TH!F$1,SMALL(Dong,ROWS($1:10)),))</f>
        <v>Thanh toán tiền giấy tấm</v>
      </c>
      <c r="E23" s="46" t="str">
        <f ca="1">IF(ROWS($1:10)&gt;COUNT(Dong),"",IF(OFFSET(TH!L$1,SMALL(Dong,ROWS($1:10)),)="331",OFFSET(TH!M$1,SMALL(Dong,ROWS($1:10)),),OFFSET(TH!L$1,SMALL(Dong,ROWS($1:10)),)))</f>
        <v>1111</v>
      </c>
      <c r="F23" s="46"/>
      <c r="G23" s="58">
        <f ca="1">IF(ROWS($1:10)&gt;COUNT(Dong),"",IF(OFFSET(TH!L$1,SMALL(Dong,ROWS($1:10)),)="331",OFFSET(TH!K$1,SMALL(Dong,ROWS($1:10)),),0))</f>
        <v>16841000</v>
      </c>
      <c r="H23" s="58">
        <f ca="1">IF(ROWS($1:10)&gt;COUNT(Dong),"",IF(OFFSET(TH!M$1,SMALL(Dong,ROWS($1:10)),)="331",OFFSET(TH!K$1,SMALL(Dong,ROWS($1:10)),),0))</f>
        <v>0</v>
      </c>
      <c r="I23" s="25">
        <f t="shared" ca="1" si="4"/>
        <v>16841000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40647</v>
      </c>
      <c r="B24" s="9" t="str">
        <f ca="1">IF(ROWS($1:11)&gt;COUNT(Dong),"",OFFSET(TH!D$1,SMALL(Dong,ROWS($1:11)),))</f>
        <v>NL/N03</v>
      </c>
      <c r="C24" s="9">
        <f ca="1">IF(ROWS($1:11)&gt;COUNT(Dong),"",OFFSET(TH!E$1,SMALL(Dong,ROWS($1:11)),))</f>
        <v>40647</v>
      </c>
      <c r="D24" s="226" t="str">
        <f ca="1">IF(ROWS($1:11)&gt;COUNT(Dong),"",OFFSET(TH!F$1,SMALL(Dong,ROWS($1:11)),))</f>
        <v>Giấy tấm 1V+2X ( 1640x544)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15310000</v>
      </c>
      <c r="I24" s="25">
        <f t="shared" ca="1" si="4"/>
        <v>1531000</v>
      </c>
      <c r="J24" s="25">
        <f t="shared" ca="1" si="5"/>
        <v>0</v>
      </c>
    </row>
    <row r="25" spans="1:10" s="18" customFormat="1" ht="18" customHeight="1">
      <c r="A25" s="9">
        <f ca="1">IF(ROWS($1:12)&gt;COUNT(Dong),"",OFFSET(TH!C$1,SMALL(Dong,ROWS($1:12)),))</f>
        <v>40647</v>
      </c>
      <c r="B25" s="9" t="str">
        <f ca="1">IF(ROWS($1:12)&gt;COUNT(Dong),"",OFFSET(TH!D$1,SMALL(Dong,ROWS($1:12)),))</f>
        <v>NL/N03</v>
      </c>
      <c r="C25" s="9">
        <f ca="1">IF(ROWS($1:12)&gt;COUNT(Dong),"",OFFSET(TH!E$1,SMALL(Dong,ROWS($1:12)),))</f>
        <v>40647</v>
      </c>
      <c r="D25" s="226" t="str">
        <f ca="1">IF(ROWS($1:12)&gt;COUNT(Dong),"",OFFSET(TH!F$1,SMALL(Dong,ROWS($1:12)),))</f>
        <v>Vat Giấy tấm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1531000</v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>
        <f ca="1">IF(ROWS($1:13)&gt;COUNT(Dong),"",OFFSET(TH!C$1,SMALL(Dong,ROWS($1:13)),))</f>
        <v>40648</v>
      </c>
      <c r="B26" s="9" t="str">
        <f ca="1">IF(ROWS($1:13)&gt;COUNT(Dong),"",OFFSET(TH!D$1,SMALL(Dong,ROWS($1:13)),))</f>
        <v>C16</v>
      </c>
      <c r="C26" s="9">
        <f ca="1">IF(ROWS($1:13)&gt;COUNT(Dong),"",OFFSET(TH!E$1,SMALL(Dong,ROWS($1:13)),))</f>
        <v>40648</v>
      </c>
      <c r="D26" s="226" t="str">
        <f ca="1">IF(ROWS($1:13)&gt;COUNT(Dong),"",OFFSET(TH!F$1,SMALL(Dong,ROWS($1:13)),))</f>
        <v>Thanh toán tiền giấy tấm</v>
      </c>
      <c r="E26" s="46" t="str">
        <f ca="1">IF(ROWS($1:13)&gt;COUNT(Dong),"",IF(OFFSET(TH!L$1,SMALL(Dong,ROWS($1:13)),)="331",OFFSET(TH!M$1,SMALL(Dong,ROWS($1:13)),),OFFSET(TH!L$1,SMALL(Dong,ROWS($1:13)),)))</f>
        <v>1111</v>
      </c>
      <c r="F26" s="46"/>
      <c r="G26" s="58">
        <f ca="1">IF(ROWS($1:13)&gt;COUNT(Dong),"",IF(OFFSET(TH!L$1,SMALL(Dong,ROWS($1:13)),)="331",OFFSET(TH!K$1,SMALL(Dong,ROWS($1:13)),),0))</f>
        <v>5945481</v>
      </c>
      <c r="H26" s="58">
        <f ca="1">IF(ROWS($1:13)&gt;COUNT(Dong),"",IF(OFFSET(TH!M$1,SMALL(Dong,ROWS($1:13)),)="331",OFFSET(TH!K$1,SMALL(Dong,ROWS($1:13)),),0))</f>
        <v>0</v>
      </c>
      <c r="I26" s="25">
        <f t="shared" ca="1" si="4"/>
        <v>5945481</v>
      </c>
      <c r="J26" s="25">
        <f t="shared" ca="1" si="5"/>
        <v>0</v>
      </c>
    </row>
    <row r="27" spans="1:10" s="18" customFormat="1" ht="18" customHeight="1">
      <c r="A27" s="9">
        <f ca="1">IF(ROWS($1:14)&gt;COUNT(Dong),"",OFFSET(TH!C$1,SMALL(Dong,ROWS($1:14)),))</f>
        <v>40648</v>
      </c>
      <c r="B27" s="9" t="str">
        <f ca="1">IF(ROWS($1:14)&gt;COUNT(Dong),"",OFFSET(TH!D$1,SMALL(Dong,ROWS($1:14)),))</f>
        <v>NL/N04</v>
      </c>
      <c r="C27" s="9">
        <f ca="1">IF(ROWS($1:14)&gt;COUNT(Dong),"",OFFSET(TH!E$1,SMALL(Dong,ROWS($1:14)),))</f>
        <v>40648</v>
      </c>
      <c r="D27" s="226" t="str">
        <f ca="1">IF(ROWS($1:14)&gt;COUNT(Dong),"",OFFSET(TH!F$1,SMALL(Dong,ROWS($1:14)),))</f>
        <v>Giấy tấm 2V+3X ( 1780x1250 - Po 4/4)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3164980</v>
      </c>
      <c r="I27" s="25">
        <f t="shared" ca="1" si="4"/>
        <v>2780501</v>
      </c>
      <c r="J27" s="25">
        <f t="shared" ca="1" si="5"/>
        <v>0</v>
      </c>
    </row>
    <row r="28" spans="1:10" s="18" customFormat="1" ht="18" customHeight="1">
      <c r="A28" s="9">
        <f ca="1">IF(ROWS($1:15)&gt;COUNT(Dong),"",OFFSET(TH!C$1,SMALL(Dong,ROWS($1:15)),))</f>
        <v>40648</v>
      </c>
      <c r="B28" s="9" t="str">
        <f ca="1">IF(ROWS($1:15)&gt;COUNT(Dong),"",OFFSET(TH!D$1,SMALL(Dong,ROWS($1:15)),))</f>
        <v>NL/N04</v>
      </c>
      <c r="C28" s="9">
        <f ca="1">IF(ROWS($1:15)&gt;COUNT(Dong),"",OFFSET(TH!E$1,SMALL(Dong,ROWS($1:15)),))</f>
        <v>40648</v>
      </c>
      <c r="D28" s="226" t="str">
        <f ca="1">IF(ROWS($1:15)&gt;COUNT(Dong),"",OFFSET(TH!F$1,SMALL(Dong,ROWS($1:15)),))</f>
        <v>Giấy tấm 2V+1X ( 1300x1500 - Po 4/4)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844740</v>
      </c>
      <c r="I28" s="25">
        <f t="shared" ca="1" si="4"/>
        <v>1935761</v>
      </c>
      <c r="J28" s="25">
        <f t="shared" ca="1" si="5"/>
        <v>0</v>
      </c>
    </row>
    <row r="29" spans="1:10" s="18" customFormat="1" ht="18" customHeight="1">
      <c r="A29" s="9">
        <f ca="1">IF(ROWS($1:16)&gt;COUNT(Dong),"",OFFSET(TH!C$1,SMALL(Dong,ROWS($1:16)),))</f>
        <v>40648</v>
      </c>
      <c r="B29" s="9" t="str">
        <f ca="1">IF(ROWS($1:16)&gt;COUNT(Dong),"",OFFSET(TH!D$1,SMALL(Dong,ROWS($1:16)),))</f>
        <v>NL/N04</v>
      </c>
      <c r="C29" s="9">
        <f ca="1">IF(ROWS($1:16)&gt;COUNT(Dong),"",OFFSET(TH!E$1,SMALL(Dong,ROWS($1:16)),))</f>
        <v>40648</v>
      </c>
      <c r="D29" s="226" t="str">
        <f ca="1">IF(ROWS($1:16)&gt;COUNT(Dong),"",OFFSET(TH!F$1,SMALL(Dong,ROWS($1:16)),))</f>
        <v>Giấy tấm 2V+3X ( 1820x1400 - Po 4/4)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1395050</v>
      </c>
      <c r="I29" s="25">
        <f t="shared" ca="1" si="4"/>
        <v>540711</v>
      </c>
      <c r="J29" s="25">
        <f t="shared" ca="1" si="5"/>
        <v>0</v>
      </c>
    </row>
    <row r="30" spans="1:10" s="18" customFormat="1" ht="18" customHeight="1">
      <c r="A30" s="9">
        <f ca="1">IF(ROWS($1:17)&gt;COUNT(Dong),"",OFFSET(TH!C$1,SMALL(Dong,ROWS($1:17)),))</f>
        <v>40648</v>
      </c>
      <c r="B30" s="9" t="str">
        <f ca="1">IF(ROWS($1:17)&gt;COUNT(Dong),"",OFFSET(TH!D$1,SMALL(Dong,ROWS($1:17)),))</f>
        <v>NL/N04</v>
      </c>
      <c r="C30" s="9">
        <f ca="1">IF(ROWS($1:17)&gt;COUNT(Dong),"",OFFSET(TH!E$1,SMALL(Dong,ROWS($1:17)),))</f>
        <v>40648</v>
      </c>
      <c r="D30" s="226" t="str">
        <f ca="1">IF(ROWS($1:17)&gt;COUNT(Dong),"",OFFSET(TH!F$1,SMALL(Dong,ROWS($1:17)),))</f>
        <v>Vat Giấy tấm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540711</v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>
        <f ca="1">IF(ROWS($1:18)&gt;COUNT(Dong),"",OFFSET(TH!C$1,SMALL(Dong,ROWS($1:18)),))</f>
        <v>40658</v>
      </c>
      <c r="B31" s="9" t="str">
        <f ca="1">IF(ROWS($1:18)&gt;COUNT(Dong),"",OFFSET(TH!D$1,SMALL(Dong,ROWS($1:18)),))</f>
        <v>NL/N05</v>
      </c>
      <c r="C31" s="9">
        <f ca="1">IF(ROWS($1:18)&gt;COUNT(Dong),"",OFFSET(TH!E$1,SMALL(Dong,ROWS($1:18)),))</f>
        <v>40658</v>
      </c>
      <c r="D31" s="226" t="str">
        <f ca="1">IF(ROWS($1:18)&gt;COUNT(Dong),"",OFFSET(TH!F$1,SMALL(Dong,ROWS($1:18)),))</f>
        <v>Giấy tấm 1V+2X ( 1480x452)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13821920</v>
      </c>
      <c r="I31" s="25">
        <f t="shared" ca="1" si="4"/>
        <v>0</v>
      </c>
      <c r="J31" s="25">
        <f t="shared" ca="1" si="5"/>
        <v>13821920</v>
      </c>
    </row>
    <row r="32" spans="1:10" s="18" customFormat="1" ht="18" customHeight="1">
      <c r="A32" s="9">
        <f ca="1">IF(ROWS($1:19)&gt;COUNT(Dong),"",OFFSET(TH!C$1,SMALL(Dong,ROWS($1:19)),))</f>
        <v>40658</v>
      </c>
      <c r="B32" s="9" t="str">
        <f ca="1">IF(ROWS($1:19)&gt;COUNT(Dong),"",OFFSET(TH!D$1,SMALL(Dong,ROWS($1:19)),))</f>
        <v>NL/N05</v>
      </c>
      <c r="C32" s="9">
        <f ca="1">IF(ROWS($1:19)&gt;COUNT(Dong),"",OFFSET(TH!E$1,SMALL(Dong,ROWS($1:19)),))</f>
        <v>40658</v>
      </c>
      <c r="D32" s="226" t="str">
        <f ca="1">IF(ROWS($1:19)&gt;COUNT(Dong),"",OFFSET(TH!F$1,SMALL(Dong,ROWS($1:19)),))</f>
        <v>Giấy tấm 1V+2X ( 1540x542)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18138260</v>
      </c>
      <c r="I32" s="25">
        <f t="shared" ca="1" si="4"/>
        <v>0</v>
      </c>
      <c r="J32" s="25">
        <f t="shared" ca="1" si="5"/>
        <v>31960180</v>
      </c>
    </row>
    <row r="33" spans="1:10" s="18" customFormat="1" ht="18" customHeight="1">
      <c r="A33" s="9">
        <f ca="1">IF(ROWS($1:20)&gt;COUNT(Dong),"",OFFSET(TH!C$1,SMALL(Dong,ROWS($1:20)),))</f>
        <v>40658</v>
      </c>
      <c r="B33" s="9" t="str">
        <f ca="1">IF(ROWS($1:20)&gt;COUNT(Dong),"",OFFSET(TH!D$1,SMALL(Dong,ROWS($1:20)),))</f>
        <v>NL/N05</v>
      </c>
      <c r="C33" s="9">
        <f ca="1">IF(ROWS($1:20)&gt;COUNT(Dong),"",OFFSET(TH!E$1,SMALL(Dong,ROWS($1:20)),))</f>
        <v>40658</v>
      </c>
      <c r="D33" s="226" t="str">
        <f ca="1">IF(ROWS($1:20)&gt;COUNT(Dong),"",OFFSET(TH!F$1,SMALL(Dong,ROWS($1:20)),))</f>
        <v>Giấy tấm 2V+1X ( 1720x1250)</v>
      </c>
      <c r="E33" s="46" t="str">
        <f ca="1">IF(ROWS($1:20)&gt;COUNT(Dong),"",IF(OFFSET(TH!L$1,SMALL(Dong,ROWS($1:20)),)="331",OFFSET(TH!M$1,SMALL(Dong,ROWS($1:20)),),OFFSET(TH!L$1,SMALL(Dong,ROWS($1:20)),)))</f>
        <v>1521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3789375</v>
      </c>
      <c r="I33" s="25">
        <f t="shared" ca="1" si="4"/>
        <v>0</v>
      </c>
      <c r="J33" s="25">
        <f t="shared" ca="1" si="5"/>
        <v>35749555</v>
      </c>
    </row>
    <row r="34" spans="1:10" s="18" customFormat="1" ht="18" customHeight="1">
      <c r="A34" s="9">
        <f ca="1">IF(ROWS($1:21)&gt;COUNT(Dong),"",OFFSET(TH!C$1,SMALL(Dong,ROWS($1:21)),))</f>
        <v>40658</v>
      </c>
      <c r="B34" s="9" t="str">
        <f ca="1">IF(ROWS($1:21)&gt;COUNT(Dong),"",OFFSET(TH!D$1,SMALL(Dong,ROWS($1:21)),))</f>
        <v>NL/N05</v>
      </c>
      <c r="C34" s="9">
        <f ca="1">IF(ROWS($1:21)&gt;COUNT(Dong),"",OFFSET(TH!E$1,SMALL(Dong,ROWS($1:21)),))</f>
        <v>40658</v>
      </c>
      <c r="D34" s="226" t="str">
        <f ca="1">IF(ROWS($1:21)&gt;COUNT(Dong),"",OFFSET(TH!F$1,SMALL(Dong,ROWS($1:21)),))</f>
        <v>Giấy tấm 2V+1X ( 2240x1500)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37800000</v>
      </c>
      <c r="I34" s="25">
        <f t="shared" ca="1" si="4"/>
        <v>0</v>
      </c>
      <c r="J34" s="25">
        <f t="shared" ca="1" si="5"/>
        <v>73549555</v>
      </c>
    </row>
    <row r="35" spans="1:10" s="18" customFormat="1" ht="18" customHeight="1">
      <c r="A35" s="9">
        <f ca="1">IF(ROWS($1:22)&gt;COUNT(Dong),"",OFFSET(TH!C$1,SMALL(Dong,ROWS($1:22)),))</f>
        <v>40658</v>
      </c>
      <c r="B35" s="9" t="str">
        <f ca="1">IF(ROWS($1:22)&gt;COUNT(Dong),"",OFFSET(TH!D$1,SMALL(Dong,ROWS($1:22)),))</f>
        <v>NL/N05</v>
      </c>
      <c r="C35" s="9">
        <f ca="1">IF(ROWS($1:22)&gt;COUNT(Dong),"",OFFSET(TH!E$1,SMALL(Dong,ROWS($1:22)),))</f>
        <v>40658</v>
      </c>
      <c r="D35" s="226" t="str">
        <f ca="1">IF(ROWS($1:22)&gt;COUNT(Dong),"",OFFSET(TH!F$1,SMALL(Dong,ROWS($1:22)),))</f>
        <v>Giấy tấm 2V+1X ( 2240x1650)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12390840</v>
      </c>
      <c r="I35" s="25">
        <f t="shared" ca="1" si="4"/>
        <v>0</v>
      </c>
      <c r="J35" s="25">
        <f t="shared" ca="1" si="5"/>
        <v>85940395</v>
      </c>
    </row>
    <row r="36" spans="1:10" s="18" customFormat="1" ht="18" customHeight="1">
      <c r="A36" s="9">
        <f ca="1">IF(ROWS($1:23)&gt;COUNT(Dong),"",OFFSET(TH!C$1,SMALL(Dong,ROWS($1:23)),))</f>
        <v>40658</v>
      </c>
      <c r="B36" s="9" t="str">
        <f ca="1">IF(ROWS($1:23)&gt;COUNT(Dong),"",OFFSET(TH!D$1,SMALL(Dong,ROWS($1:23)),))</f>
        <v>NL/N05</v>
      </c>
      <c r="C36" s="9">
        <f ca="1">IF(ROWS($1:23)&gt;COUNT(Dong),"",OFFSET(TH!E$1,SMALL(Dong,ROWS($1:23)),))</f>
        <v>40658</v>
      </c>
      <c r="D36" s="226" t="str">
        <f ca="1">IF(ROWS($1:23)&gt;COUNT(Dong),"",OFFSET(TH!F$1,SMALL(Dong,ROWS($1:23)),))</f>
        <v>Giấy tấm 2V+1X ( 2020x1600)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1840280</v>
      </c>
      <c r="I36" s="25">
        <f t="shared" ca="1" si="4"/>
        <v>0</v>
      </c>
      <c r="J36" s="25">
        <f t="shared" ca="1" si="5"/>
        <v>87780675</v>
      </c>
    </row>
    <row r="37" spans="1:10" s="18" customFormat="1" ht="18" customHeight="1">
      <c r="A37" s="9">
        <f ca="1">IF(ROWS($1:24)&gt;COUNT(Dong),"",OFFSET(TH!C$1,SMALL(Dong,ROWS($1:24)),))</f>
        <v>40658</v>
      </c>
      <c r="B37" s="9" t="str">
        <f ca="1">IF(ROWS($1:24)&gt;COUNT(Dong),"",OFFSET(TH!D$1,SMALL(Dong,ROWS($1:24)),))</f>
        <v>NL/N05</v>
      </c>
      <c r="C37" s="9">
        <f ca="1">IF(ROWS($1:24)&gt;COUNT(Dong),"",OFFSET(TH!E$1,SMALL(Dong,ROWS($1:24)),))</f>
        <v>40658</v>
      </c>
      <c r="D37" s="226" t="str">
        <f ca="1">IF(ROWS($1:24)&gt;COUNT(Dong),"",OFFSET(TH!F$1,SMALL(Dong,ROWS($1:24)),))</f>
        <v>Vat Giấy tấm</v>
      </c>
      <c r="E37" s="46" t="str">
        <f ca="1">IF(ROWS($1:24)&gt;COUNT(Dong),"",IF(OFFSET(TH!L$1,SMALL(Dong,ROWS($1:24)),)="331",OFFSET(TH!M$1,SMALL(Dong,ROWS($1:24)),),OFFSET(TH!L$1,SMALL(Dong,ROWS($1:24)),)))</f>
        <v>1331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8778068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96558743</v>
      </c>
    </row>
    <row r="38" spans="1:10" s="18" customFormat="1" ht="18" customHeight="1">
      <c r="A38" s="9">
        <f ca="1">IF(ROWS($1:25)&gt;COUNT(Dong),"",OFFSET(TH!C$1,SMALL(Dong,ROWS($1:25)),))</f>
        <v>40661</v>
      </c>
      <c r="B38" s="9" t="str">
        <f ca="1">IF(ROWS($1:25)&gt;COUNT(Dong),"",OFFSET(TH!D$1,SMALL(Dong,ROWS($1:25)),))</f>
        <v>NL/N06</v>
      </c>
      <c r="C38" s="9">
        <f ca="1">IF(ROWS($1:25)&gt;COUNT(Dong),"",OFFSET(TH!E$1,SMALL(Dong,ROWS($1:25)),))</f>
        <v>40661</v>
      </c>
      <c r="D38" s="226" t="str">
        <f ca="1">IF(ROWS($1:25)&gt;COUNT(Dong),"",OFFSET(TH!F$1,SMALL(Dong,ROWS($1:25)),))</f>
        <v>Giấy tấm 2V+1X ( 1860x1370)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4395760</v>
      </c>
      <c r="I38" s="25">
        <f t="shared" ca="1" si="6"/>
        <v>0</v>
      </c>
      <c r="J38" s="25">
        <f t="shared" ca="1" si="7"/>
        <v>100954503</v>
      </c>
    </row>
    <row r="39" spans="1:10" s="18" customFormat="1" ht="18" customHeight="1">
      <c r="A39" s="9">
        <f ca="1">IF(ROWS($1:26)&gt;COUNT(Dong),"",OFFSET(TH!C$1,SMALL(Dong,ROWS($1:26)),))</f>
        <v>40661</v>
      </c>
      <c r="B39" s="9" t="str">
        <f ca="1">IF(ROWS($1:26)&gt;COUNT(Dong),"",OFFSET(TH!D$1,SMALL(Dong,ROWS($1:26)),))</f>
        <v>NL/N06</v>
      </c>
      <c r="C39" s="9">
        <f ca="1">IF(ROWS($1:26)&gt;COUNT(Dong),"",OFFSET(TH!E$1,SMALL(Dong,ROWS($1:26)),))</f>
        <v>40661</v>
      </c>
      <c r="D39" s="226" t="str">
        <f ca="1">IF(ROWS($1:26)&gt;COUNT(Dong),"",OFFSET(TH!F$1,SMALL(Dong,ROWS($1:26)),))</f>
        <v>Giấy tấm 2V+1X ( 2440x1750)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3042375</v>
      </c>
      <c r="I39" s="25">
        <f t="shared" ca="1" si="6"/>
        <v>0</v>
      </c>
      <c r="J39" s="25">
        <f t="shared" ca="1" si="7"/>
        <v>103996878</v>
      </c>
    </row>
    <row r="40" spans="1:10" s="18" customFormat="1" ht="18" customHeight="1">
      <c r="A40" s="9">
        <f ca="1">IF(ROWS($1:27)&gt;COUNT(Dong),"",OFFSET(TH!C$1,SMALL(Dong,ROWS($1:27)),))</f>
        <v>40661</v>
      </c>
      <c r="B40" s="9" t="str">
        <f ca="1">IF(ROWS($1:27)&gt;COUNT(Dong),"",OFFSET(TH!D$1,SMALL(Dong,ROWS($1:27)),))</f>
        <v>NL/N06</v>
      </c>
      <c r="C40" s="9">
        <f ca="1">IF(ROWS($1:27)&gt;COUNT(Dong),"",OFFSET(TH!E$1,SMALL(Dong,ROWS($1:27)),))</f>
        <v>40661</v>
      </c>
      <c r="D40" s="226" t="str">
        <f ca="1">IF(ROWS($1:27)&gt;COUNT(Dong),"",OFFSET(TH!F$1,SMALL(Dong,ROWS($1:27)),))</f>
        <v>Vat Giấy tấm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743814</v>
      </c>
      <c r="I40" s="25">
        <f t="shared" ca="1" si="6"/>
        <v>0</v>
      </c>
      <c r="J40" s="25">
        <f t="shared" ca="1" si="7"/>
        <v>104740692</v>
      </c>
    </row>
    <row r="41" spans="1:10" s="18" customFormat="1" ht="18" customHeight="1">
      <c r="A41" s="9">
        <f ca="1">IF(ROWS($1:28)&gt;COUNT(Dong),"",OFFSET(TH!C$1,SMALL(Dong,ROWS($1:28)),))</f>
        <v>40661</v>
      </c>
      <c r="B41" s="9" t="str">
        <f ca="1">IF(ROWS($1:28)&gt;COUNT(Dong),"",OFFSET(TH!D$1,SMALL(Dong,ROWS($1:28)),))</f>
        <v>NL/N07</v>
      </c>
      <c r="C41" s="9">
        <f ca="1">IF(ROWS($1:28)&gt;COUNT(Dong),"",OFFSET(TH!E$1,SMALL(Dong,ROWS($1:28)),))</f>
        <v>40661</v>
      </c>
      <c r="D41" s="226" t="str">
        <f ca="1">IF(ROWS($1:28)&gt;COUNT(Dong),"",OFFSET(TH!F$1,SMALL(Dong,ROWS($1:28)),))</f>
        <v>Giấy tấm 2V+1X ( 1600x1400)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1455570</v>
      </c>
      <c r="I41" s="25">
        <f t="shared" ca="1" si="6"/>
        <v>0</v>
      </c>
      <c r="J41" s="25">
        <f t="shared" ca="1" si="7"/>
        <v>106196262</v>
      </c>
    </row>
    <row r="42" spans="1:10" s="18" customFormat="1" ht="18" customHeight="1">
      <c r="A42" s="9">
        <f ca="1">IF(ROWS($1:29)&gt;COUNT(Dong),"",OFFSET(TH!C$1,SMALL(Dong,ROWS($1:29)),))</f>
        <v>40661</v>
      </c>
      <c r="B42" s="9" t="str">
        <f ca="1">IF(ROWS($1:29)&gt;COUNT(Dong),"",OFFSET(TH!D$1,SMALL(Dong,ROWS($1:29)),))</f>
        <v>NL/N07</v>
      </c>
      <c r="C42" s="9">
        <f ca="1">IF(ROWS($1:29)&gt;COUNT(Dong),"",OFFSET(TH!E$1,SMALL(Dong,ROWS($1:29)),))</f>
        <v>40661</v>
      </c>
      <c r="D42" s="226" t="str">
        <f ca="1">IF(ROWS($1:29)&gt;COUNT(Dong),"",OFFSET(TH!F$1,SMALL(Dong,ROWS($1:29)),))</f>
        <v>Giấy tấm 2V+3X ( 2050x754)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4654375</v>
      </c>
      <c r="I42" s="25">
        <f t="shared" ca="1" si="6"/>
        <v>0</v>
      </c>
      <c r="J42" s="25">
        <f t="shared" ca="1" si="7"/>
        <v>110850637</v>
      </c>
    </row>
    <row r="43" spans="1:10" s="18" customFormat="1" ht="18" customHeight="1">
      <c r="A43" s="9">
        <f ca="1">IF(ROWS($1:30)&gt;COUNT(Dong),"",OFFSET(TH!C$1,SMALL(Dong,ROWS($1:30)),))</f>
        <v>40661</v>
      </c>
      <c r="B43" s="9" t="str">
        <f ca="1">IF(ROWS($1:30)&gt;COUNT(Dong),"",OFFSET(TH!D$1,SMALL(Dong,ROWS($1:30)),))</f>
        <v>NL/N07</v>
      </c>
      <c r="C43" s="9">
        <f ca="1">IF(ROWS($1:30)&gt;COUNT(Dong),"",OFFSET(TH!E$1,SMALL(Dong,ROWS($1:30)),))</f>
        <v>40661</v>
      </c>
      <c r="D43" s="226" t="str">
        <f ca="1">IF(ROWS($1:30)&gt;COUNT(Dong),"",OFFSET(TH!F$1,SMALL(Dong,ROWS($1:30)),))</f>
        <v>Giấy tấm 2V+3X ( 2030x784)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3223995</v>
      </c>
      <c r="I43" s="25">
        <f t="shared" ca="1" si="6"/>
        <v>0</v>
      </c>
      <c r="J43" s="25">
        <f t="shared" ca="1" si="7"/>
        <v>114074632</v>
      </c>
    </row>
    <row r="44" spans="1:10" s="18" customFormat="1" ht="18" customHeight="1">
      <c r="A44" s="9">
        <f ca="1">IF(ROWS($1:31)&gt;COUNT(Dong),"",OFFSET(TH!C$1,SMALL(Dong,ROWS($1:31)),))</f>
        <v>40661</v>
      </c>
      <c r="B44" s="9" t="str">
        <f ca="1">IF(ROWS($1:31)&gt;COUNT(Dong),"",OFFSET(TH!D$1,SMALL(Dong,ROWS($1:31)),))</f>
        <v>NL/N07</v>
      </c>
      <c r="C44" s="9">
        <f ca="1">IF(ROWS($1:31)&gt;COUNT(Dong),"",OFFSET(TH!E$1,SMALL(Dong,ROWS($1:31)),))</f>
        <v>40661</v>
      </c>
      <c r="D44" s="226" t="str">
        <f ca="1">IF(ROWS($1:31)&gt;COUNT(Dong),"",OFFSET(TH!F$1,SMALL(Dong,ROWS($1:31)),))</f>
        <v>Giấy tấm 2V+3X ( 2330x884)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14434560</v>
      </c>
      <c r="I44" s="25">
        <f t="shared" ca="1" si="6"/>
        <v>0</v>
      </c>
      <c r="J44" s="25">
        <f t="shared" ca="1" si="7"/>
        <v>128509192</v>
      </c>
    </row>
    <row r="45" spans="1:10" s="18" customFormat="1" ht="18" customHeight="1">
      <c r="A45" s="9">
        <f ca="1">IF(ROWS($1:32)&gt;COUNT(Dong),"",OFFSET(TH!C$1,SMALL(Dong,ROWS($1:32)),))</f>
        <v>40661</v>
      </c>
      <c r="B45" s="9" t="str">
        <f ca="1">IF(ROWS($1:32)&gt;COUNT(Dong),"",OFFSET(TH!D$1,SMALL(Dong,ROWS($1:32)),))</f>
        <v>NL/N07</v>
      </c>
      <c r="C45" s="9">
        <f ca="1">IF(ROWS($1:32)&gt;COUNT(Dong),"",OFFSET(TH!E$1,SMALL(Dong,ROWS($1:32)),))</f>
        <v>40661</v>
      </c>
      <c r="D45" s="226" t="str">
        <f ca="1">IF(ROWS($1:32)&gt;COUNT(Dong),"",OFFSET(TH!F$1,SMALL(Dong,ROWS($1:32)),))</f>
        <v>Giấy tấm 2V+3X ( 2450x884)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9842140</v>
      </c>
      <c r="I45" s="25">
        <f t="shared" ca="1" si="6"/>
        <v>0</v>
      </c>
      <c r="J45" s="25">
        <f t="shared" ca="1" si="7"/>
        <v>138351332</v>
      </c>
    </row>
    <row r="46" spans="1:10" s="18" customFormat="1" ht="18" customHeight="1">
      <c r="A46" s="9">
        <f ca="1">IF(ROWS($1:33)&gt;COUNT(Dong),"",OFFSET(TH!C$1,SMALL(Dong,ROWS($1:33)),))</f>
        <v>40661</v>
      </c>
      <c r="B46" s="9" t="str">
        <f ca="1">IF(ROWS($1:33)&gt;COUNT(Dong),"",OFFSET(TH!D$1,SMALL(Dong,ROWS($1:33)),))</f>
        <v>NL/N07</v>
      </c>
      <c r="C46" s="9">
        <f ca="1">IF(ROWS($1:33)&gt;COUNT(Dong),"",OFFSET(TH!E$1,SMALL(Dong,ROWS($1:33)),))</f>
        <v>40661</v>
      </c>
      <c r="D46" s="226" t="str">
        <f ca="1">IF(ROWS($1:33)&gt;COUNT(Dong),"",OFFSET(TH!F$1,SMALL(Dong,ROWS($1:33)),))</f>
        <v>Vat Giấy tấm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3361064</v>
      </c>
      <c r="I46" s="25">
        <f t="shared" ca="1" si="6"/>
        <v>0</v>
      </c>
      <c r="J46" s="25">
        <f t="shared" ca="1" si="7"/>
        <v>141712396</v>
      </c>
    </row>
    <row r="47" spans="1:10" s="18" customFormat="1" ht="18" customHeight="1">
      <c r="A47" s="9">
        <f ca="1">IF(ROWS($1:34)&gt;COUNT(Dong),"",OFFSET(TH!C$1,SMALL(Dong,ROWS($1:34)),))</f>
        <v>40667</v>
      </c>
      <c r="B47" s="9" t="str">
        <f ca="1">IF(ROWS($1:34)&gt;COUNT(Dong),"",OFFSET(TH!D$1,SMALL(Dong,ROWS($1:34)),))</f>
        <v>NL/N07</v>
      </c>
      <c r="C47" s="9">
        <f ca="1">IF(ROWS($1:34)&gt;COUNT(Dong),"",OFFSET(TH!E$1,SMALL(Dong,ROWS($1:34)),))</f>
        <v>40667</v>
      </c>
      <c r="D47" s="226" t="str">
        <f ca="1">IF(ROWS($1:34)&gt;COUNT(Dong),"",OFFSET(TH!F$1,SMALL(Dong,ROWS($1:34)),))</f>
        <v>Giấy tấm 1ĐL+3X+1V ( 754x2050 - Po 10/4)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1184750</v>
      </c>
      <c r="I47" s="25">
        <f t="shared" ca="1" si="6"/>
        <v>0</v>
      </c>
      <c r="J47" s="25">
        <f t="shared" ca="1" si="7"/>
        <v>142897146</v>
      </c>
    </row>
    <row r="48" spans="1:10" s="18" customFormat="1" ht="18" customHeight="1">
      <c r="A48" s="9">
        <f ca="1">IF(ROWS($1:35)&gt;COUNT(Dong),"",OFFSET(TH!C$1,SMALL(Dong,ROWS($1:35)),))</f>
        <v>40667</v>
      </c>
      <c r="B48" s="9" t="str">
        <f ca="1">IF(ROWS($1:35)&gt;COUNT(Dong),"",OFFSET(TH!D$1,SMALL(Dong,ROWS($1:35)),))</f>
        <v>NL/N07</v>
      </c>
      <c r="C48" s="9">
        <f ca="1">IF(ROWS($1:35)&gt;COUNT(Dong),"",OFFSET(TH!E$1,SMALL(Dong,ROWS($1:35)),))</f>
        <v>40667</v>
      </c>
      <c r="D48" s="226" t="str">
        <f ca="1">IF(ROWS($1:35)&gt;COUNT(Dong),"",OFFSET(TH!F$1,SMALL(Dong,ROWS($1:35)),))</f>
        <v>Vat Giấy tấm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118475</v>
      </c>
      <c r="I48" s="25">
        <f t="shared" ca="1" si="6"/>
        <v>0</v>
      </c>
      <c r="J48" s="25">
        <f t="shared" ca="1" si="7"/>
        <v>143015621</v>
      </c>
    </row>
    <row r="49" spans="1:10" s="18" customFormat="1" ht="18" customHeight="1">
      <c r="A49" s="9">
        <f ca="1">IF(ROWS($1:36)&gt;COUNT(Dong),"",OFFSET(TH!C$1,SMALL(Dong,ROWS($1:36)),))</f>
        <v>40673</v>
      </c>
      <c r="B49" s="9" t="str">
        <f ca="1">IF(ROWS($1:36)&gt;COUNT(Dong),"",OFFSET(TH!D$1,SMALL(Dong,ROWS($1:36)),))</f>
        <v>C21</v>
      </c>
      <c r="C49" s="9">
        <f ca="1">IF(ROWS($1:36)&gt;COUNT(Dong),"",OFFSET(TH!E$1,SMALL(Dong,ROWS($1:36)),))</f>
        <v>40673</v>
      </c>
      <c r="D49" s="226" t="str">
        <f ca="1">IF(ROWS($1:36)&gt;COUNT(Dong),"",OFFSET(TH!F$1,SMALL(Dong,ROWS($1:36)),))</f>
        <v>Thanh toán tiền giấy tấm</v>
      </c>
      <c r="E49" s="46" t="str">
        <f ca="1">IF(ROWS($1:36)&gt;COUNT(Dong),"",IF(OFFSET(TH!L$1,SMALL(Dong,ROWS($1:36)),)="331",OFFSET(TH!M$1,SMALL(Dong,ROWS($1:36)),),OFFSET(TH!L$1,SMALL(Dong,ROWS($1:36)),)))</f>
        <v>1111</v>
      </c>
      <c r="F49" s="46"/>
      <c r="G49" s="58">
        <f ca="1">IF(ROWS($1:36)&gt;COUNT(Dong),"",IF(OFFSET(TH!L$1,SMALL(Dong,ROWS($1:36)),)="331",OFFSET(TH!K$1,SMALL(Dong,ROWS($1:36)),),0))</f>
        <v>9364190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133651431</v>
      </c>
    </row>
    <row r="50" spans="1:10" s="18" customFormat="1" ht="18" customHeight="1">
      <c r="A50" s="9">
        <f ca="1">IF(ROWS($1:37)&gt;COUNT(Dong),"",OFFSET(TH!C$1,SMALL(Dong,ROWS($1:37)),))</f>
        <v>40673</v>
      </c>
      <c r="B50" s="9" t="str">
        <f ca="1">IF(ROWS($1:37)&gt;COUNT(Dong),"",OFFSET(TH!D$1,SMALL(Dong,ROWS($1:37)),))</f>
        <v>GBN</v>
      </c>
      <c r="C50" s="9">
        <f ca="1">IF(ROWS($1:37)&gt;COUNT(Dong),"",OFFSET(TH!E$1,SMALL(Dong,ROWS($1:37)),))</f>
        <v>40673</v>
      </c>
      <c r="D50" s="226" t="str">
        <f ca="1">IF(ROWS($1:37)&gt;COUNT(Dong),"",OFFSET(TH!F$1,SMALL(Dong,ROWS($1:37)),))</f>
        <v>Thanh toán tiền hàng</v>
      </c>
      <c r="E50" s="46" t="str">
        <f ca="1">IF(ROWS($1:37)&gt;COUNT(Dong),"",IF(OFFSET(TH!L$1,SMALL(Dong,ROWS($1:37)),)="331",OFFSET(TH!M$1,SMALL(Dong,ROWS($1:37)),),OFFSET(TH!L$1,SMALL(Dong,ROWS($1:37)),)))</f>
        <v>1121</v>
      </c>
      <c r="F50" s="46"/>
      <c r="G50" s="58">
        <f ca="1">IF(ROWS($1:37)&gt;COUNT(Dong),"",IF(OFFSET(TH!L$1,SMALL(Dong,ROWS($1:37)),)="331",OFFSET(TH!K$1,SMALL(Dong,ROWS($1:37)),),0))</f>
        <v>50000000</v>
      </c>
      <c r="H50" s="58">
        <f ca="1">IF(ROWS($1:37)&gt;COUNT(Dong),"",IF(OFFSET(TH!M$1,SMALL(Dong,ROWS($1:37)),)="331",OFFSET(TH!K$1,SMALL(Dong,ROWS($1:37)),),0))</f>
        <v>0</v>
      </c>
      <c r="I50" s="25">
        <f t="shared" ref="I50:I64" ca="1" si="8">IF(D50&lt;&gt;"",MAX(I49+G50-H50-J49,0),0)</f>
        <v>0</v>
      </c>
      <c r="J50" s="25">
        <f t="shared" ref="J50:J64" ca="1" si="9">IF(D50&lt;&gt;"",MAX(J49+H50-I49-G50,0),0)</f>
        <v>83651431</v>
      </c>
    </row>
    <row r="51" spans="1:10" s="18" customFormat="1" ht="18" customHeight="1">
      <c r="A51" s="9">
        <f ca="1">IF(ROWS($1:38)&gt;COUNT(Dong),"",OFFSET(TH!C$1,SMALL(Dong,ROWS($1:38)),))</f>
        <v>40673</v>
      </c>
      <c r="B51" s="9" t="str">
        <f ca="1">IF(ROWS($1:38)&gt;COUNT(Dong),"",OFFSET(TH!D$1,SMALL(Dong,ROWS($1:38)),))</f>
        <v>NL/N08</v>
      </c>
      <c r="C51" s="9">
        <f ca="1">IF(ROWS($1:38)&gt;COUNT(Dong),"",OFFSET(TH!E$1,SMALL(Dong,ROWS($1:38)),))</f>
        <v>40673</v>
      </c>
      <c r="D51" s="226" t="str">
        <f ca="1">IF(ROWS($1:38)&gt;COUNT(Dong),"",OFFSET(TH!F$1,SMALL(Dong,ROWS($1:38)),))</f>
        <v>Giấy tấm 2V+3X ( 2030x1026)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4606812</v>
      </c>
      <c r="I51" s="25">
        <f t="shared" ca="1" si="8"/>
        <v>0</v>
      </c>
      <c r="J51" s="25">
        <f t="shared" ca="1" si="9"/>
        <v>88258243</v>
      </c>
    </row>
    <row r="52" spans="1:10" s="18" customFormat="1" ht="18" customHeight="1">
      <c r="A52" s="9">
        <f ca="1">IF(ROWS($1:39)&gt;COUNT(Dong),"",OFFSET(TH!C$1,SMALL(Dong,ROWS($1:39)),))</f>
        <v>40673</v>
      </c>
      <c r="B52" s="9" t="str">
        <f ca="1">IF(ROWS($1:39)&gt;COUNT(Dong),"",OFFSET(TH!D$1,SMALL(Dong,ROWS($1:39)),))</f>
        <v>NL/N08</v>
      </c>
      <c r="C52" s="9">
        <f ca="1">IF(ROWS($1:39)&gt;COUNT(Dong),"",OFFSET(TH!E$1,SMALL(Dong,ROWS($1:39)),))</f>
        <v>40673</v>
      </c>
      <c r="D52" s="226" t="str">
        <f ca="1">IF(ROWS($1:39)&gt;COUNT(Dong),"",OFFSET(TH!F$1,SMALL(Dong,ROWS($1:39)),))</f>
        <v>Giấy tấm 2V+3X ( 1760x1026)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3994146</v>
      </c>
      <c r="I52" s="25">
        <f t="shared" ca="1" si="8"/>
        <v>0</v>
      </c>
      <c r="J52" s="25">
        <f t="shared" ca="1" si="9"/>
        <v>92252389</v>
      </c>
    </row>
    <row r="53" spans="1:10" s="18" customFormat="1" ht="18" customHeight="1">
      <c r="A53" s="9">
        <f ca="1">IF(ROWS($1:40)&gt;COUNT(Dong),"",OFFSET(TH!C$1,SMALL(Dong,ROWS($1:40)),))</f>
        <v>40673</v>
      </c>
      <c r="B53" s="9" t="str">
        <f ca="1">IF(ROWS($1:40)&gt;COUNT(Dong),"",OFFSET(TH!D$1,SMALL(Dong,ROWS($1:40)),))</f>
        <v>NL/N08</v>
      </c>
      <c r="C53" s="9">
        <f ca="1">IF(ROWS($1:40)&gt;COUNT(Dong),"",OFFSET(TH!E$1,SMALL(Dong,ROWS($1:40)),))</f>
        <v>40673</v>
      </c>
      <c r="D53" s="226" t="str">
        <f ca="1">IF(ROWS($1:40)&gt;COUNT(Dong),"",OFFSET(TH!F$1,SMALL(Dong,ROWS($1:40)),))</f>
        <v>Giấy tấm 2V+3X ( 2430x1650)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2283008</v>
      </c>
      <c r="I53" s="25">
        <f t="shared" ca="1" si="8"/>
        <v>0</v>
      </c>
      <c r="J53" s="25">
        <f t="shared" ca="1" si="9"/>
        <v>94535397</v>
      </c>
    </row>
    <row r="54" spans="1:10" s="18" customFormat="1" ht="18" customHeight="1">
      <c r="A54" s="9">
        <f ca="1">IF(ROWS($1:41)&gt;COUNT(Dong),"",OFFSET(TH!C$1,SMALL(Dong,ROWS($1:41)),))</f>
        <v>40673</v>
      </c>
      <c r="B54" s="9" t="str">
        <f ca="1">IF(ROWS($1:41)&gt;COUNT(Dong),"",OFFSET(TH!D$1,SMALL(Dong,ROWS($1:41)),))</f>
        <v>NL/N08</v>
      </c>
      <c r="C54" s="9">
        <f ca="1">IF(ROWS($1:41)&gt;COUNT(Dong),"",OFFSET(TH!E$1,SMALL(Dong,ROWS($1:41)),))</f>
        <v>40673</v>
      </c>
      <c r="D54" s="226" t="str">
        <f ca="1">IF(ROWS($1:41)&gt;COUNT(Dong),"",OFFSET(TH!F$1,SMALL(Dong,ROWS($1:41)),))</f>
        <v>Giấy tấm 2V+3X ( 1570x674)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3534035</v>
      </c>
      <c r="I54" s="25">
        <f t="shared" ca="1" si="8"/>
        <v>0</v>
      </c>
      <c r="J54" s="25">
        <f t="shared" ca="1" si="9"/>
        <v>98069432</v>
      </c>
    </row>
    <row r="55" spans="1:10" s="18" customFormat="1" ht="18" customHeight="1">
      <c r="A55" s="9">
        <f ca="1">IF(ROWS($1:42)&gt;COUNT(Dong),"",OFFSET(TH!C$1,SMALL(Dong,ROWS($1:42)),))</f>
        <v>40673</v>
      </c>
      <c r="B55" s="9" t="str">
        <f ca="1">IF(ROWS($1:42)&gt;COUNT(Dong),"",OFFSET(TH!D$1,SMALL(Dong,ROWS($1:42)),))</f>
        <v>NL/N08</v>
      </c>
      <c r="C55" s="9">
        <f ca="1">IF(ROWS($1:42)&gt;COUNT(Dong),"",OFFSET(TH!E$1,SMALL(Dong,ROWS($1:42)),))</f>
        <v>40673</v>
      </c>
      <c r="D55" s="226" t="str">
        <f ca="1">IF(ROWS($1:42)&gt;COUNT(Dong),"",OFFSET(TH!F$1,SMALL(Dong,ROWS($1:42)),))</f>
        <v>Giấy tấm 2V+1X ( 1520x1500)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2057750</v>
      </c>
      <c r="I55" s="25">
        <f t="shared" ca="1" si="8"/>
        <v>0</v>
      </c>
      <c r="J55" s="25">
        <f t="shared" ca="1" si="9"/>
        <v>100127182</v>
      </c>
    </row>
    <row r="56" spans="1:10" s="18" customFormat="1" ht="18" customHeight="1">
      <c r="A56" s="9">
        <f ca="1">IF(ROWS($1:43)&gt;COUNT(Dong),"",OFFSET(TH!C$1,SMALL(Dong,ROWS($1:43)),))</f>
        <v>40673</v>
      </c>
      <c r="B56" s="9" t="str">
        <f ca="1">IF(ROWS($1:43)&gt;COUNT(Dong),"",OFFSET(TH!D$1,SMALL(Dong,ROWS($1:43)),))</f>
        <v>NL/N08</v>
      </c>
      <c r="C56" s="9">
        <f ca="1">IF(ROWS($1:43)&gt;COUNT(Dong),"",OFFSET(TH!E$1,SMALL(Dong,ROWS($1:43)),))</f>
        <v>40673</v>
      </c>
      <c r="D56" s="226" t="str">
        <f ca="1">IF(ROWS($1:43)&gt;COUNT(Dong),"",OFFSET(TH!F$1,SMALL(Dong,ROWS($1:43)),))</f>
        <v>Vat Giấy tấm</v>
      </c>
      <c r="E56" s="46" t="str">
        <f ca="1">IF(ROWS($1:43)&gt;COUNT(Dong),"",IF(OFFSET(TH!L$1,SMALL(Dong,ROWS($1:43)),)="331",OFFSET(TH!M$1,SMALL(Dong,ROWS($1:43)),),OFFSET(TH!L$1,SMALL(Dong,ROWS($1:43)),)))</f>
        <v>1331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1647575</v>
      </c>
      <c r="I56" s="25">
        <f t="shared" ca="1" si="8"/>
        <v>0</v>
      </c>
      <c r="J56" s="25">
        <f t="shared" ca="1" si="9"/>
        <v>101774757</v>
      </c>
    </row>
    <row r="57" spans="1:10" s="18" customFormat="1" ht="18" customHeight="1">
      <c r="A57" s="9">
        <f ca="1">IF(ROWS($1:44)&gt;COUNT(Dong),"",OFFSET(TH!C$1,SMALL(Dong,ROWS($1:44)),))</f>
        <v>40673</v>
      </c>
      <c r="B57" s="9" t="str">
        <f ca="1">IF(ROWS($1:44)&gt;COUNT(Dong),"",OFFSET(TH!D$1,SMALL(Dong,ROWS($1:44)),))</f>
        <v>NL/N09</v>
      </c>
      <c r="C57" s="9">
        <f ca="1">IF(ROWS($1:44)&gt;COUNT(Dong),"",OFFSET(TH!E$1,SMALL(Dong,ROWS($1:44)),))</f>
        <v>40673</v>
      </c>
      <c r="D57" s="226" t="str">
        <f ca="1">IF(ROWS($1:44)&gt;COUNT(Dong),"",OFFSET(TH!F$1,SMALL(Dong,ROWS($1:44)),))</f>
        <v>Giấy tấm 2V+3X ( 1310x941)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3374500</v>
      </c>
      <c r="I57" s="25">
        <f t="shared" ca="1" si="8"/>
        <v>0</v>
      </c>
      <c r="J57" s="25">
        <f t="shared" ca="1" si="9"/>
        <v>105149257</v>
      </c>
    </row>
    <row r="58" spans="1:10" s="18" customFormat="1" ht="18" customHeight="1">
      <c r="A58" s="9">
        <f ca="1">IF(ROWS($1:45)&gt;COUNT(Dong),"",OFFSET(TH!C$1,SMALL(Dong,ROWS($1:45)),))</f>
        <v>40673</v>
      </c>
      <c r="B58" s="9" t="str">
        <f ca="1">IF(ROWS($1:45)&gt;COUNT(Dong),"",OFFSET(TH!D$1,SMALL(Dong,ROWS($1:45)),))</f>
        <v>NL/N09</v>
      </c>
      <c r="C58" s="9">
        <f ca="1">IF(ROWS($1:45)&gt;COUNT(Dong),"",OFFSET(TH!E$1,SMALL(Dong,ROWS($1:45)),))</f>
        <v>40673</v>
      </c>
      <c r="D58" s="226" t="str">
        <f ca="1">IF(ROWS($1:45)&gt;COUNT(Dong),"",OFFSET(TH!F$1,SMALL(Dong,ROWS($1:45)),))</f>
        <v>Giấy tấm 2V+3X ( 1170x420)</v>
      </c>
      <c r="E58" s="46" t="str">
        <f ca="1">IF(ROWS($1:45)&gt;COUNT(Dong),"",IF(OFFSET(TH!L$1,SMALL(Dong,ROWS($1:45)),)="331",OFFSET(TH!M$1,SMALL(Dong,ROWS($1:45)),),OFFSET(TH!L$1,SMALL(Dong,ROWS($1:45)),)))</f>
        <v>1521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2806000</v>
      </c>
      <c r="I58" s="25">
        <f t="shared" ca="1" si="8"/>
        <v>0</v>
      </c>
      <c r="J58" s="25">
        <f t="shared" ca="1" si="9"/>
        <v>107955257</v>
      </c>
    </row>
    <row r="59" spans="1:10" s="18" customFormat="1" ht="18" customHeight="1">
      <c r="A59" s="9">
        <f ca="1">IF(ROWS($1:46)&gt;COUNT(Dong),"",OFFSET(TH!C$1,SMALL(Dong,ROWS($1:46)),))</f>
        <v>40673</v>
      </c>
      <c r="B59" s="9" t="str">
        <f ca="1">IF(ROWS($1:46)&gt;COUNT(Dong),"",OFFSET(TH!D$1,SMALL(Dong,ROWS($1:46)),))</f>
        <v>NL/N09</v>
      </c>
      <c r="C59" s="9">
        <f ca="1">IF(ROWS($1:46)&gt;COUNT(Dong),"",OFFSET(TH!E$1,SMALL(Dong,ROWS($1:46)),))</f>
        <v>40673</v>
      </c>
      <c r="D59" s="226" t="str">
        <f ca="1">IF(ROWS($1:46)&gt;COUNT(Dong),"",OFFSET(TH!F$1,SMALL(Dong,ROWS($1:46)),))</f>
        <v>Giấy tấm 2V+3X ( 1150x444)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2332400</v>
      </c>
      <c r="I59" s="25">
        <f t="shared" ca="1" si="8"/>
        <v>0</v>
      </c>
      <c r="J59" s="25">
        <f t="shared" ca="1" si="9"/>
        <v>110287657</v>
      </c>
    </row>
    <row r="60" spans="1:10" s="18" customFormat="1" ht="18" customHeight="1">
      <c r="A60" s="9">
        <f ca="1">IF(ROWS($1:47)&gt;COUNT(Dong),"",OFFSET(TH!C$1,SMALL(Dong,ROWS($1:47)),))</f>
        <v>40673</v>
      </c>
      <c r="B60" s="9" t="str">
        <f ca="1">IF(ROWS($1:47)&gt;COUNT(Dong),"",OFFSET(TH!D$1,SMALL(Dong,ROWS($1:47)),))</f>
        <v>NL/N09</v>
      </c>
      <c r="C60" s="9">
        <f ca="1">IF(ROWS($1:47)&gt;COUNT(Dong),"",OFFSET(TH!E$1,SMALL(Dong,ROWS($1:47)),))</f>
        <v>40673</v>
      </c>
      <c r="D60" s="226" t="str">
        <f ca="1">IF(ROWS($1:47)&gt;COUNT(Dong),"",OFFSET(TH!F$1,SMALL(Dong,ROWS($1:47)),))</f>
        <v>Vat Giấy tấm</v>
      </c>
      <c r="E60" s="46" t="str">
        <f ca="1">IF(ROWS($1:47)&gt;COUNT(Dong),"",IF(OFFSET(TH!L$1,SMALL(Dong,ROWS($1:47)),)="331",OFFSET(TH!M$1,SMALL(Dong,ROWS($1:47)),),OFFSET(TH!L$1,SMALL(Dong,ROWS($1:47)),)))</f>
        <v>1331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851290</v>
      </c>
      <c r="I60" s="25">
        <f t="shared" ca="1" si="8"/>
        <v>0</v>
      </c>
      <c r="J60" s="25">
        <f t="shared" ca="1" si="9"/>
        <v>111138947</v>
      </c>
    </row>
    <row r="61" spans="1:10" s="18" customFormat="1" ht="18" customHeight="1">
      <c r="A61" s="9">
        <f ca="1">IF(ROWS($1:48)&gt;COUNT(Dong),"",OFFSET(TH!C$1,SMALL(Dong,ROWS($1:48)),))</f>
        <v>40680</v>
      </c>
      <c r="B61" s="9" t="str">
        <f ca="1">IF(ROWS($1:48)&gt;COUNT(Dong),"",OFFSET(TH!D$1,SMALL(Dong,ROWS($1:48)),))</f>
        <v>GBN</v>
      </c>
      <c r="C61" s="9">
        <f ca="1">IF(ROWS($1:48)&gt;COUNT(Dong),"",OFFSET(TH!E$1,SMALL(Dong,ROWS($1:48)),))</f>
        <v>40680</v>
      </c>
      <c r="D61" s="226" t="str">
        <f ca="1">IF(ROWS($1:48)&gt;COUNT(Dong),"",OFFSET(TH!F$1,SMALL(Dong,ROWS($1:48)),))</f>
        <v>Thanh toán tiền hàng</v>
      </c>
      <c r="E61" s="46" t="str">
        <f ca="1">IF(ROWS($1:48)&gt;COUNT(Dong),"",IF(OFFSET(TH!L$1,SMALL(Dong,ROWS($1:48)),)="331",OFFSET(TH!M$1,SMALL(Dong,ROWS($1:48)),),OFFSET(TH!L$1,SMALL(Dong,ROWS($1:48)),)))</f>
        <v>1121</v>
      </c>
      <c r="F61" s="46"/>
      <c r="G61" s="58">
        <f ca="1">IF(ROWS($1:48)&gt;COUNT(Dong),"",IF(OFFSET(TH!L$1,SMALL(Dong,ROWS($1:48)),)="331",OFFSET(TH!K$1,SMALL(Dong,ROWS($1:48)),),0))</f>
        <v>50000000</v>
      </c>
      <c r="H61" s="58">
        <f ca="1">IF(ROWS($1:48)&gt;COUNT(Dong),"",IF(OFFSET(TH!M$1,SMALL(Dong,ROWS($1:48)),)="331",OFFSET(TH!K$1,SMALL(Dong,ROWS($1:48)),),0))</f>
        <v>0</v>
      </c>
      <c r="I61" s="25">
        <f t="shared" ca="1" si="8"/>
        <v>0</v>
      </c>
      <c r="J61" s="25">
        <f t="shared" ca="1" si="9"/>
        <v>61138947</v>
      </c>
    </row>
    <row r="62" spans="1:10" s="18" customFormat="1" ht="18" customHeight="1">
      <c r="A62" s="9">
        <f ca="1">IF(ROWS($1:49)&gt;COUNT(Dong),"",OFFSET(TH!C$1,SMALL(Dong,ROWS($1:49)),))</f>
        <v>40681</v>
      </c>
      <c r="B62" s="9" t="str">
        <f ca="1">IF(ROWS($1:49)&gt;COUNT(Dong),"",OFFSET(TH!D$1,SMALL(Dong,ROWS($1:49)),))</f>
        <v>C26</v>
      </c>
      <c r="C62" s="9">
        <f ca="1">IF(ROWS($1:49)&gt;COUNT(Dong),"",OFFSET(TH!E$1,SMALL(Dong,ROWS($1:49)),))</f>
        <v>40681</v>
      </c>
      <c r="D62" s="226" t="str">
        <f ca="1">IF(ROWS($1:49)&gt;COUNT(Dong),"",OFFSET(TH!F$1,SMALL(Dong,ROWS($1:49)),))</f>
        <v>Thanh toán tiền giấy tấm</v>
      </c>
      <c r="E62" s="46" t="str">
        <f ca="1">IF(ROWS($1:49)&gt;COUNT(Dong),"",IF(OFFSET(TH!L$1,SMALL(Dong,ROWS($1:49)),)="331",OFFSET(TH!M$1,SMALL(Dong,ROWS($1:49)),),OFFSET(TH!L$1,SMALL(Dong,ROWS($1:49)),)))</f>
        <v>1111</v>
      </c>
      <c r="F62" s="46"/>
      <c r="G62" s="58">
        <f ca="1">IF(ROWS($1:49)&gt;COUNT(Dong),"",IF(OFFSET(TH!L$1,SMALL(Dong,ROWS($1:49)),)="331",OFFSET(TH!K$1,SMALL(Dong,ROWS($1:49)),),0))</f>
        <v>14257540</v>
      </c>
      <c r="H62" s="58">
        <f ca="1">IF(ROWS($1:49)&gt;COUNT(Dong),"",IF(OFFSET(TH!M$1,SMALL(Dong,ROWS($1:49)),)="331",OFFSET(TH!K$1,SMALL(Dong,ROWS($1:49)),),0))</f>
        <v>0</v>
      </c>
      <c r="I62" s="25">
        <f t="shared" ca="1" si="8"/>
        <v>0</v>
      </c>
      <c r="J62" s="25">
        <f t="shared" ca="1" si="9"/>
        <v>46881407</v>
      </c>
    </row>
    <row r="63" spans="1:10" s="18" customFormat="1" ht="18" customHeight="1">
      <c r="A63" s="9">
        <f ca="1">IF(ROWS($1:50)&gt;COUNT(Dong),"",OFFSET(TH!C$1,SMALL(Dong,ROWS($1:50)),))</f>
        <v>40681</v>
      </c>
      <c r="B63" s="9" t="str">
        <f ca="1">IF(ROWS($1:50)&gt;COUNT(Dong),"",OFFSET(TH!D$1,SMALL(Dong,ROWS($1:50)),))</f>
        <v>NL/N10</v>
      </c>
      <c r="C63" s="9">
        <f ca="1">IF(ROWS($1:50)&gt;COUNT(Dong),"",OFFSET(TH!E$1,SMALL(Dong,ROWS($1:50)),))</f>
        <v>40681</v>
      </c>
      <c r="D63" s="226" t="str">
        <f ca="1">IF(ROWS($1:50)&gt;COUNT(Dong),"",OFFSET(TH!F$1,SMALL(Dong,ROWS($1:50)),))</f>
        <v>Giấy tấm 1V+2X ( 1920x654)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8792400</v>
      </c>
      <c r="I63" s="25">
        <f t="shared" ca="1" si="8"/>
        <v>0</v>
      </c>
      <c r="J63" s="25">
        <f t="shared" ca="1" si="9"/>
        <v>55673807</v>
      </c>
    </row>
    <row r="64" spans="1:10" s="18" customFormat="1" ht="18" customHeight="1">
      <c r="A64" s="9">
        <f ca="1">IF(ROWS($1:51)&gt;COUNT(Dong),"",OFFSET(TH!C$1,SMALL(Dong,ROWS($1:51)),))</f>
        <v>40681</v>
      </c>
      <c r="B64" s="9" t="str">
        <f ca="1">IF(ROWS($1:51)&gt;COUNT(Dong),"",OFFSET(TH!D$1,SMALL(Dong,ROWS($1:51)),))</f>
        <v>NL/N10</v>
      </c>
      <c r="C64" s="9">
        <f ca="1">IF(ROWS($1:51)&gt;COUNT(Dong),"",OFFSET(TH!E$1,SMALL(Dong,ROWS($1:51)),))</f>
        <v>40681</v>
      </c>
      <c r="D64" s="226" t="str">
        <f ca="1">IF(ROWS($1:51)&gt;COUNT(Dong),"",OFFSET(TH!F$1,SMALL(Dong,ROWS($1:51)),))</f>
        <v>Giấy tấm 1V+4X ( 1720x669)</v>
      </c>
      <c r="E64" s="46" t="str">
        <f ca="1">IF(ROWS($1:51)&gt;COUNT(Dong),"",IF(OFFSET(TH!L$1,SMALL(Dong,ROWS($1:51)),)="331",OFFSET(TH!M$1,SMALL(Dong,ROWS($1:51)),),OFFSET(TH!L$1,SMALL(Dong,ROWS($1:51)),)))</f>
        <v>1521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1212200</v>
      </c>
      <c r="I64" s="25">
        <f t="shared" ca="1" si="8"/>
        <v>0</v>
      </c>
      <c r="J64" s="25">
        <f t="shared" ca="1" si="9"/>
        <v>56886007</v>
      </c>
    </row>
    <row r="65" spans="1:10" s="18" customFormat="1" ht="18" customHeight="1">
      <c r="A65" s="9">
        <f ca="1">IF(ROWS($1:52)&gt;COUNT(Dong),"",OFFSET(TH!C$1,SMALL(Dong,ROWS($1:52)),))</f>
        <v>40681</v>
      </c>
      <c r="B65" s="9" t="str">
        <f ca="1">IF(ROWS($1:52)&gt;COUNT(Dong),"",OFFSET(TH!D$1,SMALL(Dong,ROWS($1:52)),))</f>
        <v>NL/N10</v>
      </c>
      <c r="C65" s="9">
        <f ca="1">IF(ROWS($1:52)&gt;COUNT(Dong),"",OFFSET(TH!E$1,SMALL(Dong,ROWS($1:52)),))</f>
        <v>40681</v>
      </c>
      <c r="D65" s="226" t="str">
        <f ca="1">IF(ROWS($1:52)&gt;COUNT(Dong),"",OFFSET(TH!F$1,SMALL(Dong,ROWS($1:52)),))</f>
        <v>Giấy tấm 1V+4X ( 1790x784)</v>
      </c>
      <c r="E65" s="46" t="str">
        <f ca="1">IF(ROWS($1:52)&gt;COUNT(Dong),"",IF(OFFSET(TH!L$1,SMALL(Dong,ROWS($1:52)),)="331",OFFSET(TH!M$1,SMALL(Dong,ROWS($1:52)),),OFFSET(TH!L$1,SMALL(Dong,ROWS($1:52)),)))</f>
        <v>1521</v>
      </c>
      <c r="F65" s="46"/>
      <c r="G65" s="58">
        <f ca="1">IF(ROWS($1:52)&gt;COUNT(Dong),"",IF(OFFSET(TH!L$1,SMALL(Dong,ROWS($1:52)),)="331",OFFSET(TH!K$1,SMALL(Dong,ROWS($1:52)),),0))</f>
        <v>0</v>
      </c>
      <c r="H65" s="58">
        <f ca="1">IF(ROWS($1:52)&gt;COUNT(Dong),"",IF(OFFSET(TH!M$1,SMALL(Dong,ROWS($1:52)),)="331",OFFSET(TH!K$1,SMALL(Dong,ROWS($1:52)),),0))</f>
        <v>2956800</v>
      </c>
      <c r="I65" s="25">
        <f t="shared" ref="I65:I78" ca="1" si="10">IF(D65&lt;&gt;"",MAX(I64+G65-H65-J64,0),0)</f>
        <v>0</v>
      </c>
      <c r="J65" s="25">
        <f t="shared" ref="J65:J78" ca="1" si="11">IF(D65&lt;&gt;"",MAX(J64+H65-I64-G65,0),0)</f>
        <v>59842807</v>
      </c>
    </row>
    <row r="66" spans="1:10" s="18" customFormat="1" ht="18" customHeight="1">
      <c r="A66" s="9">
        <f ca="1">IF(ROWS($1:53)&gt;COUNT(Dong),"",OFFSET(TH!C$1,SMALL(Dong,ROWS($1:53)),))</f>
        <v>40681</v>
      </c>
      <c r="B66" s="9" t="str">
        <f ca="1">IF(ROWS($1:53)&gt;COUNT(Dong),"",OFFSET(TH!D$1,SMALL(Dong,ROWS($1:53)),))</f>
        <v>NL/N10</v>
      </c>
      <c r="C66" s="9">
        <f ca="1">IF(ROWS($1:53)&gt;COUNT(Dong),"",OFFSET(TH!E$1,SMALL(Dong,ROWS($1:53)),))</f>
        <v>40681</v>
      </c>
      <c r="D66" s="226" t="str">
        <f ca="1">IF(ROWS($1:53)&gt;COUNT(Dong),"",OFFSET(TH!F$1,SMALL(Dong,ROWS($1:53)),))</f>
        <v>Vat Giấy tấm</v>
      </c>
      <c r="E66" s="46" t="str">
        <f ca="1">IF(ROWS($1:53)&gt;COUNT(Dong),"",IF(OFFSET(TH!L$1,SMALL(Dong,ROWS($1:53)),)="331",OFFSET(TH!M$1,SMALL(Dong,ROWS($1:53)),),OFFSET(TH!L$1,SMALL(Dong,ROWS($1:53)),)))</f>
        <v>1331</v>
      </c>
      <c r="F66" s="46"/>
      <c r="G66" s="58">
        <f ca="1">IF(ROWS($1:53)&gt;COUNT(Dong),"",IF(OFFSET(TH!L$1,SMALL(Dong,ROWS($1:53)),)="331",OFFSET(TH!K$1,SMALL(Dong,ROWS($1:53)),),0))</f>
        <v>0</v>
      </c>
      <c r="H66" s="58">
        <f ca="1">IF(ROWS($1:53)&gt;COUNT(Dong),"",IF(OFFSET(TH!M$1,SMALL(Dong,ROWS($1:53)),)="331",OFFSET(TH!K$1,SMALL(Dong,ROWS($1:53)),),0))</f>
        <v>1296140</v>
      </c>
      <c r="I66" s="25">
        <f t="shared" ca="1" si="10"/>
        <v>0</v>
      </c>
      <c r="J66" s="25">
        <f t="shared" ca="1" si="11"/>
        <v>61138947</v>
      </c>
    </row>
    <row r="67" spans="1:10" s="18" customFormat="1" ht="18" customHeight="1">
      <c r="A67" s="9">
        <f ca="1">IF(ROWS($1:54)&gt;COUNT(Dong),"",OFFSET(TH!C$1,SMALL(Dong,ROWS($1:54)),))</f>
        <v>40688</v>
      </c>
      <c r="B67" s="9" t="str">
        <f ca="1">IF(ROWS($1:54)&gt;COUNT(Dong),"",OFFSET(TH!D$1,SMALL(Dong,ROWS($1:54)),))</f>
        <v>NL/N11</v>
      </c>
      <c r="C67" s="9">
        <f ca="1">IF(ROWS($1:54)&gt;COUNT(Dong),"",OFFSET(TH!E$1,SMALL(Dong,ROWS($1:54)),))</f>
        <v>40688</v>
      </c>
      <c r="D67" s="226" t="str">
        <f ca="1">IF(ROWS($1:54)&gt;COUNT(Dong),"",OFFSET(TH!F$1,SMALL(Dong,ROWS($1:54)),))</f>
        <v>Giấy tấm 2V+3X ( 1950x714)</v>
      </c>
      <c r="E67" s="46" t="str">
        <f ca="1">IF(ROWS($1:54)&gt;COUNT(Dong),"",IF(OFFSET(TH!L$1,SMALL(Dong,ROWS($1:54)),)="331",OFFSET(TH!M$1,SMALL(Dong,ROWS($1:54)),),OFFSET(TH!L$1,SMALL(Dong,ROWS($1:54)),)))</f>
        <v>1521</v>
      </c>
      <c r="F67" s="46"/>
      <c r="G67" s="58">
        <f ca="1">IF(ROWS($1:54)&gt;COUNT(Dong),"",IF(OFFSET(TH!L$1,SMALL(Dong,ROWS($1:54)),)="331",OFFSET(TH!K$1,SMALL(Dong,ROWS($1:54)),),0))</f>
        <v>0</v>
      </c>
      <c r="H67" s="58">
        <f ca="1">IF(ROWS($1:54)&gt;COUNT(Dong),"",IF(OFFSET(TH!M$1,SMALL(Dong,ROWS($1:54)),)="331",OFFSET(TH!K$1,SMALL(Dong,ROWS($1:54)),),0))</f>
        <v>5275116</v>
      </c>
      <c r="I67" s="25">
        <f t="shared" ca="1" si="10"/>
        <v>0</v>
      </c>
      <c r="J67" s="25">
        <f t="shared" ca="1" si="11"/>
        <v>66414063</v>
      </c>
    </row>
    <row r="68" spans="1:10" s="18" customFormat="1" ht="18" customHeight="1">
      <c r="A68" s="9">
        <f ca="1">IF(ROWS($1:55)&gt;COUNT(Dong),"",OFFSET(TH!C$1,SMALL(Dong,ROWS($1:55)),))</f>
        <v>40688</v>
      </c>
      <c r="B68" s="9" t="str">
        <f ca="1">IF(ROWS($1:55)&gt;COUNT(Dong),"",OFFSET(TH!D$1,SMALL(Dong,ROWS($1:55)),))</f>
        <v>NL/N11</v>
      </c>
      <c r="C68" s="9">
        <f ca="1">IF(ROWS($1:55)&gt;COUNT(Dong),"",OFFSET(TH!E$1,SMALL(Dong,ROWS($1:55)),))</f>
        <v>40688</v>
      </c>
      <c r="D68" s="226" t="str">
        <f ca="1">IF(ROWS($1:55)&gt;COUNT(Dong),"",OFFSET(TH!F$1,SMALL(Dong,ROWS($1:55)),))</f>
        <v>Giấy tấm 2V+3X ( 2030x784)</v>
      </c>
      <c r="E68" s="46" t="str">
        <f ca="1">IF(ROWS($1:55)&gt;COUNT(Dong),"",IF(OFFSET(TH!L$1,SMALL(Dong,ROWS($1:55)),)="331",OFFSET(TH!M$1,SMALL(Dong,ROWS($1:55)),),OFFSET(TH!L$1,SMALL(Dong,ROWS($1:55)),)))</f>
        <v>1521</v>
      </c>
      <c r="F68" s="46"/>
      <c r="G68" s="58">
        <f ca="1">IF(ROWS($1:55)&gt;COUNT(Dong),"",IF(OFFSET(TH!L$1,SMALL(Dong,ROWS($1:55)),)="331",OFFSET(TH!K$1,SMALL(Dong,ROWS($1:55)),),0))</f>
        <v>0</v>
      </c>
      <c r="H68" s="58">
        <f ca="1">IF(ROWS($1:55)&gt;COUNT(Dong),"",IF(OFFSET(TH!M$1,SMALL(Dong,ROWS($1:55)),)="331",OFFSET(TH!K$1,SMALL(Dong,ROWS($1:55)),),0))</f>
        <v>11205561</v>
      </c>
      <c r="I68" s="25">
        <f t="shared" ca="1" si="10"/>
        <v>0</v>
      </c>
      <c r="J68" s="25">
        <f t="shared" ca="1" si="11"/>
        <v>77619624</v>
      </c>
    </row>
    <row r="69" spans="1:10" s="18" customFormat="1" ht="18" customHeight="1">
      <c r="A69" s="9">
        <f ca="1">IF(ROWS($1:56)&gt;COUNT(Dong),"",OFFSET(TH!C$1,SMALL(Dong,ROWS($1:56)),))</f>
        <v>40688</v>
      </c>
      <c r="B69" s="9" t="str">
        <f ca="1">IF(ROWS($1:56)&gt;COUNT(Dong),"",OFFSET(TH!D$1,SMALL(Dong,ROWS($1:56)),))</f>
        <v>NL/N11</v>
      </c>
      <c r="C69" s="9">
        <f ca="1">IF(ROWS($1:56)&gt;COUNT(Dong),"",OFFSET(TH!E$1,SMALL(Dong,ROWS($1:56)),))</f>
        <v>40688</v>
      </c>
      <c r="D69" s="226" t="str">
        <f ca="1">IF(ROWS($1:56)&gt;COUNT(Dong),"",OFFSET(TH!F$1,SMALL(Dong,ROWS($1:56)),))</f>
        <v>Giấy tấm 2V+3X ( 2250x784)</v>
      </c>
      <c r="E69" s="46" t="str">
        <f ca="1">IF(ROWS($1:56)&gt;COUNT(Dong),"",IF(OFFSET(TH!L$1,SMALL(Dong,ROWS($1:56)),)="331",OFFSET(TH!M$1,SMALL(Dong,ROWS($1:56)),),OFFSET(TH!L$1,SMALL(Dong,ROWS($1:56)),)))</f>
        <v>1521</v>
      </c>
      <c r="F69" s="46"/>
      <c r="G69" s="58">
        <f ca="1">IF(ROWS($1:56)&gt;COUNT(Dong),"",IF(OFFSET(TH!L$1,SMALL(Dong,ROWS($1:56)),)="331",OFFSET(TH!K$1,SMALL(Dong,ROWS($1:56)),),0))</f>
        <v>0</v>
      </c>
      <c r="H69" s="58">
        <f ca="1">IF(ROWS($1:56)&gt;COUNT(Dong),"",IF(OFFSET(TH!M$1,SMALL(Dong,ROWS($1:56)),)="331",OFFSET(TH!K$1,SMALL(Dong,ROWS($1:56)),),0))</f>
        <v>2124760</v>
      </c>
      <c r="I69" s="25">
        <f t="shared" ca="1" si="10"/>
        <v>0</v>
      </c>
      <c r="J69" s="25">
        <f t="shared" ca="1" si="11"/>
        <v>79744384</v>
      </c>
    </row>
    <row r="70" spans="1:10" s="18" customFormat="1" ht="18" customHeight="1">
      <c r="A70" s="9">
        <f ca="1">IF(ROWS($1:57)&gt;COUNT(Dong),"",OFFSET(TH!C$1,SMALL(Dong,ROWS($1:57)),))</f>
        <v>40688</v>
      </c>
      <c r="B70" s="9" t="str">
        <f ca="1">IF(ROWS($1:57)&gt;COUNT(Dong),"",OFFSET(TH!D$1,SMALL(Dong,ROWS($1:57)),))</f>
        <v>NL/N11</v>
      </c>
      <c r="C70" s="9">
        <f ca="1">IF(ROWS($1:57)&gt;COUNT(Dong),"",OFFSET(TH!E$1,SMALL(Dong,ROWS($1:57)),))</f>
        <v>40688</v>
      </c>
      <c r="D70" s="226" t="str">
        <f ca="1">IF(ROWS($1:57)&gt;COUNT(Dong),"",OFFSET(TH!F$1,SMALL(Dong,ROWS($1:57)),))</f>
        <v>Giấy tấm 2V+3X ( 1570x674)</v>
      </c>
      <c r="E70" s="46" t="str">
        <f ca="1">IF(ROWS($1:57)&gt;COUNT(Dong),"",IF(OFFSET(TH!L$1,SMALL(Dong,ROWS($1:57)),)="331",OFFSET(TH!M$1,SMALL(Dong,ROWS($1:57)),),OFFSET(TH!L$1,SMALL(Dong,ROWS($1:57)),)))</f>
        <v>1521</v>
      </c>
      <c r="F70" s="46"/>
      <c r="G70" s="58">
        <f ca="1">IF(ROWS($1:57)&gt;COUNT(Dong),"",IF(OFFSET(TH!L$1,SMALL(Dong,ROWS($1:57)),)="331",OFFSET(TH!K$1,SMALL(Dong,ROWS($1:57)),),0))</f>
        <v>0</v>
      </c>
      <c r="H70" s="58">
        <f ca="1">IF(ROWS($1:57)&gt;COUNT(Dong),"",IF(OFFSET(TH!M$1,SMALL(Dong,ROWS($1:57)),)="331",OFFSET(TH!K$1,SMALL(Dong,ROWS($1:57)),),0))</f>
        <v>3394991</v>
      </c>
      <c r="I70" s="25">
        <f t="shared" ca="1" si="10"/>
        <v>0</v>
      </c>
      <c r="J70" s="25">
        <f t="shared" ca="1" si="11"/>
        <v>83139375</v>
      </c>
    </row>
    <row r="71" spans="1:10" s="18" customFormat="1" ht="18" customHeight="1">
      <c r="A71" s="9">
        <f ca="1">IF(ROWS($1:58)&gt;COUNT(Dong),"",OFFSET(TH!C$1,SMALL(Dong,ROWS($1:58)),))</f>
        <v>40688</v>
      </c>
      <c r="B71" s="9" t="str">
        <f ca="1">IF(ROWS($1:58)&gt;COUNT(Dong),"",OFFSET(TH!D$1,SMALL(Dong,ROWS($1:58)),))</f>
        <v>NL/N11</v>
      </c>
      <c r="C71" s="9">
        <f ca="1">IF(ROWS($1:58)&gt;COUNT(Dong),"",OFFSET(TH!E$1,SMALL(Dong,ROWS($1:58)),))</f>
        <v>40688</v>
      </c>
      <c r="D71" s="226" t="str">
        <f ca="1">IF(ROWS($1:58)&gt;COUNT(Dong),"",OFFSET(TH!F$1,SMALL(Dong,ROWS($1:58)),))</f>
        <v>Vat Giấy tấm</v>
      </c>
      <c r="E71" s="46" t="str">
        <f ca="1">IF(ROWS($1:58)&gt;COUNT(Dong),"",IF(OFFSET(TH!L$1,SMALL(Dong,ROWS($1:58)),)="331",OFFSET(TH!M$1,SMALL(Dong,ROWS($1:58)),),OFFSET(TH!L$1,SMALL(Dong,ROWS($1:58)),)))</f>
        <v>1331</v>
      </c>
      <c r="F71" s="46"/>
      <c r="G71" s="58">
        <f ca="1">IF(ROWS($1:58)&gt;COUNT(Dong),"",IF(OFFSET(TH!L$1,SMALL(Dong,ROWS($1:58)),)="331",OFFSET(TH!K$1,SMALL(Dong,ROWS($1:58)),),0))</f>
        <v>0</v>
      </c>
      <c r="H71" s="58">
        <f ca="1">IF(ROWS($1:58)&gt;COUNT(Dong),"",IF(OFFSET(TH!M$1,SMALL(Dong,ROWS($1:58)),)="331",OFFSET(TH!K$1,SMALL(Dong,ROWS($1:58)),),0))</f>
        <v>2200043</v>
      </c>
      <c r="I71" s="25">
        <f t="shared" ca="1" si="10"/>
        <v>0</v>
      </c>
      <c r="J71" s="25">
        <f t="shared" ca="1" si="11"/>
        <v>85339418</v>
      </c>
    </row>
    <row r="72" spans="1:10" s="18" customFormat="1" ht="18" customHeight="1">
      <c r="A72" s="9">
        <f ca="1">IF(ROWS($1:59)&gt;COUNT(Dong),"",OFFSET(TH!C$1,SMALL(Dong,ROWS($1:59)),))</f>
        <v>40688</v>
      </c>
      <c r="B72" s="9" t="str">
        <f ca="1">IF(ROWS($1:59)&gt;COUNT(Dong),"",OFFSET(TH!D$1,SMALL(Dong,ROWS($1:59)),))</f>
        <v>NL/N12</v>
      </c>
      <c r="C72" s="9">
        <f ca="1">IF(ROWS($1:59)&gt;COUNT(Dong),"",OFFSET(TH!E$1,SMALL(Dong,ROWS($1:59)),))</f>
        <v>40688</v>
      </c>
      <c r="D72" s="226" t="str">
        <f ca="1">IF(ROWS($1:59)&gt;COUNT(Dong),"",OFFSET(TH!F$1,SMALL(Dong,ROWS($1:59)),))</f>
        <v>Giấy tấm 2V+1X ( 1740x614)</v>
      </c>
      <c r="E72" s="46" t="str">
        <f ca="1">IF(ROWS($1:59)&gt;COUNT(Dong),"",IF(OFFSET(TH!L$1,SMALL(Dong,ROWS($1:59)),)="331",OFFSET(TH!M$1,SMALL(Dong,ROWS($1:59)),),OFFSET(TH!L$1,SMALL(Dong,ROWS($1:59)),)))</f>
        <v>1521</v>
      </c>
      <c r="F72" s="46"/>
      <c r="G72" s="58">
        <f ca="1">IF(ROWS($1:59)&gt;COUNT(Dong),"",IF(OFFSET(TH!L$1,SMALL(Dong,ROWS($1:59)),)="331",OFFSET(TH!K$1,SMALL(Dong,ROWS($1:59)),),0))</f>
        <v>0</v>
      </c>
      <c r="H72" s="58">
        <f ca="1">IF(ROWS($1:59)&gt;COUNT(Dong),"",IF(OFFSET(TH!M$1,SMALL(Dong,ROWS($1:59)),)="331",OFFSET(TH!K$1,SMALL(Dong,ROWS($1:59)),),0))</f>
        <v>3926370</v>
      </c>
      <c r="I72" s="25">
        <f t="shared" ca="1" si="10"/>
        <v>0</v>
      </c>
      <c r="J72" s="25">
        <f t="shared" ca="1" si="11"/>
        <v>89265788</v>
      </c>
    </row>
    <row r="73" spans="1:10" s="18" customFormat="1" ht="18" customHeight="1">
      <c r="A73" s="9">
        <f ca="1">IF(ROWS($1:60)&gt;COUNT(Dong),"",OFFSET(TH!C$1,SMALL(Dong,ROWS($1:60)),))</f>
        <v>40688</v>
      </c>
      <c r="B73" s="9" t="str">
        <f ca="1">IF(ROWS($1:60)&gt;COUNT(Dong),"",OFFSET(TH!D$1,SMALL(Dong,ROWS($1:60)),))</f>
        <v>NL/N12</v>
      </c>
      <c r="C73" s="9">
        <f ca="1">IF(ROWS($1:60)&gt;COUNT(Dong),"",OFFSET(TH!E$1,SMALL(Dong,ROWS($1:60)),))</f>
        <v>40688</v>
      </c>
      <c r="D73" s="226" t="str">
        <f ca="1">IF(ROWS($1:60)&gt;COUNT(Dong),"",OFFSET(TH!F$1,SMALL(Dong,ROWS($1:60)),))</f>
        <v>Giấy tấm 2V+1X ( 2070x704)</v>
      </c>
      <c r="E73" s="46" t="str">
        <f ca="1">IF(ROWS($1:60)&gt;COUNT(Dong),"",IF(OFFSET(TH!L$1,SMALL(Dong,ROWS($1:60)),)="331",OFFSET(TH!M$1,SMALL(Dong,ROWS($1:60)),),OFFSET(TH!L$1,SMALL(Dong,ROWS($1:60)),)))</f>
        <v>1521</v>
      </c>
      <c r="F73" s="46"/>
      <c r="G73" s="58">
        <f ca="1">IF(ROWS($1:60)&gt;COUNT(Dong),"",IF(OFFSET(TH!L$1,SMALL(Dong,ROWS($1:60)),)="331",OFFSET(TH!K$1,SMALL(Dong,ROWS($1:60)),),0))</f>
        <v>0</v>
      </c>
      <c r="H73" s="58">
        <f ca="1">IF(ROWS($1:60)&gt;COUNT(Dong),"",IF(OFFSET(TH!M$1,SMALL(Dong,ROWS($1:60)),)="331",OFFSET(TH!K$1,SMALL(Dong,ROWS($1:60)),),0))</f>
        <v>9181200</v>
      </c>
      <c r="I73" s="25">
        <f t="shared" ca="1" si="10"/>
        <v>0</v>
      </c>
      <c r="J73" s="25">
        <f t="shared" ca="1" si="11"/>
        <v>98446988</v>
      </c>
    </row>
    <row r="74" spans="1:10" s="18" customFormat="1" ht="18" customHeight="1">
      <c r="A74" s="9">
        <f ca="1">IF(ROWS($1:61)&gt;COUNT(Dong),"",OFFSET(TH!C$1,SMALL(Dong,ROWS($1:61)),))</f>
        <v>40688</v>
      </c>
      <c r="B74" s="9" t="str">
        <f ca="1">IF(ROWS($1:61)&gt;COUNT(Dong),"",OFFSET(TH!D$1,SMALL(Dong,ROWS($1:61)),))</f>
        <v>NL/N12</v>
      </c>
      <c r="C74" s="9">
        <f ca="1">IF(ROWS($1:61)&gt;COUNT(Dong),"",OFFSET(TH!E$1,SMALL(Dong,ROWS($1:61)),))</f>
        <v>40688</v>
      </c>
      <c r="D74" s="226" t="str">
        <f ca="1">IF(ROWS($1:61)&gt;COUNT(Dong),"",OFFSET(TH!F$1,SMALL(Dong,ROWS($1:61)),))</f>
        <v>Giấy tấm 2V+1X ( 1980x714)</v>
      </c>
      <c r="E74" s="46" t="str">
        <f ca="1">IF(ROWS($1:61)&gt;COUNT(Dong),"",IF(OFFSET(TH!L$1,SMALL(Dong,ROWS($1:61)),)="331",OFFSET(TH!M$1,SMALL(Dong,ROWS($1:61)),),OFFSET(TH!L$1,SMALL(Dong,ROWS($1:61)),)))</f>
        <v>1521</v>
      </c>
      <c r="F74" s="46"/>
      <c r="G74" s="58">
        <f ca="1">IF(ROWS($1:61)&gt;COUNT(Dong),"",IF(OFFSET(TH!L$1,SMALL(Dong,ROWS($1:61)),)="331",OFFSET(TH!K$1,SMALL(Dong,ROWS($1:61)),),0))</f>
        <v>0</v>
      </c>
      <c r="H74" s="58">
        <f ca="1">IF(ROWS($1:61)&gt;COUNT(Dong),"",IF(OFFSET(TH!M$1,SMALL(Dong,ROWS($1:61)),)="331",OFFSET(TH!K$1,SMALL(Dong,ROWS($1:61)),),0))</f>
        <v>7899235</v>
      </c>
      <c r="I74" s="25">
        <f t="shared" ca="1" si="10"/>
        <v>0</v>
      </c>
      <c r="J74" s="25">
        <f t="shared" ca="1" si="11"/>
        <v>106346223</v>
      </c>
    </row>
    <row r="75" spans="1:10" s="18" customFormat="1" ht="18" customHeight="1">
      <c r="A75" s="9">
        <f ca="1">IF(ROWS($1:62)&gt;COUNT(Dong),"",OFFSET(TH!C$1,SMALL(Dong,ROWS($1:62)),))</f>
        <v>40688</v>
      </c>
      <c r="B75" s="9" t="str">
        <f ca="1">IF(ROWS($1:62)&gt;COUNT(Dong),"",OFFSET(TH!D$1,SMALL(Dong,ROWS($1:62)),))</f>
        <v>NL/N12</v>
      </c>
      <c r="C75" s="9">
        <f ca="1">IF(ROWS($1:62)&gt;COUNT(Dong),"",OFFSET(TH!E$1,SMALL(Dong,ROWS($1:62)),))</f>
        <v>40688</v>
      </c>
      <c r="D75" s="226" t="str">
        <f ca="1">IF(ROWS($1:62)&gt;COUNT(Dong),"",OFFSET(TH!F$1,SMALL(Dong,ROWS($1:62)),))</f>
        <v>Giấy tấm 2V+1X ( 1610x530)</v>
      </c>
      <c r="E75" s="46" t="str">
        <f ca="1">IF(ROWS($1:62)&gt;COUNT(Dong),"",IF(OFFSET(TH!L$1,SMALL(Dong,ROWS($1:62)),)="331",OFFSET(TH!M$1,SMALL(Dong,ROWS($1:62)),),OFFSET(TH!L$1,SMALL(Dong,ROWS($1:62)),)))</f>
        <v>1521</v>
      </c>
      <c r="F75" s="46"/>
      <c r="G75" s="58">
        <f ca="1">IF(ROWS($1:62)&gt;COUNT(Dong),"",IF(OFFSET(TH!L$1,SMALL(Dong,ROWS($1:62)),)="331",OFFSET(TH!K$1,SMALL(Dong,ROWS($1:62)),),0))</f>
        <v>0</v>
      </c>
      <c r="H75" s="58">
        <f ca="1">IF(ROWS($1:62)&gt;COUNT(Dong),"",IF(OFFSET(TH!M$1,SMALL(Dong,ROWS($1:62)),)="331",OFFSET(TH!K$1,SMALL(Dong,ROWS($1:62)),),0))</f>
        <v>1344000</v>
      </c>
      <c r="I75" s="25">
        <f t="shared" ca="1" si="10"/>
        <v>0</v>
      </c>
      <c r="J75" s="25">
        <f t="shared" ca="1" si="11"/>
        <v>107690223</v>
      </c>
    </row>
    <row r="76" spans="1:10" s="18" customFormat="1" ht="18" customHeight="1">
      <c r="A76" s="9">
        <f ca="1">IF(ROWS($1:63)&gt;COUNT(Dong),"",OFFSET(TH!C$1,SMALL(Dong,ROWS($1:63)),))</f>
        <v>40688</v>
      </c>
      <c r="B76" s="9" t="str">
        <f ca="1">IF(ROWS($1:63)&gt;COUNT(Dong),"",OFFSET(TH!D$1,SMALL(Dong,ROWS($1:63)),))</f>
        <v>NL/N12</v>
      </c>
      <c r="C76" s="9">
        <f ca="1">IF(ROWS($1:63)&gt;COUNT(Dong),"",OFFSET(TH!E$1,SMALL(Dong,ROWS($1:63)),))</f>
        <v>40688</v>
      </c>
      <c r="D76" s="226" t="str">
        <f ca="1">IF(ROWS($1:63)&gt;COUNT(Dong),"",OFFSET(TH!F$1,SMALL(Dong,ROWS($1:63)),))</f>
        <v>Giấy tấm 2V+1X ( 2240x1600)</v>
      </c>
      <c r="E76" s="46" t="str">
        <f ca="1">IF(ROWS($1:63)&gt;COUNT(Dong),"",IF(OFFSET(TH!L$1,SMALL(Dong,ROWS($1:63)),)="331",OFFSET(TH!M$1,SMALL(Dong,ROWS($1:63)),),OFFSET(TH!L$1,SMALL(Dong,ROWS($1:63)),)))</f>
        <v>1521</v>
      </c>
      <c r="F76" s="46"/>
      <c r="G76" s="58">
        <f ca="1">IF(ROWS($1:63)&gt;COUNT(Dong),"",IF(OFFSET(TH!L$1,SMALL(Dong,ROWS($1:63)),)="331",OFFSET(TH!K$1,SMALL(Dong,ROWS($1:63)),),0))</f>
        <v>0</v>
      </c>
      <c r="H76" s="58">
        <f ca="1">IF(ROWS($1:63)&gt;COUNT(Dong),"",IF(OFFSET(TH!M$1,SMALL(Dong,ROWS($1:63)),)="331",OFFSET(TH!K$1,SMALL(Dong,ROWS($1:63)),),0))</f>
        <v>1559040</v>
      </c>
      <c r="I76" s="25">
        <f t="shared" ca="1" si="10"/>
        <v>0</v>
      </c>
      <c r="J76" s="25">
        <f t="shared" ca="1" si="11"/>
        <v>109249263</v>
      </c>
    </row>
    <row r="77" spans="1:10" s="18" customFormat="1" ht="18" customHeight="1">
      <c r="A77" s="9">
        <f ca="1">IF(ROWS($1:64)&gt;COUNT(Dong),"",OFFSET(TH!C$1,SMALL(Dong,ROWS($1:64)),))</f>
        <v>40688</v>
      </c>
      <c r="B77" s="9" t="str">
        <f ca="1">IF(ROWS($1:64)&gt;COUNT(Dong),"",OFFSET(TH!D$1,SMALL(Dong,ROWS($1:64)),))</f>
        <v>NL/N12</v>
      </c>
      <c r="C77" s="9">
        <f ca="1">IF(ROWS($1:64)&gt;COUNT(Dong),"",OFFSET(TH!E$1,SMALL(Dong,ROWS($1:64)),))</f>
        <v>40688</v>
      </c>
      <c r="D77" s="226" t="str">
        <f ca="1">IF(ROWS($1:64)&gt;COUNT(Dong),"",OFFSET(TH!F$1,SMALL(Dong,ROWS($1:64)),))</f>
        <v>Giấy tấm 1V+4X ( 1730x624)</v>
      </c>
      <c r="E77" s="46" t="str">
        <f ca="1">IF(ROWS($1:64)&gt;COUNT(Dong),"",IF(OFFSET(TH!L$1,SMALL(Dong,ROWS($1:64)),)="331",OFFSET(TH!M$1,SMALL(Dong,ROWS($1:64)),),OFFSET(TH!L$1,SMALL(Dong,ROWS($1:64)),)))</f>
        <v>1521</v>
      </c>
      <c r="F77" s="46"/>
      <c r="G77" s="58">
        <f ca="1">IF(ROWS($1:64)&gt;COUNT(Dong),"",IF(OFFSET(TH!L$1,SMALL(Dong,ROWS($1:64)),)="331",OFFSET(TH!K$1,SMALL(Dong,ROWS($1:64)),),0))</f>
        <v>0</v>
      </c>
      <c r="H77" s="58">
        <f ca="1">IF(ROWS($1:64)&gt;COUNT(Dong),"",IF(OFFSET(TH!M$1,SMALL(Dong,ROWS($1:64)),)="331",OFFSET(TH!K$1,SMALL(Dong,ROWS($1:64)),),0))</f>
        <v>2331465</v>
      </c>
      <c r="I77" s="25">
        <f t="shared" ca="1" si="10"/>
        <v>0</v>
      </c>
      <c r="J77" s="25">
        <f t="shared" ca="1" si="11"/>
        <v>111580728</v>
      </c>
    </row>
    <row r="78" spans="1:10" s="18" customFormat="1" ht="18" customHeight="1">
      <c r="A78" s="9">
        <f ca="1">IF(ROWS($1:65)&gt;COUNT(Dong),"",OFFSET(TH!C$1,SMALL(Dong,ROWS($1:65)),))</f>
        <v>40688</v>
      </c>
      <c r="B78" s="9" t="str">
        <f ca="1">IF(ROWS($1:65)&gt;COUNT(Dong),"",OFFSET(TH!D$1,SMALL(Dong,ROWS($1:65)),))</f>
        <v>NL/N12</v>
      </c>
      <c r="C78" s="9">
        <f ca="1">IF(ROWS($1:65)&gt;COUNT(Dong),"",OFFSET(TH!E$1,SMALL(Dong,ROWS($1:65)),))</f>
        <v>40688</v>
      </c>
      <c r="D78" s="226" t="str">
        <f ca="1">IF(ROWS($1:65)&gt;COUNT(Dong),"",OFFSET(TH!F$1,SMALL(Dong,ROWS($1:65)),))</f>
        <v>Giấy tấm 2V+1X ( 1700x570)</v>
      </c>
      <c r="E78" s="46" t="str">
        <f ca="1">IF(ROWS($1:65)&gt;COUNT(Dong),"",IF(OFFSET(TH!L$1,SMALL(Dong,ROWS($1:65)),)="331",OFFSET(TH!M$1,SMALL(Dong,ROWS($1:65)),),OFFSET(TH!L$1,SMALL(Dong,ROWS($1:65)),)))</f>
        <v>1521</v>
      </c>
      <c r="F78" s="46"/>
      <c r="G78" s="58">
        <f ca="1">IF(ROWS($1:65)&gt;COUNT(Dong),"",IF(OFFSET(TH!L$1,SMALL(Dong,ROWS($1:65)),)="331",OFFSET(TH!K$1,SMALL(Dong,ROWS($1:65)),),0))</f>
        <v>0</v>
      </c>
      <c r="H78" s="58">
        <f ca="1">IF(ROWS($1:65)&gt;COUNT(Dong),"",IF(OFFSET(TH!M$1,SMALL(Dong,ROWS($1:65)),)="331",OFFSET(TH!K$1,SMALL(Dong,ROWS($1:65)),),0))</f>
        <v>2144060</v>
      </c>
      <c r="I78" s="25">
        <f t="shared" ca="1" si="10"/>
        <v>0</v>
      </c>
      <c r="J78" s="25">
        <f t="shared" ca="1" si="11"/>
        <v>113724788</v>
      </c>
    </row>
    <row r="79" spans="1:10" s="18" customFormat="1" ht="18" customHeight="1">
      <c r="A79" s="9">
        <f ca="1">IF(ROWS($1:66)&gt;COUNT(Dong),"",OFFSET(TH!C$1,SMALL(Dong,ROWS($1:66)),))</f>
        <v>40688</v>
      </c>
      <c r="B79" s="9" t="str">
        <f ca="1">IF(ROWS($1:66)&gt;COUNT(Dong),"",OFFSET(TH!D$1,SMALL(Dong,ROWS($1:66)),))</f>
        <v>NL/N12</v>
      </c>
      <c r="C79" s="9">
        <f ca="1">IF(ROWS($1:66)&gt;COUNT(Dong),"",OFFSET(TH!E$1,SMALL(Dong,ROWS($1:66)),))</f>
        <v>40688</v>
      </c>
      <c r="D79" s="226" t="str">
        <f ca="1">IF(ROWS($1:66)&gt;COUNT(Dong),"",OFFSET(TH!F$1,SMALL(Dong,ROWS($1:66)),))</f>
        <v>Vat Giấy tấm</v>
      </c>
      <c r="E79" s="46" t="str">
        <f ca="1">IF(ROWS($1:66)&gt;COUNT(Dong),"",IF(OFFSET(TH!L$1,SMALL(Dong,ROWS($1:66)),)="331",OFFSET(TH!M$1,SMALL(Dong,ROWS($1:66)),),OFFSET(TH!L$1,SMALL(Dong,ROWS($1:66)),)))</f>
        <v>1331</v>
      </c>
      <c r="F79" s="46"/>
      <c r="G79" s="58">
        <f ca="1">IF(ROWS($1:66)&gt;COUNT(Dong),"",IF(OFFSET(TH!L$1,SMALL(Dong,ROWS($1:66)),)="331",OFFSET(TH!K$1,SMALL(Dong,ROWS($1:66)),),0))</f>
        <v>0</v>
      </c>
      <c r="H79" s="58">
        <f ca="1">IF(ROWS($1:66)&gt;COUNT(Dong),"",IF(OFFSET(TH!M$1,SMALL(Dong,ROWS($1:66)),)="331",OFFSET(TH!K$1,SMALL(Dong,ROWS($1:66)),),0))</f>
        <v>2838537</v>
      </c>
      <c r="I79" s="25">
        <f t="shared" ref="I79:I93" ca="1" si="12">IF(D79&lt;&gt;"",MAX(I78+G79-H79-J78,0),0)</f>
        <v>0</v>
      </c>
      <c r="J79" s="25">
        <f t="shared" ref="J79:J93" ca="1" si="13">IF(D79&lt;&gt;"",MAX(J78+H79-I78-G79,0),0)</f>
        <v>116563325</v>
      </c>
    </row>
    <row r="80" spans="1:10" s="18" customFormat="1" ht="18" customHeight="1">
      <c r="A80" s="9">
        <f ca="1">IF(ROWS($1:67)&gt;COUNT(Dong),"",OFFSET(TH!C$1,SMALL(Dong,ROWS($1:67)),))</f>
        <v>40690</v>
      </c>
      <c r="B80" s="9" t="str">
        <f ca="1">IF(ROWS($1:67)&gt;COUNT(Dong),"",OFFSET(TH!D$1,SMALL(Dong,ROWS($1:67)),))</f>
        <v>GBN</v>
      </c>
      <c r="C80" s="9">
        <f ca="1">IF(ROWS($1:67)&gt;COUNT(Dong),"",OFFSET(TH!E$1,SMALL(Dong,ROWS($1:67)),))</f>
        <v>40690</v>
      </c>
      <c r="D80" s="226" t="str">
        <f ca="1">IF(ROWS($1:67)&gt;COUNT(Dong),"",OFFSET(TH!F$1,SMALL(Dong,ROWS($1:67)),))</f>
        <v>Thanh toán tiền hàng</v>
      </c>
      <c r="E80" s="46" t="str">
        <f ca="1">IF(ROWS($1:67)&gt;COUNT(Dong),"",IF(OFFSET(TH!L$1,SMALL(Dong,ROWS($1:67)),)="331",OFFSET(TH!M$1,SMALL(Dong,ROWS($1:67)),),OFFSET(TH!L$1,SMALL(Dong,ROWS($1:67)),)))</f>
        <v>1121</v>
      </c>
      <c r="F80" s="46"/>
      <c r="G80" s="58">
        <f ca="1">IF(ROWS($1:67)&gt;COUNT(Dong),"",IF(OFFSET(TH!L$1,SMALL(Dong,ROWS($1:67)),)="331",OFFSET(TH!K$1,SMALL(Dong,ROWS($1:67)),),0))</f>
        <v>41712396</v>
      </c>
      <c r="H80" s="58">
        <f ca="1">IF(ROWS($1:67)&gt;COUNT(Dong),"",IF(OFFSET(TH!M$1,SMALL(Dong,ROWS($1:67)),)="331",OFFSET(TH!K$1,SMALL(Dong,ROWS($1:67)),),0))</f>
        <v>0</v>
      </c>
      <c r="I80" s="25">
        <f t="shared" ca="1" si="12"/>
        <v>0</v>
      </c>
      <c r="J80" s="25">
        <f t="shared" ca="1" si="13"/>
        <v>74850929</v>
      </c>
    </row>
    <row r="81" spans="1:10" s="18" customFormat="1" ht="18" customHeight="1">
      <c r="A81" s="9">
        <f ca="1">IF(ROWS($1:68)&gt;COUNT(Dong),"",OFFSET(TH!C$1,SMALL(Dong,ROWS($1:68)),))</f>
        <v>40700</v>
      </c>
      <c r="B81" s="9" t="str">
        <f ca="1">IF(ROWS($1:68)&gt;COUNT(Dong),"",OFFSET(TH!D$1,SMALL(Dong,ROWS($1:68)),))</f>
        <v>NL/N13</v>
      </c>
      <c r="C81" s="9">
        <f ca="1">IF(ROWS($1:68)&gt;COUNT(Dong),"",OFFSET(TH!E$1,SMALL(Dong,ROWS($1:68)),))</f>
        <v>40700</v>
      </c>
      <c r="D81" s="226" t="str">
        <f ca="1">IF(ROWS($1:68)&gt;COUNT(Dong),"",OFFSET(TH!F$1,SMALL(Dong,ROWS($1:68)),))</f>
        <v>Giấy tấm 2V+3X ( 2050x754)</v>
      </c>
      <c r="E81" s="46" t="str">
        <f ca="1">IF(ROWS($1:68)&gt;COUNT(Dong),"",IF(OFFSET(TH!L$1,SMALL(Dong,ROWS($1:68)),)="331",OFFSET(TH!M$1,SMALL(Dong,ROWS($1:68)),),OFFSET(TH!L$1,SMALL(Dong,ROWS($1:68)),)))</f>
        <v>1521</v>
      </c>
      <c r="F81" s="46"/>
      <c r="G81" s="58">
        <f ca="1">IF(ROWS($1:68)&gt;COUNT(Dong),"",IF(OFFSET(TH!L$1,SMALL(Dong,ROWS($1:68)),)="331",OFFSET(TH!K$1,SMALL(Dong,ROWS($1:68)),),0))</f>
        <v>0</v>
      </c>
      <c r="H81" s="58">
        <f ca="1">IF(ROWS($1:68)&gt;COUNT(Dong),"",IF(OFFSET(TH!M$1,SMALL(Dong,ROWS($1:68)),)="331",OFFSET(TH!K$1,SMALL(Dong,ROWS($1:68)),),0))</f>
        <v>10781225</v>
      </c>
      <c r="I81" s="25">
        <f t="shared" ca="1" si="12"/>
        <v>0</v>
      </c>
      <c r="J81" s="25">
        <f t="shared" ca="1" si="13"/>
        <v>85632154</v>
      </c>
    </row>
    <row r="82" spans="1:10" s="18" customFormat="1" ht="18" customHeight="1">
      <c r="A82" s="9">
        <f ca="1">IF(ROWS($1:69)&gt;COUNT(Dong),"",OFFSET(TH!C$1,SMALL(Dong,ROWS($1:69)),))</f>
        <v>40700</v>
      </c>
      <c r="B82" s="9" t="str">
        <f ca="1">IF(ROWS($1:69)&gt;COUNT(Dong),"",OFFSET(TH!D$1,SMALL(Dong,ROWS($1:69)),))</f>
        <v>NL/N13</v>
      </c>
      <c r="C82" s="9">
        <f ca="1">IF(ROWS($1:69)&gt;COUNT(Dong),"",OFFSET(TH!E$1,SMALL(Dong,ROWS($1:69)),))</f>
        <v>40700</v>
      </c>
      <c r="D82" s="226" t="str">
        <f ca="1">IF(ROWS($1:69)&gt;COUNT(Dong),"",OFFSET(TH!F$1,SMALL(Dong,ROWS($1:69)),))</f>
        <v>Giấy tấm 2V+1X ( 1700x1600)</v>
      </c>
      <c r="E82" s="46" t="str">
        <f ca="1">IF(ROWS($1:69)&gt;COUNT(Dong),"",IF(OFFSET(TH!L$1,SMALL(Dong,ROWS($1:69)),)="331",OFFSET(TH!M$1,SMALL(Dong,ROWS($1:69)),),OFFSET(TH!L$1,SMALL(Dong,ROWS($1:69)),)))</f>
        <v>1521</v>
      </c>
      <c r="F82" s="46"/>
      <c r="G82" s="58">
        <f ca="1">IF(ROWS($1:69)&gt;COUNT(Dong),"",IF(OFFSET(TH!L$1,SMALL(Dong,ROWS($1:69)),)="331",OFFSET(TH!K$1,SMALL(Dong,ROWS($1:69)),),0))</f>
        <v>0</v>
      </c>
      <c r="H82" s="58">
        <f ca="1">IF(ROWS($1:69)&gt;COUNT(Dong),"",IF(OFFSET(TH!M$1,SMALL(Dong,ROWS($1:69)),)="331",OFFSET(TH!K$1,SMALL(Dong,ROWS($1:69)),),0))</f>
        <v>1963800</v>
      </c>
      <c r="I82" s="25">
        <f t="shared" ca="1" si="12"/>
        <v>0</v>
      </c>
      <c r="J82" s="25">
        <f t="shared" ca="1" si="13"/>
        <v>87595954</v>
      </c>
    </row>
    <row r="83" spans="1:10" s="18" customFormat="1" ht="18" customHeight="1">
      <c r="A83" s="9">
        <f ca="1">IF(ROWS($1:70)&gt;COUNT(Dong),"",OFFSET(TH!C$1,SMALL(Dong,ROWS($1:70)),))</f>
        <v>40700</v>
      </c>
      <c r="B83" s="9" t="str">
        <f ca="1">IF(ROWS($1:70)&gt;COUNT(Dong),"",OFFSET(TH!D$1,SMALL(Dong,ROWS($1:70)),))</f>
        <v>NL/N13</v>
      </c>
      <c r="C83" s="9">
        <f ca="1">IF(ROWS($1:70)&gt;COUNT(Dong),"",OFFSET(TH!E$1,SMALL(Dong,ROWS($1:70)),))</f>
        <v>40700</v>
      </c>
      <c r="D83" s="226" t="str">
        <f ca="1">IF(ROWS($1:70)&gt;COUNT(Dong),"",OFFSET(TH!F$1,SMALL(Dong,ROWS($1:70)),))</f>
        <v>Giấy tấm 2V+3X ( 2050x1250)</v>
      </c>
      <c r="E83" s="46" t="str">
        <f ca="1">IF(ROWS($1:70)&gt;COUNT(Dong),"",IF(OFFSET(TH!L$1,SMALL(Dong,ROWS($1:70)),)="331",OFFSET(TH!M$1,SMALL(Dong,ROWS($1:70)),),OFFSET(TH!L$1,SMALL(Dong,ROWS($1:70)),)))</f>
        <v>1521</v>
      </c>
      <c r="F83" s="46"/>
      <c r="G83" s="58">
        <f ca="1">IF(ROWS($1:70)&gt;COUNT(Dong),"",IF(OFFSET(TH!L$1,SMALL(Dong,ROWS($1:70)),)="331",OFFSET(TH!K$1,SMALL(Dong,ROWS($1:70)),),0))</f>
        <v>0</v>
      </c>
      <c r="H83" s="58">
        <f ca="1">IF(ROWS($1:70)&gt;COUNT(Dong),"",IF(OFFSET(TH!M$1,SMALL(Dong,ROWS($1:70)),)="331",OFFSET(TH!K$1,SMALL(Dong,ROWS($1:70)),),0))</f>
        <v>2272779</v>
      </c>
      <c r="I83" s="25">
        <f t="shared" ca="1" si="12"/>
        <v>0</v>
      </c>
      <c r="J83" s="25">
        <f t="shared" ca="1" si="13"/>
        <v>89868733</v>
      </c>
    </row>
    <row r="84" spans="1:10" s="18" customFormat="1" ht="18" customHeight="1">
      <c r="A84" s="9">
        <f ca="1">IF(ROWS($1:71)&gt;COUNT(Dong),"",OFFSET(TH!C$1,SMALL(Dong,ROWS($1:71)),))</f>
        <v>40700</v>
      </c>
      <c r="B84" s="9" t="str">
        <f ca="1">IF(ROWS($1:71)&gt;COUNT(Dong),"",OFFSET(TH!D$1,SMALL(Dong,ROWS($1:71)),))</f>
        <v>NL/N13</v>
      </c>
      <c r="C84" s="9">
        <f ca="1">IF(ROWS($1:71)&gt;COUNT(Dong),"",OFFSET(TH!E$1,SMALL(Dong,ROWS($1:71)),))</f>
        <v>40700</v>
      </c>
      <c r="D84" s="226" t="str">
        <f ca="1">IF(ROWS($1:71)&gt;COUNT(Dong),"",OFFSET(TH!F$1,SMALL(Dong,ROWS($1:71)),))</f>
        <v>Giấy tấm 2V+1X ( 2170x1650)</v>
      </c>
      <c r="E84" s="46" t="str">
        <f ca="1">IF(ROWS($1:71)&gt;COUNT(Dong),"",IF(OFFSET(TH!L$1,SMALL(Dong,ROWS($1:71)),)="331",OFFSET(TH!M$1,SMALL(Dong,ROWS($1:71)),),OFFSET(TH!L$1,SMALL(Dong,ROWS($1:71)),)))</f>
        <v>1521</v>
      </c>
      <c r="F84" s="46"/>
      <c r="G84" s="58">
        <f ca="1">IF(ROWS($1:71)&gt;COUNT(Dong),"",IF(OFFSET(TH!L$1,SMALL(Dong,ROWS($1:71)),)="331",OFFSET(TH!K$1,SMALL(Dong,ROWS($1:71)),),0))</f>
        <v>0</v>
      </c>
      <c r="H84" s="58">
        <f ca="1">IF(ROWS($1:71)&gt;COUNT(Dong),"",IF(OFFSET(TH!M$1,SMALL(Dong,ROWS($1:71)),)="331",OFFSET(TH!K$1,SMALL(Dong,ROWS($1:71)),),0))</f>
        <v>5370800</v>
      </c>
      <c r="I84" s="25">
        <f t="shared" ca="1" si="12"/>
        <v>0</v>
      </c>
      <c r="J84" s="25">
        <f t="shared" ca="1" si="13"/>
        <v>95239533</v>
      </c>
    </row>
    <row r="85" spans="1:10" s="18" customFormat="1" ht="18" customHeight="1">
      <c r="A85" s="9">
        <f ca="1">IF(ROWS($1:72)&gt;COUNT(Dong),"",OFFSET(TH!C$1,SMALL(Dong,ROWS($1:72)),))</f>
        <v>40700</v>
      </c>
      <c r="B85" s="9" t="str">
        <f ca="1">IF(ROWS($1:72)&gt;COUNT(Dong),"",OFFSET(TH!D$1,SMALL(Dong,ROWS($1:72)),))</f>
        <v>NL/N13</v>
      </c>
      <c r="C85" s="9">
        <f ca="1">IF(ROWS($1:72)&gt;COUNT(Dong),"",OFFSET(TH!E$1,SMALL(Dong,ROWS($1:72)),))</f>
        <v>40700</v>
      </c>
      <c r="D85" s="226" t="str">
        <f ca="1">IF(ROWS($1:72)&gt;COUNT(Dong),"",OFFSET(TH!F$1,SMALL(Dong,ROWS($1:72)),))</f>
        <v>Giấy tấm 2V+3X ( 2400x1250)</v>
      </c>
      <c r="E85" s="46" t="str">
        <f ca="1">IF(ROWS($1:72)&gt;COUNT(Dong),"",IF(OFFSET(TH!L$1,SMALL(Dong,ROWS($1:72)),)="331",OFFSET(TH!M$1,SMALL(Dong,ROWS($1:72)),),OFFSET(TH!L$1,SMALL(Dong,ROWS($1:72)),)))</f>
        <v>1521</v>
      </c>
      <c r="F85" s="46"/>
      <c r="G85" s="58">
        <f ca="1">IF(ROWS($1:72)&gt;COUNT(Dong),"",IF(OFFSET(TH!L$1,SMALL(Dong,ROWS($1:72)),)="331",OFFSET(TH!K$1,SMALL(Dong,ROWS($1:72)),),0))</f>
        <v>0</v>
      </c>
      <c r="H85" s="58">
        <f ca="1">IF(ROWS($1:72)&gt;COUNT(Dong),"",IF(OFFSET(TH!M$1,SMALL(Dong,ROWS($1:72)),)="331",OFFSET(TH!K$1,SMALL(Dong,ROWS($1:72)),),0))</f>
        <v>1708200</v>
      </c>
      <c r="I85" s="25">
        <f t="shared" ca="1" si="12"/>
        <v>0</v>
      </c>
      <c r="J85" s="25">
        <f t="shared" ca="1" si="13"/>
        <v>96947733</v>
      </c>
    </row>
    <row r="86" spans="1:10" s="18" customFormat="1" ht="18" customHeight="1">
      <c r="A86" s="9">
        <f ca="1">IF(ROWS($1:73)&gt;COUNT(Dong),"",OFFSET(TH!C$1,SMALL(Dong,ROWS($1:73)),))</f>
        <v>40700</v>
      </c>
      <c r="B86" s="9" t="str">
        <f ca="1">IF(ROWS($1:73)&gt;COUNT(Dong),"",OFFSET(TH!D$1,SMALL(Dong,ROWS($1:73)),))</f>
        <v>NL/N13</v>
      </c>
      <c r="C86" s="9">
        <f ca="1">IF(ROWS($1:73)&gt;COUNT(Dong),"",OFFSET(TH!E$1,SMALL(Dong,ROWS($1:73)),))</f>
        <v>40700</v>
      </c>
      <c r="D86" s="226" t="str">
        <f ca="1">IF(ROWS($1:73)&gt;COUNT(Dong),"",OFFSET(TH!F$1,SMALL(Dong,ROWS($1:73)),))</f>
        <v>Vat Giấy tấm</v>
      </c>
      <c r="E86" s="46" t="str">
        <f ca="1">IF(ROWS($1:73)&gt;COUNT(Dong),"",IF(OFFSET(TH!L$1,SMALL(Dong,ROWS($1:73)),)="331",OFFSET(TH!M$1,SMALL(Dong,ROWS($1:73)),),OFFSET(TH!L$1,SMALL(Dong,ROWS($1:73)),)))</f>
        <v>1331</v>
      </c>
      <c r="F86" s="46"/>
      <c r="G86" s="58">
        <f ca="1">IF(ROWS($1:73)&gt;COUNT(Dong),"",IF(OFFSET(TH!L$1,SMALL(Dong,ROWS($1:73)),)="331",OFFSET(TH!K$1,SMALL(Dong,ROWS($1:73)),),0))</f>
        <v>0</v>
      </c>
      <c r="H86" s="58">
        <f ca="1">IF(ROWS($1:73)&gt;COUNT(Dong),"",IF(OFFSET(TH!M$1,SMALL(Dong,ROWS($1:73)),)="331",OFFSET(TH!K$1,SMALL(Dong,ROWS($1:73)),),0))</f>
        <v>2209680</v>
      </c>
      <c r="I86" s="25">
        <f t="shared" ca="1" si="12"/>
        <v>0</v>
      </c>
      <c r="J86" s="25">
        <f t="shared" ca="1" si="13"/>
        <v>99157413</v>
      </c>
    </row>
    <row r="87" spans="1:10" s="18" customFormat="1" ht="18" customHeight="1">
      <c r="A87" s="9">
        <f ca="1">IF(ROWS($1:74)&gt;COUNT(Dong),"",OFFSET(TH!C$1,SMALL(Dong,ROWS($1:74)),))</f>
        <v>40706</v>
      </c>
      <c r="B87" s="9" t="str">
        <f ca="1">IF(ROWS($1:74)&gt;COUNT(Dong),"",OFFSET(TH!D$1,SMALL(Dong,ROWS($1:74)),))</f>
        <v>C43</v>
      </c>
      <c r="C87" s="9">
        <f ca="1">IF(ROWS($1:74)&gt;COUNT(Dong),"",OFFSET(TH!E$1,SMALL(Dong,ROWS($1:74)),))</f>
        <v>40706</v>
      </c>
      <c r="D87" s="226" t="str">
        <f ca="1">IF(ROWS($1:74)&gt;COUNT(Dong),"",OFFSET(TH!F$1,SMALL(Dong,ROWS($1:74)),))</f>
        <v>Thanh toán tiền giấy tấm</v>
      </c>
      <c r="E87" s="46" t="str">
        <f ca="1">IF(ROWS($1:74)&gt;COUNT(Dong),"",IF(OFFSET(TH!L$1,SMALL(Dong,ROWS($1:74)),)="331",OFFSET(TH!M$1,SMALL(Dong,ROWS($1:74)),),OFFSET(TH!L$1,SMALL(Dong,ROWS($1:74)),)))</f>
        <v>1111</v>
      </c>
      <c r="F87" s="46"/>
      <c r="G87" s="58">
        <f ca="1">IF(ROWS($1:74)&gt;COUNT(Dong),"",IF(OFFSET(TH!L$1,SMALL(Dong,ROWS($1:74)),)="331",OFFSET(TH!K$1,SMALL(Dong,ROWS($1:74)),),0))</f>
        <v>15310050</v>
      </c>
      <c r="H87" s="58">
        <f ca="1">IF(ROWS($1:74)&gt;COUNT(Dong),"",IF(OFFSET(TH!M$1,SMALL(Dong,ROWS($1:74)),)="331",OFFSET(TH!K$1,SMALL(Dong,ROWS($1:74)),),0))</f>
        <v>0</v>
      </c>
      <c r="I87" s="25">
        <f t="shared" ca="1" si="12"/>
        <v>0</v>
      </c>
      <c r="J87" s="25">
        <f t="shared" ca="1" si="13"/>
        <v>83847363</v>
      </c>
    </row>
    <row r="88" spans="1:10" s="18" customFormat="1" ht="18" customHeight="1">
      <c r="A88" s="9">
        <f ca="1">IF(ROWS($1:75)&gt;COUNT(Dong),"",OFFSET(TH!C$1,SMALL(Dong,ROWS($1:75)),))</f>
        <v>40706</v>
      </c>
      <c r="B88" s="9" t="str">
        <f ca="1">IF(ROWS($1:75)&gt;COUNT(Dong),"",OFFSET(TH!D$1,SMALL(Dong,ROWS($1:75)),))</f>
        <v>NL/N18</v>
      </c>
      <c r="C88" s="9">
        <f ca="1">IF(ROWS($1:75)&gt;COUNT(Dong),"",OFFSET(TH!E$1,SMALL(Dong,ROWS($1:75)),))</f>
        <v>40706</v>
      </c>
      <c r="D88" s="226" t="str">
        <f ca="1">IF(ROWS($1:75)&gt;COUNT(Dong),"",OFFSET(TH!F$1,SMALL(Dong,ROWS($1:75)),))</f>
        <v>Giấy tấm 2V+3X ( 2050x1250)</v>
      </c>
      <c r="E88" s="46" t="str">
        <f ca="1">IF(ROWS($1:75)&gt;COUNT(Dong),"",IF(OFFSET(TH!L$1,SMALL(Dong,ROWS($1:75)),)="331",OFFSET(TH!M$1,SMALL(Dong,ROWS($1:75)),),OFFSET(TH!L$1,SMALL(Dong,ROWS($1:75)),)))</f>
        <v>1521</v>
      </c>
      <c r="F88" s="46"/>
      <c r="G88" s="58">
        <f ca="1">IF(ROWS($1:75)&gt;COUNT(Dong),"",IF(OFFSET(TH!L$1,SMALL(Dong,ROWS($1:75)),)="331",OFFSET(TH!K$1,SMALL(Dong,ROWS($1:75)),),0))</f>
        <v>0</v>
      </c>
      <c r="H88" s="58">
        <f ca="1">IF(ROWS($1:75)&gt;COUNT(Dong),"",IF(OFFSET(TH!M$1,SMALL(Dong,ROWS($1:75)),)="331",OFFSET(TH!K$1,SMALL(Dong,ROWS($1:75)),),0))</f>
        <v>1374891</v>
      </c>
      <c r="I88" s="25">
        <f t="shared" ca="1" si="12"/>
        <v>0</v>
      </c>
      <c r="J88" s="25">
        <f t="shared" ca="1" si="13"/>
        <v>85222254</v>
      </c>
    </row>
    <row r="89" spans="1:10" s="18" customFormat="1" ht="18" customHeight="1">
      <c r="A89" s="9">
        <f ca="1">IF(ROWS($1:76)&gt;COUNT(Dong),"",OFFSET(TH!C$1,SMALL(Dong,ROWS($1:76)),))</f>
        <v>40706</v>
      </c>
      <c r="B89" s="9" t="str">
        <f ca="1">IF(ROWS($1:76)&gt;COUNT(Dong),"",OFFSET(TH!D$1,SMALL(Dong,ROWS($1:76)),))</f>
        <v>NL/N18</v>
      </c>
      <c r="C89" s="9">
        <f ca="1">IF(ROWS($1:76)&gt;COUNT(Dong),"",OFFSET(TH!E$1,SMALL(Dong,ROWS($1:76)),))</f>
        <v>40706</v>
      </c>
      <c r="D89" s="226" t="str">
        <f ca="1">IF(ROWS($1:76)&gt;COUNT(Dong),"",OFFSET(TH!F$1,SMALL(Dong,ROWS($1:76)),))</f>
        <v>Giấy tấm 2V+3X ( 2090x1050)</v>
      </c>
      <c r="E89" s="46" t="str">
        <f ca="1">IF(ROWS($1:76)&gt;COUNT(Dong),"",IF(OFFSET(TH!L$1,SMALL(Dong,ROWS($1:76)),)="331",OFFSET(TH!M$1,SMALL(Dong,ROWS($1:76)),),OFFSET(TH!L$1,SMALL(Dong,ROWS($1:76)),)))</f>
        <v>1521</v>
      </c>
      <c r="F89" s="46"/>
      <c r="G89" s="58">
        <f ca="1">IF(ROWS($1:76)&gt;COUNT(Dong),"",IF(OFFSET(TH!L$1,SMALL(Dong,ROWS($1:76)),)="331",OFFSET(TH!K$1,SMALL(Dong,ROWS($1:76)),),0))</f>
        <v>0</v>
      </c>
      <c r="H89" s="58">
        <f ca="1">IF(ROWS($1:76)&gt;COUNT(Dong),"",IF(OFFSET(TH!M$1,SMALL(Dong,ROWS($1:76)),)="331",OFFSET(TH!K$1,SMALL(Dong,ROWS($1:76)),),0))</f>
        <v>2499120</v>
      </c>
      <c r="I89" s="25">
        <f t="shared" ca="1" si="12"/>
        <v>0</v>
      </c>
      <c r="J89" s="25">
        <f t="shared" ca="1" si="13"/>
        <v>87721374</v>
      </c>
    </row>
    <row r="90" spans="1:10" s="18" customFormat="1" ht="18" customHeight="1">
      <c r="A90" s="9">
        <f ca="1">IF(ROWS($1:77)&gt;COUNT(Dong),"",OFFSET(TH!C$1,SMALL(Dong,ROWS($1:77)),))</f>
        <v>40706</v>
      </c>
      <c r="B90" s="9" t="str">
        <f ca="1">IF(ROWS($1:77)&gt;COUNT(Dong),"",OFFSET(TH!D$1,SMALL(Dong,ROWS($1:77)),))</f>
        <v>NL/N18</v>
      </c>
      <c r="C90" s="9">
        <f ca="1">IF(ROWS($1:77)&gt;COUNT(Dong),"",OFFSET(TH!E$1,SMALL(Dong,ROWS($1:77)),))</f>
        <v>40706</v>
      </c>
      <c r="D90" s="226" t="str">
        <f ca="1">IF(ROWS($1:77)&gt;COUNT(Dong),"",OFFSET(TH!F$1,SMALL(Dong,ROWS($1:77)),))</f>
        <v>Giấy tấm 2V+3X ( 2220x1050)</v>
      </c>
      <c r="E90" s="46" t="str">
        <f ca="1">IF(ROWS($1:77)&gt;COUNT(Dong),"",IF(OFFSET(TH!L$1,SMALL(Dong,ROWS($1:77)),)="331",OFFSET(TH!M$1,SMALL(Dong,ROWS($1:77)),),OFFSET(TH!L$1,SMALL(Dong,ROWS($1:77)),)))</f>
        <v>1521</v>
      </c>
      <c r="F90" s="46"/>
      <c r="G90" s="58">
        <f ca="1">IF(ROWS($1:77)&gt;COUNT(Dong),"",IF(OFFSET(TH!L$1,SMALL(Dong,ROWS($1:77)),)="331",OFFSET(TH!K$1,SMALL(Dong,ROWS($1:77)),),0))</f>
        <v>0</v>
      </c>
      <c r="H90" s="58">
        <f ca="1">IF(ROWS($1:77)&gt;COUNT(Dong),"",IF(OFFSET(TH!M$1,SMALL(Dong,ROWS($1:77)),)="331",OFFSET(TH!K$1,SMALL(Dong,ROWS($1:77)),),0))</f>
        <v>2654496</v>
      </c>
      <c r="I90" s="25">
        <f t="shared" ca="1" si="12"/>
        <v>0</v>
      </c>
      <c r="J90" s="25">
        <f t="shared" ca="1" si="13"/>
        <v>90375870</v>
      </c>
    </row>
    <row r="91" spans="1:10" s="18" customFormat="1" ht="18" customHeight="1">
      <c r="A91" s="9">
        <f ca="1">IF(ROWS($1:78)&gt;COUNT(Dong),"",OFFSET(TH!C$1,SMALL(Dong,ROWS($1:78)),))</f>
        <v>40706</v>
      </c>
      <c r="B91" s="9" t="str">
        <f ca="1">IF(ROWS($1:78)&gt;COUNT(Dong),"",OFFSET(TH!D$1,SMALL(Dong,ROWS($1:78)),))</f>
        <v>NL/N18</v>
      </c>
      <c r="C91" s="9">
        <f ca="1">IF(ROWS($1:78)&gt;COUNT(Dong),"",OFFSET(TH!E$1,SMALL(Dong,ROWS($1:78)),))</f>
        <v>40706</v>
      </c>
      <c r="D91" s="226" t="str">
        <f ca="1">IF(ROWS($1:78)&gt;COUNT(Dong),"",OFFSET(TH!F$1,SMALL(Dong,ROWS($1:78)),))</f>
        <v>Giấy tấm 2V+3X ( 2390x1050)</v>
      </c>
      <c r="E91" s="46" t="str">
        <f ca="1">IF(ROWS($1:78)&gt;COUNT(Dong),"",IF(OFFSET(TH!L$1,SMALL(Dong,ROWS($1:78)),)="331",OFFSET(TH!M$1,SMALL(Dong,ROWS($1:78)),),OFFSET(TH!L$1,SMALL(Dong,ROWS($1:78)),)))</f>
        <v>1521</v>
      </c>
      <c r="F91" s="46"/>
      <c r="G91" s="58">
        <f ca="1">IF(ROWS($1:78)&gt;COUNT(Dong),"",IF(OFFSET(TH!L$1,SMALL(Dong,ROWS($1:78)),)="331",OFFSET(TH!K$1,SMALL(Dong,ROWS($1:78)),),0))</f>
        <v>0</v>
      </c>
      <c r="H91" s="58">
        <f ca="1">IF(ROWS($1:78)&gt;COUNT(Dong),"",IF(OFFSET(TH!M$1,SMALL(Dong,ROWS($1:78)),)="331",OFFSET(TH!K$1,SMALL(Dong,ROWS($1:78)),),0))</f>
        <v>2857816</v>
      </c>
      <c r="I91" s="25">
        <f t="shared" ca="1" si="12"/>
        <v>0</v>
      </c>
      <c r="J91" s="25">
        <f t="shared" ca="1" si="13"/>
        <v>93233686</v>
      </c>
    </row>
    <row r="92" spans="1:10" s="18" customFormat="1" ht="18" customHeight="1">
      <c r="A92" s="9">
        <f ca="1">IF(ROWS($1:79)&gt;COUNT(Dong),"",OFFSET(TH!C$1,SMALL(Dong,ROWS($1:79)),))</f>
        <v>40706</v>
      </c>
      <c r="B92" s="9" t="str">
        <f ca="1">IF(ROWS($1:79)&gt;COUNT(Dong),"",OFFSET(TH!D$1,SMALL(Dong,ROWS($1:79)),))</f>
        <v>NL/N18</v>
      </c>
      <c r="C92" s="9">
        <f ca="1">IF(ROWS($1:79)&gt;COUNT(Dong),"",OFFSET(TH!E$1,SMALL(Dong,ROWS($1:79)),))</f>
        <v>40706</v>
      </c>
      <c r="D92" s="226" t="str">
        <f ca="1">IF(ROWS($1:79)&gt;COUNT(Dong),"",OFFSET(TH!F$1,SMALL(Dong,ROWS($1:79)),))</f>
        <v>Giấy tấm 2V+3X ( 2030x1050)</v>
      </c>
      <c r="E92" s="46" t="str">
        <f ca="1">IF(ROWS($1:79)&gt;COUNT(Dong),"",IF(OFFSET(TH!L$1,SMALL(Dong,ROWS($1:79)),)="331",OFFSET(TH!M$1,SMALL(Dong,ROWS($1:79)),),OFFSET(TH!L$1,SMALL(Dong,ROWS($1:79)),)))</f>
        <v>1521</v>
      </c>
      <c r="F92" s="46"/>
      <c r="G92" s="58">
        <f ca="1">IF(ROWS($1:79)&gt;COUNT(Dong),"",IF(OFFSET(TH!L$1,SMALL(Dong,ROWS($1:79)),)="331",OFFSET(TH!K$1,SMALL(Dong,ROWS($1:79)),),0))</f>
        <v>0</v>
      </c>
      <c r="H92" s="58">
        <f ca="1">IF(ROWS($1:79)&gt;COUNT(Dong),"",IF(OFFSET(TH!M$1,SMALL(Dong,ROWS($1:79)),)="331",OFFSET(TH!K$1,SMALL(Dong,ROWS($1:79)),),0))</f>
        <v>2427360</v>
      </c>
      <c r="I92" s="25">
        <f t="shared" ca="1" si="12"/>
        <v>0</v>
      </c>
      <c r="J92" s="25">
        <f t="shared" ca="1" si="13"/>
        <v>95661046</v>
      </c>
    </row>
    <row r="93" spans="1:10" s="18" customFormat="1" ht="18" customHeight="1">
      <c r="A93" s="9">
        <f ca="1">IF(ROWS($1:80)&gt;COUNT(Dong),"",OFFSET(TH!C$1,SMALL(Dong,ROWS($1:80)),))</f>
        <v>40706</v>
      </c>
      <c r="B93" s="9" t="str">
        <f ca="1">IF(ROWS($1:80)&gt;COUNT(Dong),"",OFFSET(TH!D$1,SMALL(Dong,ROWS($1:80)),))</f>
        <v>NL/N18</v>
      </c>
      <c r="C93" s="9">
        <f ca="1">IF(ROWS($1:80)&gt;COUNT(Dong),"",OFFSET(TH!E$1,SMALL(Dong,ROWS($1:80)),))</f>
        <v>40706</v>
      </c>
      <c r="D93" s="226" t="str">
        <f ca="1">IF(ROWS($1:80)&gt;COUNT(Dong),"",OFFSET(TH!F$1,SMALL(Dong,ROWS($1:80)),))</f>
        <v>Giấy tấm 2V+3X ( 1760x1050)</v>
      </c>
      <c r="E93" s="46" t="str">
        <f ca="1">IF(ROWS($1:80)&gt;COUNT(Dong),"",IF(OFFSET(TH!L$1,SMALL(Dong,ROWS($1:80)),)="331",OFFSET(TH!M$1,SMALL(Dong,ROWS($1:80)),),OFFSET(TH!L$1,SMALL(Dong,ROWS($1:80)),)))</f>
        <v>1521</v>
      </c>
      <c r="F93" s="46"/>
      <c r="G93" s="58">
        <f ca="1">IF(ROWS($1:80)&gt;COUNT(Dong),"",IF(OFFSET(TH!L$1,SMALL(Dong,ROWS($1:80)),)="331",OFFSET(TH!K$1,SMALL(Dong,ROWS($1:80)),),0))</f>
        <v>0</v>
      </c>
      <c r="H93" s="58">
        <f ca="1">IF(ROWS($1:80)&gt;COUNT(Dong),"",IF(OFFSET(TH!M$1,SMALL(Dong,ROWS($1:80)),)="331",OFFSET(TH!K$1,SMALL(Dong,ROWS($1:80)),),0))</f>
        <v>2104544</v>
      </c>
      <c r="I93" s="25">
        <f t="shared" ca="1" si="12"/>
        <v>0</v>
      </c>
      <c r="J93" s="25">
        <f t="shared" ca="1" si="13"/>
        <v>97765590</v>
      </c>
    </row>
    <row r="94" spans="1:10" s="18" customFormat="1" ht="18" customHeight="1">
      <c r="A94" s="9"/>
      <c r="B94" s="9"/>
      <c r="C94" s="9"/>
      <c r="D94" s="226"/>
      <c r="E94" s="46"/>
      <c r="F94" s="46"/>
      <c r="G94" s="58"/>
      <c r="H94" s="58"/>
      <c r="I94" s="25"/>
      <c r="J94" s="25"/>
    </row>
    <row r="95" spans="1:10" s="18" customFormat="1" ht="18" customHeight="1">
      <c r="A95" s="24"/>
      <c r="B95" s="21"/>
      <c r="C95" s="26"/>
      <c r="D95" s="23" t="s">
        <v>32</v>
      </c>
      <c r="E95" s="21" t="s">
        <v>18</v>
      </c>
      <c r="F95" s="21" t="s">
        <v>18</v>
      </c>
      <c r="G95" s="27">
        <f ca="1">SUM(G14:G94)</f>
        <v>221612799</v>
      </c>
      <c r="H95" s="27">
        <f ca="1">SUM(H14:H94)</f>
        <v>319378389</v>
      </c>
      <c r="I95" s="27" t="s">
        <v>18</v>
      </c>
      <c r="J95" s="27" t="s">
        <v>18</v>
      </c>
    </row>
    <row r="96" spans="1:10" s="18" customFormat="1" ht="18" customHeight="1">
      <c r="A96" s="24"/>
      <c r="B96" s="21"/>
      <c r="C96" s="21"/>
      <c r="D96" s="23" t="s">
        <v>10</v>
      </c>
      <c r="E96" s="21" t="s">
        <v>18</v>
      </c>
      <c r="F96" s="21" t="s">
        <v>18</v>
      </c>
      <c r="G96" s="27" t="s">
        <v>18</v>
      </c>
      <c r="H96" s="27" t="s">
        <v>18</v>
      </c>
      <c r="I96" s="27">
        <f ca="1">MAX(I13+G95-H95-J13,0)</f>
        <v>0</v>
      </c>
      <c r="J96" s="27">
        <f ca="1">MAX(J13+H95-G95-I13,0)</f>
        <v>97765590</v>
      </c>
    </row>
    <row r="97" spans="1:11" s="18" customFormat="1" ht="6" customHeight="1">
      <c r="B97" s="19"/>
      <c r="C97" s="19"/>
      <c r="E97" s="19"/>
    </row>
    <row r="98" spans="1:11" s="18" customFormat="1" ht="14.25" customHeight="1">
      <c r="A98" s="28" t="s">
        <v>144</v>
      </c>
      <c r="B98" s="19"/>
      <c r="C98" s="19"/>
      <c r="E98" s="19"/>
      <c r="K98" s="28" t="s">
        <v>144</v>
      </c>
    </row>
    <row r="99" spans="1:11" s="18" customFormat="1" ht="14.25" customHeight="1">
      <c r="A99" s="28" t="str">
        <f ca="1">"- Ngày mở sổ: "&amp;DAY($A$14)&amp;"/"&amp;MONTH($A$14)&amp;"/ " &amp;YEAR($A$14)</f>
        <v>- Ngày mở sổ: 9/4/ 2011</v>
      </c>
      <c r="B99" s="19"/>
      <c r="C99" s="19"/>
      <c r="E99" s="19"/>
      <c r="K99" s="28" t="s">
        <v>33</v>
      </c>
    </row>
    <row r="100" spans="1:11" s="18" customFormat="1" ht="14.25" customHeight="1">
      <c r="B100" s="19"/>
      <c r="C100" s="19"/>
      <c r="E100" s="967" t="str">
        <f ca="1">"Ngày 31 tháng  12  năm  "&amp;YEAR($A$14)</f>
        <v>Ngày 31 tháng  12  năm  2011</v>
      </c>
      <c r="F100" s="967"/>
      <c r="G100" s="967"/>
      <c r="H100" s="967"/>
      <c r="I100" s="967"/>
      <c r="J100" s="967"/>
    </row>
    <row r="101" spans="1:11" s="18" customFormat="1" ht="14.25" customHeight="1">
      <c r="C101" s="214" t="s">
        <v>11</v>
      </c>
      <c r="E101" s="967" t="s">
        <v>12</v>
      </c>
      <c r="F101" s="967"/>
      <c r="G101" s="967"/>
      <c r="H101" s="967"/>
      <c r="I101" s="967"/>
      <c r="J101" s="967"/>
    </row>
    <row r="102" spans="1:11" s="18" customFormat="1" ht="14.25" customHeight="1">
      <c r="C102" s="214" t="s">
        <v>13</v>
      </c>
      <c r="E102" s="967" t="s">
        <v>13</v>
      </c>
      <c r="F102" s="967"/>
      <c r="G102" s="967"/>
      <c r="H102" s="967"/>
      <c r="I102" s="967"/>
      <c r="J102" s="967"/>
    </row>
    <row r="103" spans="1:11" s="29" customFormat="1"/>
    <row r="109" spans="1:11" ht="15">
      <c r="C109" s="225" t="s">
        <v>143</v>
      </c>
    </row>
  </sheetData>
  <autoFilter ref="A12:J21"/>
  <mergeCells count="15">
    <mergeCell ref="E101:J101"/>
    <mergeCell ref="E102:J102"/>
    <mergeCell ref="A10:A11"/>
    <mergeCell ref="H1:J1"/>
    <mergeCell ref="H2:J3"/>
    <mergeCell ref="E7:H7"/>
    <mergeCell ref="E100:J100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5" customWidth="1"/>
    <col min="2" max="2" width="7" style="265" customWidth="1"/>
    <col min="3" max="3" width="9.140625" style="265"/>
    <col min="4" max="4" width="40.140625" style="265" customWidth="1"/>
    <col min="5" max="5" width="6.5703125" style="265" customWidth="1"/>
    <col min="6" max="8" width="10" style="265" customWidth="1"/>
    <col min="9" max="9" width="13.7109375" style="265" customWidth="1"/>
    <col min="10" max="10" width="10" style="265" customWidth="1"/>
    <col min="11" max="11" width="8.7109375" style="265" customWidth="1"/>
    <col min="12" max="12" width="15" style="265" customWidth="1"/>
    <col min="13" max="13" width="10" style="265" customWidth="1"/>
    <col min="14" max="14" width="9.42578125" style="265" customWidth="1"/>
    <col min="15" max="16384" width="9.140625" style="265"/>
  </cols>
  <sheetData>
    <row r="2" spans="1:14">
      <c r="A2" s="918" t="str">
        <f>TH!$A$1</f>
        <v>Đơn vị: CÔNG TY TNHH SX TM KIM DUNG PHÁT</v>
      </c>
      <c r="C2" s="266"/>
      <c r="F2" s="267"/>
      <c r="G2" s="267"/>
      <c r="H2" s="267"/>
      <c r="I2" s="267"/>
      <c r="J2" s="1018" t="s">
        <v>171</v>
      </c>
      <c r="K2" s="1018"/>
      <c r="L2" s="1018"/>
      <c r="M2" s="1018"/>
      <c r="N2" s="267"/>
    </row>
    <row r="3" spans="1:14">
      <c r="A3" s="919" t="str">
        <f>TH!$A$2</f>
        <v>Địa chỉ: 1A227/1 Ấp 1, Phạm Văn Hai, Bình Chánh, TPHCM</v>
      </c>
      <c r="C3" s="266"/>
      <c r="F3" s="268"/>
      <c r="G3" s="268"/>
      <c r="H3" s="268"/>
      <c r="I3" s="268"/>
      <c r="J3" s="101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17"/>
      <c r="L3" s="1017"/>
      <c r="M3" s="1017"/>
      <c r="N3" s="268"/>
    </row>
    <row r="4" spans="1:14">
      <c r="F4" s="268"/>
      <c r="G4" s="268"/>
      <c r="H4" s="268"/>
      <c r="I4" s="268"/>
      <c r="J4" s="1017"/>
      <c r="K4" s="1017"/>
      <c r="L4" s="1017"/>
      <c r="M4" s="1017"/>
      <c r="N4" s="268"/>
    </row>
    <row r="5" spans="1:14" s="269" customFormat="1" ht="23.25" customHeight="1">
      <c r="A5" s="1027" t="s">
        <v>172</v>
      </c>
      <c r="B5" s="1027"/>
      <c r="C5" s="1027"/>
      <c r="D5" s="1027"/>
      <c r="E5" s="1027"/>
      <c r="F5" s="1027"/>
      <c r="G5" s="1027"/>
      <c r="H5" s="1027"/>
      <c r="I5" s="1027"/>
      <c r="J5" s="1027"/>
      <c r="K5" s="1027"/>
      <c r="L5" s="1027"/>
      <c r="M5" s="1027"/>
      <c r="N5" s="1027"/>
    </row>
    <row r="6" spans="1:14">
      <c r="A6" s="1018" t="s">
        <v>1444</v>
      </c>
      <c r="B6" s="1018" t="s">
        <v>173</v>
      </c>
      <c r="C6" s="1018"/>
      <c r="D6" s="1018"/>
      <c r="E6" s="1018"/>
      <c r="F6" s="1018"/>
      <c r="G6" s="1018"/>
      <c r="H6" s="1018"/>
      <c r="I6" s="1018"/>
      <c r="J6" s="1018"/>
      <c r="K6" s="1018"/>
      <c r="L6" s="1018"/>
      <c r="M6" s="1018"/>
      <c r="N6" s="1018"/>
    </row>
    <row r="7" spans="1:14">
      <c r="C7" s="1028"/>
      <c r="D7" s="1028"/>
      <c r="E7" s="1028"/>
      <c r="F7" s="1028"/>
      <c r="G7" s="1028"/>
      <c r="H7" s="1028"/>
      <c r="I7" s="1028"/>
      <c r="J7" s="1028"/>
      <c r="K7" s="1028"/>
      <c r="L7" s="1028"/>
      <c r="M7" s="1028"/>
      <c r="N7" s="1028"/>
    </row>
    <row r="8" spans="1:14" ht="15.75" customHeight="1">
      <c r="A8" s="1021" t="s">
        <v>19</v>
      </c>
      <c r="B8" s="1029" t="s">
        <v>1</v>
      </c>
      <c r="C8" s="1030"/>
      <c r="D8" s="1021" t="s">
        <v>0</v>
      </c>
      <c r="E8" s="1021" t="s">
        <v>14</v>
      </c>
      <c r="F8" s="1020" t="s">
        <v>20</v>
      </c>
      <c r="G8" s="1020"/>
      <c r="H8" s="1020"/>
      <c r="I8" s="1020"/>
      <c r="J8" s="1020"/>
      <c r="K8" s="1020"/>
      <c r="L8" s="1020" t="s">
        <v>30</v>
      </c>
      <c r="M8" s="1020"/>
      <c r="N8" s="1020"/>
    </row>
    <row r="9" spans="1:14" ht="15.75" customHeight="1">
      <c r="A9" s="1021"/>
      <c r="B9" s="1031"/>
      <c r="C9" s="1032"/>
      <c r="D9" s="1021"/>
      <c r="E9" s="1021"/>
      <c r="F9" s="1020" t="s">
        <v>174</v>
      </c>
      <c r="G9" s="1020"/>
      <c r="H9" s="1020"/>
      <c r="I9" s="1020" t="s">
        <v>175</v>
      </c>
      <c r="J9" s="1020"/>
      <c r="K9" s="1020"/>
      <c r="L9" s="1021" t="s">
        <v>176</v>
      </c>
      <c r="M9" s="1021" t="s">
        <v>177</v>
      </c>
      <c r="N9" s="1021" t="s">
        <v>178</v>
      </c>
    </row>
    <row r="10" spans="1:14" ht="15.75" customHeight="1">
      <c r="A10" s="1021"/>
      <c r="B10" s="1023" t="s">
        <v>15</v>
      </c>
      <c r="C10" s="1023" t="s">
        <v>31</v>
      </c>
      <c r="D10" s="1021"/>
      <c r="E10" s="1021"/>
      <c r="F10" s="1025" t="s">
        <v>176</v>
      </c>
      <c r="G10" s="1025" t="s">
        <v>177</v>
      </c>
      <c r="H10" s="1025" t="s">
        <v>178</v>
      </c>
      <c r="I10" s="1025" t="s">
        <v>176</v>
      </c>
      <c r="J10" s="1025" t="s">
        <v>177</v>
      </c>
      <c r="K10" s="1025" t="s">
        <v>178</v>
      </c>
      <c r="L10" s="1022"/>
      <c r="M10" s="1022"/>
      <c r="N10" s="1022"/>
    </row>
    <row r="11" spans="1:14">
      <c r="A11" s="1021"/>
      <c r="B11" s="1024"/>
      <c r="C11" s="1024"/>
      <c r="D11" s="1021"/>
      <c r="E11" s="1021"/>
      <c r="F11" s="1026"/>
      <c r="G11" s="1026"/>
      <c r="H11" s="1026"/>
      <c r="I11" s="1026"/>
      <c r="J11" s="1026"/>
      <c r="K11" s="1026"/>
      <c r="L11" s="1022"/>
      <c r="M11" s="1022"/>
      <c r="N11" s="1022"/>
    </row>
    <row r="12" spans="1:14" s="268" customFormat="1">
      <c r="A12" s="270" t="s">
        <v>2</v>
      </c>
      <c r="B12" s="271" t="s">
        <v>3</v>
      </c>
      <c r="C12" s="270" t="s">
        <v>4</v>
      </c>
      <c r="D12" s="270" t="s">
        <v>5</v>
      </c>
      <c r="E12" s="270" t="s">
        <v>6</v>
      </c>
      <c r="F12" s="270">
        <v>1</v>
      </c>
      <c r="G12" s="270"/>
      <c r="H12" s="270"/>
      <c r="I12" s="270"/>
      <c r="J12" s="270"/>
      <c r="K12" s="270"/>
      <c r="L12" s="270"/>
      <c r="M12" s="270"/>
      <c r="N12" s="270"/>
    </row>
    <row r="13" spans="1:14">
      <c r="A13" s="272"/>
      <c r="B13" s="272"/>
      <c r="C13" s="923"/>
      <c r="D13" s="273" t="s">
        <v>7</v>
      </c>
      <c r="E13" s="272"/>
      <c r="F13" s="272"/>
      <c r="G13" s="272"/>
      <c r="H13" s="272"/>
      <c r="I13" s="272"/>
      <c r="J13" s="272"/>
      <c r="K13" s="272"/>
      <c r="L13" s="274">
        <f>CDPS!$D$36</f>
        <v>0</v>
      </c>
      <c r="M13" s="272"/>
      <c r="N13" s="272"/>
    </row>
    <row r="14" spans="1:14">
      <c r="A14" s="922">
        <v>40634</v>
      </c>
      <c r="B14" s="758" t="s">
        <v>432</v>
      </c>
      <c r="C14" s="922">
        <v>40634</v>
      </c>
      <c r="D14" s="275" t="s">
        <v>816</v>
      </c>
      <c r="E14" s="758" t="s">
        <v>46</v>
      </c>
      <c r="F14" s="275"/>
      <c r="G14" s="275"/>
      <c r="H14" s="275"/>
      <c r="I14" s="351">
        <v>1700000000</v>
      </c>
      <c r="J14" s="275"/>
      <c r="K14" s="275"/>
      <c r="L14" s="761">
        <f>L13+I14-G14</f>
        <v>1700000000</v>
      </c>
      <c r="M14" s="275"/>
      <c r="N14" s="275"/>
    </row>
    <row r="15" spans="1:14">
      <c r="A15" s="922">
        <v>40634</v>
      </c>
      <c r="B15" s="758" t="s">
        <v>433</v>
      </c>
      <c r="C15" s="922">
        <v>40634</v>
      </c>
      <c r="D15" s="276" t="s">
        <v>817</v>
      </c>
      <c r="E15" s="759" t="s">
        <v>46</v>
      </c>
      <c r="F15" s="276"/>
      <c r="G15" s="276"/>
      <c r="H15" s="276"/>
      <c r="I15" s="366">
        <v>100000000</v>
      </c>
      <c r="J15" s="276"/>
      <c r="K15" s="276"/>
      <c r="L15" s="761">
        <f t="shared" ref="L15:L16" si="0">L14+I15-G15</f>
        <v>1800000000</v>
      </c>
      <c r="M15" s="276"/>
      <c r="N15" s="276"/>
    </row>
    <row r="16" spans="1:14">
      <c r="A16" s="922">
        <v>40634</v>
      </c>
      <c r="B16" s="758" t="s">
        <v>660</v>
      </c>
      <c r="C16" s="922">
        <v>40634</v>
      </c>
      <c r="D16" s="276" t="s">
        <v>818</v>
      </c>
      <c r="E16" s="759" t="s">
        <v>46</v>
      </c>
      <c r="F16" s="276"/>
      <c r="G16" s="276"/>
      <c r="H16" s="276"/>
      <c r="I16" s="366">
        <v>100000000</v>
      </c>
      <c r="J16" s="276"/>
      <c r="K16" s="276"/>
      <c r="L16" s="761">
        <f t="shared" si="0"/>
        <v>1900000000</v>
      </c>
      <c r="M16" s="276"/>
      <c r="N16" s="276"/>
    </row>
    <row r="17" spans="1:14">
      <c r="A17" s="758"/>
      <c r="B17" s="275"/>
      <c r="C17" s="758"/>
      <c r="D17" s="276"/>
      <c r="E17" s="276"/>
      <c r="F17" s="276"/>
      <c r="G17" s="276"/>
      <c r="H17" s="276"/>
      <c r="I17" s="276"/>
      <c r="J17" s="276"/>
      <c r="K17" s="276"/>
      <c r="L17" s="276"/>
      <c r="M17" s="276"/>
      <c r="N17" s="276"/>
    </row>
    <row r="18" spans="1:14">
      <c r="A18" s="758"/>
      <c r="B18" s="275"/>
      <c r="C18" s="758"/>
      <c r="D18" s="277" t="s">
        <v>125</v>
      </c>
      <c r="E18" s="504" t="s">
        <v>18</v>
      </c>
      <c r="F18" s="278"/>
      <c r="G18" s="278"/>
      <c r="H18" s="278"/>
      <c r="I18" s="760">
        <f>SUM(I13:I17)</f>
        <v>1900000000</v>
      </c>
      <c r="J18" s="278"/>
      <c r="K18" s="278"/>
      <c r="L18" s="762">
        <f>L13+I18-F18</f>
        <v>1900000000</v>
      </c>
      <c r="M18" s="278"/>
      <c r="N18" s="278"/>
    </row>
    <row r="19" spans="1:14">
      <c r="A19" s="279"/>
      <c r="B19" s="279"/>
      <c r="C19" s="279"/>
      <c r="D19" s="280" t="s">
        <v>10</v>
      </c>
      <c r="E19" s="505" t="s">
        <v>18</v>
      </c>
      <c r="F19" s="279"/>
      <c r="G19" s="279"/>
      <c r="H19" s="279"/>
      <c r="I19" s="279"/>
      <c r="J19" s="279"/>
      <c r="K19" s="279"/>
      <c r="L19" s="281">
        <f>L13+L18</f>
        <v>1900000000</v>
      </c>
      <c r="M19" s="279"/>
      <c r="N19" s="279"/>
    </row>
    <row r="21" spans="1:14">
      <c r="C21" s="282" t="s">
        <v>179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3"/>
      <c r="C23" s="283"/>
      <c r="D23" s="283"/>
      <c r="E23" s="1019" t="str">
        <f>"Ngày 31 tháng  12  năm  "&amp;YEAR($A$14)</f>
        <v>Ngày 31 tháng  12  năm  2011</v>
      </c>
      <c r="F23" s="1019"/>
      <c r="G23" s="1019"/>
      <c r="H23" s="1019"/>
      <c r="I23" s="1019"/>
      <c r="J23" s="1019"/>
      <c r="K23" s="1019"/>
      <c r="L23" s="1019"/>
      <c r="M23" s="1019"/>
      <c r="N23" s="1019"/>
    </row>
    <row r="24" spans="1:14">
      <c r="A24" s="1019" t="s">
        <v>11</v>
      </c>
      <c r="B24" s="1019"/>
      <c r="C24" s="1019"/>
      <c r="D24" s="1019"/>
      <c r="E24" s="1019" t="s">
        <v>12</v>
      </c>
      <c r="F24" s="1019"/>
      <c r="G24" s="1019"/>
      <c r="H24" s="1019"/>
      <c r="I24" s="1019"/>
      <c r="J24" s="1019"/>
      <c r="K24" s="1019"/>
      <c r="L24" s="1019"/>
      <c r="M24" s="1019"/>
      <c r="N24" s="1019"/>
    </row>
    <row r="25" spans="1:14">
      <c r="A25" s="1019" t="s">
        <v>13</v>
      </c>
      <c r="B25" s="1019"/>
      <c r="C25" s="1019"/>
      <c r="D25" s="1019"/>
      <c r="E25" s="1019" t="s">
        <v>13</v>
      </c>
      <c r="F25" s="1019"/>
      <c r="G25" s="1019"/>
      <c r="H25" s="1019"/>
      <c r="I25" s="1019"/>
      <c r="J25" s="1019"/>
      <c r="K25" s="1019"/>
      <c r="L25" s="1019"/>
      <c r="M25" s="1019"/>
      <c r="N25" s="101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7"/>
  <sheetViews>
    <sheetView topLeftCell="A8" workbookViewId="0">
      <pane ySplit="4" topLeftCell="A144" activePane="bottomLeft" state="frozen"/>
      <selection activeCell="A8" sqref="A8"/>
      <selection pane="bottomLeft" activeCell="A16" sqref="A16:XFD18"/>
    </sheetView>
  </sheetViews>
  <sheetFormatPr defaultRowHeight="12.75"/>
  <cols>
    <col min="1" max="1" width="3.7109375" style="289" customWidth="1"/>
    <col min="2" max="2" width="3.42578125" style="289" customWidth="1"/>
    <col min="3" max="3" width="34" style="289" customWidth="1"/>
    <col min="4" max="4" width="7.7109375" style="292" customWidth="1"/>
    <col min="5" max="5" width="6.7109375" style="310" customWidth="1"/>
    <col min="6" max="6" width="7.5703125" style="310" customWidth="1"/>
    <col min="7" max="7" width="8" style="294" customWidth="1"/>
    <col min="8" max="8" width="12.140625" style="294" customWidth="1"/>
    <col min="9" max="9" width="7.85546875" style="294" customWidth="1"/>
    <col min="10" max="10" width="11.7109375" style="294" customWidth="1"/>
    <col min="11" max="11" width="5.140625" style="294" customWidth="1"/>
    <col min="12" max="12" width="9.5703125" style="294" customWidth="1"/>
    <col min="13" max="13" width="9" style="289" customWidth="1"/>
    <col min="14" max="14" width="11.140625" style="294" bestFit="1" customWidth="1"/>
    <col min="15" max="16384" width="9.140625" style="289"/>
  </cols>
  <sheetData>
    <row r="1" spans="1:14" s="264" customFormat="1" ht="14.25" customHeight="1">
      <c r="B1" s="918" t="str">
        <f>TH!$A$1</f>
        <v>Đơn vị: CÔNG TY TNHH SX TM KIM DUNG PHÁT</v>
      </c>
      <c r="C1" s="284"/>
      <c r="D1" s="284"/>
      <c r="E1" s="284"/>
      <c r="F1" s="285"/>
      <c r="G1" s="285"/>
      <c r="H1" s="1011" t="s">
        <v>180</v>
      </c>
      <c r="I1" s="1011"/>
      <c r="J1" s="1011"/>
      <c r="K1" s="1011"/>
      <c r="L1" s="1011"/>
      <c r="M1" s="763"/>
      <c r="N1" s="764"/>
    </row>
    <row r="2" spans="1:14" s="264" customFormat="1" ht="14.25" customHeight="1">
      <c r="B2" s="919" t="str">
        <f>TH!$A$2</f>
        <v>Địa chỉ: 1A227/1 Ấp 1, Phạm Văn Hai, Bình Chánh, TPHCM</v>
      </c>
      <c r="C2" s="286"/>
      <c r="D2" s="286"/>
      <c r="E2" s="286"/>
      <c r="F2" s="286"/>
      <c r="G2" s="286"/>
      <c r="H2" s="1012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2"/>
      <c r="J2" s="1012"/>
      <c r="K2" s="1012"/>
      <c r="L2" s="1012"/>
      <c r="M2" s="769"/>
      <c r="N2" s="764"/>
    </row>
    <row r="3" spans="1:14" s="264" customFormat="1" ht="14.25" customHeight="1">
      <c r="B3" s="286"/>
      <c r="C3" s="286"/>
      <c r="D3" s="286"/>
      <c r="E3" s="286"/>
      <c r="F3" s="286"/>
      <c r="G3" s="286"/>
      <c r="H3" s="1012"/>
      <c r="I3" s="1012"/>
      <c r="J3" s="1012"/>
      <c r="K3" s="1012"/>
      <c r="L3" s="1012"/>
      <c r="M3" s="770"/>
      <c r="N3" s="764"/>
    </row>
    <row r="4" spans="1:14" s="287" customFormat="1" ht="27.75" customHeight="1">
      <c r="B4" s="1034" t="s">
        <v>181</v>
      </c>
      <c r="C4" s="1034"/>
      <c r="D4" s="1034"/>
      <c r="E4" s="1034"/>
      <c r="F4" s="1034"/>
      <c r="G4" s="1034"/>
      <c r="H4" s="1034"/>
      <c r="I4" s="1034"/>
      <c r="J4" s="1034"/>
      <c r="K4" s="1034"/>
      <c r="L4" s="1034"/>
      <c r="N4" s="765"/>
    </row>
    <row r="5" spans="1:14" s="287" customFormat="1" ht="15" customHeight="1">
      <c r="B5" s="1033" t="s">
        <v>182</v>
      </c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N5" s="765"/>
    </row>
    <row r="6" spans="1:14" s="287" customFormat="1" ht="12.75" hidden="1" customHeight="1">
      <c r="B6" s="1033" t="s">
        <v>183</v>
      </c>
      <c r="C6" s="1033"/>
      <c r="D6" s="1033"/>
      <c r="E6" s="1033"/>
      <c r="F6" s="1033"/>
      <c r="G6" s="1033"/>
      <c r="H6" s="1033"/>
      <c r="I6" s="1033"/>
      <c r="J6" s="1033"/>
      <c r="K6" s="1033"/>
      <c r="L6" s="1033"/>
      <c r="N6" s="765"/>
    </row>
    <row r="7" spans="1:14" s="288" customFormat="1" ht="24" hidden="1" customHeight="1">
      <c r="C7" s="1041" t="s">
        <v>184</v>
      </c>
      <c r="D7" s="1041"/>
      <c r="E7" s="1041"/>
      <c r="F7" s="1041"/>
      <c r="G7" s="1041"/>
      <c r="H7" s="1041"/>
      <c r="I7" s="1041"/>
      <c r="J7" s="1041"/>
      <c r="K7" s="1041"/>
      <c r="L7" s="1041"/>
      <c r="N7" s="766"/>
    </row>
    <row r="8" spans="1:14" ht="20.25" customHeight="1">
      <c r="B8" s="1035" t="s">
        <v>34</v>
      </c>
      <c r="C8" s="1036" t="s">
        <v>185</v>
      </c>
      <c r="D8" s="1037" t="s">
        <v>186</v>
      </c>
      <c r="E8" s="1039" t="s">
        <v>131</v>
      </c>
      <c r="F8" s="1039"/>
      <c r="G8" s="1039"/>
      <c r="H8" s="1039"/>
      <c r="I8" s="1039"/>
      <c r="J8" s="1039"/>
      <c r="K8" s="1039"/>
      <c r="L8" s="1039"/>
    </row>
    <row r="9" spans="1:14" ht="20.25" customHeight="1">
      <c r="B9" s="1035"/>
      <c r="C9" s="1036"/>
      <c r="D9" s="1038"/>
      <c r="E9" s="1039" t="s">
        <v>187</v>
      </c>
      <c r="F9" s="1039"/>
      <c r="G9" s="1040" t="s">
        <v>188</v>
      </c>
      <c r="H9" s="1040"/>
      <c r="I9" s="1040" t="s">
        <v>189</v>
      </c>
      <c r="J9" s="1040"/>
      <c r="K9" s="1040" t="s">
        <v>190</v>
      </c>
      <c r="L9" s="1040"/>
    </row>
    <row r="10" spans="1:14" ht="20.25" hidden="1" customHeight="1">
      <c r="B10" s="1035"/>
      <c r="C10" s="1036"/>
      <c r="D10" s="290"/>
      <c r="E10" s="291" t="s">
        <v>191</v>
      </c>
      <c r="F10" s="291" t="s">
        <v>192</v>
      </c>
      <c r="G10" s="291" t="s">
        <v>191</v>
      </c>
      <c r="H10" s="291" t="s">
        <v>192</v>
      </c>
      <c r="I10" s="291" t="s">
        <v>191</v>
      </c>
      <c r="J10" s="291" t="s">
        <v>192</v>
      </c>
      <c r="K10" s="291" t="s">
        <v>191</v>
      </c>
      <c r="L10" s="291" t="s">
        <v>192</v>
      </c>
    </row>
    <row r="11" spans="1:14" s="292" customFormat="1">
      <c r="B11" s="293" t="s">
        <v>2</v>
      </c>
      <c r="C11" s="290" t="s">
        <v>3</v>
      </c>
      <c r="D11" s="290"/>
      <c r="E11" s="291">
        <v>1</v>
      </c>
      <c r="F11" s="291">
        <v>1</v>
      </c>
      <c r="G11" s="291">
        <v>2</v>
      </c>
      <c r="H11" s="291">
        <v>2</v>
      </c>
      <c r="I11" s="291">
        <v>3</v>
      </c>
      <c r="J11" s="291">
        <v>3</v>
      </c>
      <c r="K11" s="291">
        <v>4</v>
      </c>
      <c r="L11" s="291">
        <v>4</v>
      </c>
      <c r="N11" s="767"/>
    </row>
    <row r="12" spans="1:14" ht="18" customHeight="1">
      <c r="A12" s="294" t="str">
        <f>IF(B12&lt;&gt;"","VL","")</f>
        <v>VL</v>
      </c>
      <c r="B12" s="295">
        <f>IF(C12&lt;&gt;"",ROW()-11,"")</f>
        <v>1</v>
      </c>
      <c r="C12" s="189" t="s">
        <v>388</v>
      </c>
      <c r="D12" s="297" t="s">
        <v>339</v>
      </c>
      <c r="E12" s="25"/>
      <c r="F12" s="25"/>
      <c r="G12" s="25">
        <f t="array" ref="G12">SUM(IF("1522"&amp;C12=KHN&amp;MH,SL))</f>
        <v>300</v>
      </c>
      <c r="H12" s="25">
        <f t="array" ref="H12">SUM(IF("1522"&amp;C12=KHN&amp;MH,TH))</f>
        <v>7300000</v>
      </c>
      <c r="I12" s="25">
        <f t="array" ref="I12">SUM(IF("1522"&amp;C12=KHC&amp;MH,SL))</f>
        <v>250</v>
      </c>
      <c r="J12" s="25">
        <f t="array" ref="J12">SUM(IF("1522"&amp;C12=KHC&amp;MH,TH))</f>
        <v>6050000</v>
      </c>
      <c r="K12" s="25">
        <f t="shared" ref="K12:L14" si="0">E12+G12-I12</f>
        <v>50</v>
      </c>
      <c r="L12" s="25">
        <f t="shared" si="0"/>
        <v>1250000</v>
      </c>
      <c r="M12" s="294"/>
    </row>
    <row r="13" spans="1:14" ht="18" customHeight="1">
      <c r="A13" s="294" t="str">
        <f>IF(B13&lt;&gt;"","VL","")</f>
        <v>VL</v>
      </c>
      <c r="B13" s="295">
        <f>IF(C13&lt;&gt;"",ROW()-11,"")</f>
        <v>2</v>
      </c>
      <c r="C13" s="189" t="s">
        <v>340</v>
      </c>
      <c r="D13" s="297" t="s">
        <v>339</v>
      </c>
      <c r="E13" s="8"/>
      <c r="F13" s="8"/>
      <c r="G13" s="25">
        <f t="array" ref="G13">SUM(IF("1522"&amp;C13=KHN&amp;MH,SL))</f>
        <v>96</v>
      </c>
      <c r="H13" s="25">
        <f t="array" ref="H13">SUM(IF("1522"&amp;C13=KHN&amp;MH,TH))</f>
        <v>4032000</v>
      </c>
      <c r="I13" s="25">
        <f t="array" ref="I13">SUM(IF("1522"&amp;C13=KHC&amp;MH,SL))</f>
        <v>96</v>
      </c>
      <c r="J13" s="25">
        <f t="array" ref="J13">SUM(IF("1522"&amp;C13=KHC&amp;MH,TH))</f>
        <v>4032000</v>
      </c>
      <c r="K13" s="8">
        <f t="shared" si="0"/>
        <v>0</v>
      </c>
      <c r="L13" s="8">
        <f t="shared" si="0"/>
        <v>0</v>
      </c>
      <c r="M13" s="294"/>
    </row>
    <row r="14" spans="1:14" ht="18" customHeight="1">
      <c r="A14" s="294" t="str">
        <f>IF(B14&lt;&gt;"","VL","")</f>
        <v>VL</v>
      </c>
      <c r="B14" s="295">
        <f>IF(C14&lt;&gt;"",ROW()-11,"")</f>
        <v>3</v>
      </c>
      <c r="C14" s="189" t="s">
        <v>475</v>
      </c>
      <c r="D14" s="297" t="s">
        <v>339</v>
      </c>
      <c r="E14" s="8"/>
      <c r="F14" s="8"/>
      <c r="G14" s="25">
        <f t="array" ref="G14">SUM(IF("1522"&amp;C14=KHN&amp;MH,SL))</f>
        <v>11414.5</v>
      </c>
      <c r="H14" s="25">
        <f t="array" ref="H14">SUM(IF("1522"&amp;C14=KHN&amp;MH,TH))</f>
        <v>3810970</v>
      </c>
      <c r="I14" s="25">
        <f t="array" ref="I14">SUM(IF("1522"&amp;C14=KHC&amp;MH,SL))</f>
        <v>11414.5</v>
      </c>
      <c r="J14" s="25">
        <f t="array" ref="J14">SUM(IF("1522"&amp;C14=KHC&amp;MH,TH))</f>
        <v>3810970</v>
      </c>
      <c r="K14" s="8">
        <f t="shared" si="0"/>
        <v>0</v>
      </c>
      <c r="L14" s="8">
        <f t="shared" si="0"/>
        <v>0</v>
      </c>
      <c r="M14" s="294"/>
    </row>
    <row r="15" spans="1:14" ht="18.75" customHeight="1">
      <c r="A15" s="294" t="str">
        <f>IF(B15&lt;&gt;"","VL","")</f>
        <v/>
      </c>
      <c r="B15" s="295" t="str">
        <f>IF(C15&lt;&gt;"",ROW()-11,"")</f>
        <v/>
      </c>
      <c r="C15" s="299"/>
      <c r="D15" s="300"/>
      <c r="E15" s="301"/>
      <c r="F15" s="301"/>
      <c r="G15" s="25"/>
      <c r="H15" s="301"/>
      <c r="I15" s="301"/>
      <c r="J15" s="301"/>
      <c r="K15" s="301"/>
      <c r="L15" s="301"/>
      <c r="M15" s="294"/>
    </row>
    <row r="16" spans="1:14" ht="18.75" customHeight="1">
      <c r="A16" s="294" t="str">
        <f>IF(B16&lt;&gt;"","VL","")</f>
        <v/>
      </c>
      <c r="B16" s="293"/>
      <c r="C16" s="302" t="s">
        <v>338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11810.5</v>
      </c>
      <c r="H16" s="13">
        <f t="shared" si="1"/>
        <v>15142970</v>
      </c>
      <c r="I16" s="13">
        <f t="shared" si="1"/>
        <v>11760.5</v>
      </c>
      <c r="J16" s="13">
        <f t="shared" si="1"/>
        <v>13892970</v>
      </c>
      <c r="K16" s="13">
        <f t="shared" si="1"/>
        <v>50</v>
      </c>
      <c r="L16" s="13">
        <f t="shared" si="1"/>
        <v>1250000</v>
      </c>
      <c r="M16" s="294"/>
    </row>
    <row r="17" spans="1:13" ht="18.75" hidden="1" customHeight="1">
      <c r="A17" s="294"/>
      <c r="B17" s="488"/>
      <c r="C17" s="489"/>
      <c r="D17" s="490"/>
      <c r="E17" s="490">
        <f>F16-F17</f>
        <v>0</v>
      </c>
      <c r="F17" s="490">
        <f>CDPS!C19</f>
        <v>0</v>
      </c>
      <c r="G17" s="490">
        <f>H16-H17</f>
        <v>0</v>
      </c>
      <c r="H17" s="490">
        <f>CDPS!E19</f>
        <v>15142970</v>
      </c>
      <c r="I17" s="490">
        <f>J16-J17</f>
        <v>0</v>
      </c>
      <c r="J17" s="490">
        <f>CDPS!F19</f>
        <v>13892970</v>
      </c>
      <c r="K17" s="490">
        <f>L16-L17</f>
        <v>0</v>
      </c>
      <c r="L17" s="490">
        <f>CDPS!G19</f>
        <v>1250000</v>
      </c>
      <c r="M17" s="294"/>
    </row>
    <row r="18" spans="1:13" ht="18.75" customHeight="1">
      <c r="A18" s="294" t="str">
        <f t="shared" ref="A18:A50" si="2">IF(B18&lt;&gt;"","NL","")</f>
        <v>NL</v>
      </c>
      <c r="B18" s="487">
        <f>IF(C18&lt;&gt;"",ROW()-(ROW()-1),"")</f>
        <v>1</v>
      </c>
      <c r="C18" s="296" t="s">
        <v>379</v>
      </c>
      <c r="D18" s="297" t="s">
        <v>383</v>
      </c>
      <c r="E18" s="25"/>
      <c r="F18" s="25"/>
      <c r="G18" s="25">
        <f t="array" ref="G18">SUM(IF("1521"&amp;C18=KHN&amp;MH,SL))</f>
        <v>130</v>
      </c>
      <c r="H18" s="25">
        <f t="array" ref="H18">SUM(IF("1521"&amp;C18=KHN&amp;MH,TH))</f>
        <v>3164980</v>
      </c>
      <c r="I18" s="25">
        <f t="array" ref="I18">SUM(IF("1521"&amp;C18=KHC&amp;MH,SL))</f>
        <v>130</v>
      </c>
      <c r="J18" s="25">
        <f t="array" ref="J18">SUM(IF("1521"&amp;C18=KHC&amp;MH,TH))</f>
        <v>3164980</v>
      </c>
      <c r="K18" s="25">
        <f t="shared" ref="K18:K50" si="3">E18+G18-I18</f>
        <v>0</v>
      </c>
      <c r="L18" s="25">
        <f t="shared" ref="L18:L50" si="4">F18+H18-J18</f>
        <v>0</v>
      </c>
      <c r="M18" s="294"/>
    </row>
    <row r="19" spans="1:13" ht="18.75" customHeight="1">
      <c r="A19" s="294" t="str">
        <f t="shared" si="2"/>
        <v>NL</v>
      </c>
      <c r="B19" s="295">
        <f t="shared" ref="B19:B51" si="5">IF(C19&lt;&gt;"",B18+1,"")</f>
        <v>2</v>
      </c>
      <c r="C19" s="298" t="s">
        <v>381</v>
      </c>
      <c r="D19" s="297" t="s">
        <v>383</v>
      </c>
      <c r="E19" s="8"/>
      <c r="F19" s="8"/>
      <c r="G19" s="25">
        <f t="array" ref="G19">SUM(IF("1521"&amp;C19=KHN&amp;MH,SL))</f>
        <v>60</v>
      </c>
      <c r="H19" s="25">
        <f t="array" ref="H19">SUM(IF("1521"&amp;C19=KHN&amp;MH,TH))</f>
        <v>844740</v>
      </c>
      <c r="I19" s="25">
        <f t="array" ref="I19">SUM(IF("1521"&amp;C19=KHC&amp;MH,SL))</f>
        <v>60</v>
      </c>
      <c r="J19" s="25">
        <f t="array" ref="J19">SUM(IF("1521"&amp;C19=KHC&amp;MH,TH))</f>
        <v>844740</v>
      </c>
      <c r="K19" s="8">
        <f t="shared" si="3"/>
        <v>0</v>
      </c>
      <c r="L19" s="8">
        <f t="shared" si="4"/>
        <v>0</v>
      </c>
      <c r="M19" s="294"/>
    </row>
    <row r="20" spans="1:13" ht="18.75" customHeight="1">
      <c r="A20" s="294" t="str">
        <f t="shared" si="2"/>
        <v>NL</v>
      </c>
      <c r="B20" s="295">
        <f t="shared" si="5"/>
        <v>3</v>
      </c>
      <c r="C20" s="298" t="s">
        <v>382</v>
      </c>
      <c r="D20" s="297" t="s">
        <v>383</v>
      </c>
      <c r="E20" s="8"/>
      <c r="F20" s="8"/>
      <c r="G20" s="25">
        <f t="array" ref="G20">SUM(IF("1521"&amp;C20=KHN&amp;MH,SL))</f>
        <v>50</v>
      </c>
      <c r="H20" s="25">
        <f t="array" ref="H20">SUM(IF("1521"&amp;C20=KHN&amp;MH,TH))</f>
        <v>1395050</v>
      </c>
      <c r="I20" s="25">
        <f t="array" ref="I20">SUM(IF("1521"&amp;C20=KHC&amp;MH,SL))</f>
        <v>50</v>
      </c>
      <c r="J20" s="25">
        <f t="array" ref="J20">SUM(IF("1521"&amp;C20=KHC&amp;MH,TH))</f>
        <v>1395050</v>
      </c>
      <c r="K20" s="8">
        <f t="shared" si="3"/>
        <v>0</v>
      </c>
      <c r="L20" s="8">
        <f t="shared" si="4"/>
        <v>0</v>
      </c>
      <c r="M20" s="294"/>
    </row>
    <row r="21" spans="1:13" ht="18.75" customHeight="1">
      <c r="A21" s="294" t="str">
        <f t="shared" si="2"/>
        <v>NL</v>
      </c>
      <c r="B21" s="818">
        <f t="shared" si="5"/>
        <v>4</v>
      </c>
      <c r="C21" s="298" t="s">
        <v>1432</v>
      </c>
      <c r="D21" s="297" t="s">
        <v>383</v>
      </c>
      <c r="E21" s="8"/>
      <c r="F21" s="8"/>
      <c r="G21" s="25">
        <f t="array" ref="G21">SUM(IF("1521"&amp;C21=KHN&amp;MH,SL))</f>
        <v>70</v>
      </c>
      <c r="H21" s="25">
        <f t="array" ref="H21">SUM(IF("1521"&amp;C21=KHN&amp;MH,TH))</f>
        <v>1184750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70</v>
      </c>
      <c r="L21" s="8">
        <f t="shared" ref="L21:L23" si="7">F21+H21-J21</f>
        <v>1184750</v>
      </c>
      <c r="M21" s="294"/>
    </row>
    <row r="22" spans="1:13" ht="18" customHeight="1">
      <c r="A22" s="294" t="str">
        <f t="shared" si="2"/>
        <v>NL</v>
      </c>
      <c r="B22" s="818">
        <f t="shared" si="5"/>
        <v>5</v>
      </c>
      <c r="C22" s="189" t="s">
        <v>385</v>
      </c>
      <c r="D22" s="297" t="s">
        <v>383</v>
      </c>
      <c r="E22" s="8"/>
      <c r="F22" s="8"/>
      <c r="G22" s="25">
        <f t="array" ref="G22">SUM(IF("1521"&amp;C22=KHN&amp;MH,SL))</f>
        <v>2500</v>
      </c>
      <c r="H22" s="25">
        <f t="array" ref="H22">SUM(IF("1521"&amp;C22=KHN&amp;MH,TH))</f>
        <v>15310000</v>
      </c>
      <c r="I22" s="25">
        <f t="array" ref="I22">SUM(IF("1521"&amp;C22=KHC&amp;MH,SL))</f>
        <v>2500</v>
      </c>
      <c r="J22" s="25">
        <f t="array" ref="J22">SUM(IF("1521"&amp;C22=KHC&amp;MH,TH))</f>
        <v>15310000</v>
      </c>
      <c r="K22" s="8">
        <f t="shared" si="6"/>
        <v>0</v>
      </c>
      <c r="L22" s="8">
        <f t="shared" si="7"/>
        <v>0</v>
      </c>
      <c r="M22" s="294"/>
    </row>
    <row r="23" spans="1:13" ht="18" customHeight="1">
      <c r="A23" s="294" t="str">
        <f t="shared" si="2"/>
        <v>NL</v>
      </c>
      <c r="B23" s="818">
        <f t="shared" si="5"/>
        <v>6</v>
      </c>
      <c r="C23" s="189" t="s">
        <v>387</v>
      </c>
      <c r="D23" s="297" t="s">
        <v>383</v>
      </c>
      <c r="E23" s="8"/>
      <c r="F23" s="8"/>
      <c r="G23" s="25">
        <f t="array" ref="G23">SUM(IF("1521"&amp;C23=KHN&amp;MH,SL))</f>
        <v>2500</v>
      </c>
      <c r="H23" s="25">
        <f t="array" ref="H23">SUM(IF("1521"&amp;C23=KHN&amp;MH,TH))</f>
        <v>11122500</v>
      </c>
      <c r="I23" s="25">
        <f t="array" ref="I23">SUM(IF("1521"&amp;C23=KHC&amp;MH,SL))</f>
        <v>2500</v>
      </c>
      <c r="J23" s="25">
        <f t="array" ref="J23">SUM(IF("1521"&amp;C23=KHC&amp;MH,TH))</f>
        <v>11122500</v>
      </c>
      <c r="K23" s="8">
        <f t="shared" si="6"/>
        <v>0</v>
      </c>
      <c r="L23" s="8">
        <f t="shared" si="7"/>
        <v>0</v>
      </c>
      <c r="M23" s="294"/>
    </row>
    <row r="24" spans="1:13" ht="18" customHeight="1">
      <c r="A24" s="294" t="str">
        <f t="shared" si="2"/>
        <v>NL</v>
      </c>
      <c r="B24" s="295">
        <f t="shared" si="5"/>
        <v>7</v>
      </c>
      <c r="C24" s="189" t="s">
        <v>399</v>
      </c>
      <c r="D24" s="297" t="s">
        <v>383</v>
      </c>
      <c r="E24" s="8"/>
      <c r="F24" s="8"/>
      <c r="G24" s="25">
        <f t="array" ref="G24">SUM(IF("1521"&amp;C24=KHN&amp;MH,SL))</f>
        <v>50</v>
      </c>
      <c r="H24" s="25">
        <f t="array" ref="H24">SUM(IF("1521"&amp;C24=KHN&amp;MH,TH))</f>
        <v>799900</v>
      </c>
      <c r="I24" s="25">
        <f t="array" ref="I24">SUM(IF("1521"&amp;C24=KHC&amp;MH,SL))</f>
        <v>50</v>
      </c>
      <c r="J24" s="25">
        <f t="array" ref="J24">SUM(IF("1521"&amp;C24=KHC&amp;MH,TH))</f>
        <v>799900</v>
      </c>
      <c r="K24" s="8">
        <f t="shared" si="3"/>
        <v>0</v>
      </c>
      <c r="L24" s="8">
        <f t="shared" si="4"/>
        <v>0</v>
      </c>
      <c r="M24" s="294"/>
    </row>
    <row r="25" spans="1:13" ht="18" customHeight="1">
      <c r="A25" s="294" t="str">
        <f t="shared" si="2"/>
        <v>NL</v>
      </c>
      <c r="B25" s="295">
        <f t="shared" si="5"/>
        <v>8</v>
      </c>
      <c r="C25" s="189" t="s">
        <v>400</v>
      </c>
      <c r="D25" s="297" t="s">
        <v>383</v>
      </c>
      <c r="E25" s="8"/>
      <c r="F25" s="8"/>
      <c r="G25" s="25">
        <f t="array" ref="G25">SUM(IF("1521"&amp;C25=KHN&amp;MH,SL))</f>
        <v>50</v>
      </c>
      <c r="H25" s="25">
        <f t="array" ref="H25">SUM(IF("1521"&amp;C25=KHN&amp;MH,TH))</f>
        <v>541500</v>
      </c>
      <c r="I25" s="25">
        <f t="array" ref="I25">SUM(IF("1521"&amp;C25=KHC&amp;MH,SL))</f>
        <v>50</v>
      </c>
      <c r="J25" s="25">
        <f t="array" ref="J25">SUM(IF("1521"&amp;C25=KHC&amp;MH,TH))</f>
        <v>541500</v>
      </c>
      <c r="K25" s="8">
        <f t="shared" si="3"/>
        <v>0</v>
      </c>
      <c r="L25" s="8">
        <f t="shared" si="4"/>
        <v>0</v>
      </c>
      <c r="M25" s="294"/>
    </row>
    <row r="26" spans="1:13" ht="18" customHeight="1">
      <c r="A26" s="294" t="str">
        <f t="shared" si="2"/>
        <v>NL</v>
      </c>
      <c r="B26" s="295">
        <f t="shared" si="5"/>
        <v>9</v>
      </c>
      <c r="C26" s="189" t="s">
        <v>401</v>
      </c>
      <c r="D26" s="297" t="s">
        <v>383</v>
      </c>
      <c r="E26" s="8"/>
      <c r="F26" s="8"/>
      <c r="G26" s="25">
        <f t="array" ref="G26">SUM(IF("1521"&amp;C26=KHN&amp;MH,SL))</f>
        <v>10</v>
      </c>
      <c r="H26" s="25">
        <f t="array" ref="H26">SUM(IF("1521"&amp;C26=KHN&amp;MH,TH))</f>
        <v>367920</v>
      </c>
      <c r="I26" s="25">
        <f t="array" ref="I26">SUM(IF("1521"&amp;C26=KHC&amp;MH,SL))</f>
        <v>10</v>
      </c>
      <c r="J26" s="25">
        <f t="array" ref="J26">SUM(IF("1521"&amp;C26=KHC&amp;MH,TH))</f>
        <v>367920</v>
      </c>
      <c r="K26" s="8">
        <f t="shared" si="3"/>
        <v>0</v>
      </c>
      <c r="L26" s="8">
        <f t="shared" si="4"/>
        <v>0</v>
      </c>
      <c r="M26" s="294"/>
    </row>
    <row r="27" spans="1:13" ht="18" customHeight="1">
      <c r="A27" s="294" t="str">
        <f t="shared" si="2"/>
        <v>NL</v>
      </c>
      <c r="B27" s="295">
        <f t="shared" si="5"/>
        <v>10</v>
      </c>
      <c r="C27" s="189" t="s">
        <v>402</v>
      </c>
      <c r="D27" s="297" t="s">
        <v>383</v>
      </c>
      <c r="E27" s="8"/>
      <c r="F27" s="8"/>
      <c r="G27" s="25">
        <f t="array" ref="G27">SUM(IF("1521"&amp;C27=KHN&amp;MH,SL))</f>
        <v>152</v>
      </c>
      <c r="H27" s="25">
        <f t="array" ref="H27">SUM(IF("1521"&amp;C27=KHN&amp;MH,TH))</f>
        <v>3697400</v>
      </c>
      <c r="I27" s="25">
        <f t="array" ref="I27">SUM(IF("1521"&amp;C27=KHC&amp;MH,SL))</f>
        <v>152</v>
      </c>
      <c r="J27" s="25">
        <f t="array" ref="J27">SUM(IF("1521"&amp;C27=KHC&amp;MH,TH))</f>
        <v>3697400</v>
      </c>
      <c r="K27" s="8">
        <f t="shared" si="3"/>
        <v>0</v>
      </c>
      <c r="L27" s="8">
        <f t="shared" si="4"/>
        <v>0</v>
      </c>
      <c r="M27" s="294"/>
    </row>
    <row r="28" spans="1:13" ht="18" customHeight="1">
      <c r="A28" s="294" t="str">
        <f t="shared" si="2"/>
        <v>NL</v>
      </c>
      <c r="B28" s="295">
        <f t="shared" si="5"/>
        <v>11</v>
      </c>
      <c r="C28" s="298" t="s">
        <v>478</v>
      </c>
      <c r="D28" s="297" t="s">
        <v>383</v>
      </c>
      <c r="E28" s="8"/>
      <c r="F28" s="8"/>
      <c r="G28" s="25">
        <f t="array" ref="G28">SUM(IF("1521"&amp;C28=KHN&amp;MH,SL))</f>
        <v>3010</v>
      </c>
      <c r="H28" s="25">
        <f t="array" ref="H28">SUM(IF("1521"&amp;C28=KHN&amp;MH,TH))</f>
        <v>13821920</v>
      </c>
      <c r="I28" s="25">
        <f t="array" ref="I28">SUM(IF("1521"&amp;C28=KHC&amp;MH,SL))</f>
        <v>3010</v>
      </c>
      <c r="J28" s="25">
        <f t="array" ref="J28">SUM(IF("1521"&amp;C28=KHC&amp;MH,TH))</f>
        <v>13821920</v>
      </c>
      <c r="K28" s="8">
        <f t="shared" si="3"/>
        <v>0</v>
      </c>
      <c r="L28" s="8">
        <f t="shared" si="4"/>
        <v>0</v>
      </c>
      <c r="M28" s="294"/>
    </row>
    <row r="29" spans="1:13" ht="18" customHeight="1">
      <c r="A29" s="294" t="str">
        <f t="shared" si="2"/>
        <v>NL</v>
      </c>
      <c r="B29" s="295">
        <f t="shared" si="5"/>
        <v>12</v>
      </c>
      <c r="C29" s="298" t="s">
        <v>479</v>
      </c>
      <c r="D29" s="297" t="s">
        <v>383</v>
      </c>
      <c r="E29" s="8"/>
      <c r="F29" s="8"/>
      <c r="G29" s="25">
        <f t="array" ref="G29">SUM(IF("1521"&amp;C29=KHN&amp;MH,SL))</f>
        <v>3010</v>
      </c>
      <c r="H29" s="25">
        <f t="array" ref="H29">SUM(IF("1521"&amp;C29=KHN&amp;MH,TH))</f>
        <v>18138260</v>
      </c>
      <c r="I29" s="25">
        <f t="array" ref="I29">SUM(IF("1521"&amp;C29=KHC&amp;MH,SL))</f>
        <v>3010</v>
      </c>
      <c r="J29" s="25">
        <f t="array" ref="J29">SUM(IF("1521"&amp;C29=KHC&amp;MH,TH))</f>
        <v>18138260</v>
      </c>
      <c r="K29" s="8">
        <f t="shared" si="3"/>
        <v>0</v>
      </c>
      <c r="L29" s="8">
        <f t="shared" si="4"/>
        <v>0</v>
      </c>
      <c r="M29" s="294"/>
    </row>
    <row r="30" spans="1:13" ht="18" customHeight="1">
      <c r="A30" s="294" t="str">
        <f t="shared" si="2"/>
        <v>NL</v>
      </c>
      <c r="B30" s="295">
        <f t="shared" si="5"/>
        <v>13</v>
      </c>
      <c r="C30" s="298" t="s">
        <v>480</v>
      </c>
      <c r="D30" s="297" t="s">
        <v>383</v>
      </c>
      <c r="E30" s="8"/>
      <c r="F30" s="8"/>
      <c r="G30" s="25">
        <f t="array" ref="G30">SUM(IF("1521"&amp;C30=KHN&amp;MH,SL))</f>
        <v>235</v>
      </c>
      <c r="H30" s="25">
        <f t="array" ref="H30">SUM(IF("1521"&amp;C30=KHN&amp;MH,TH))</f>
        <v>3789375</v>
      </c>
      <c r="I30" s="25">
        <f t="array" ref="I30">SUM(IF("1521"&amp;C30=KHC&amp;MH,SL))</f>
        <v>235</v>
      </c>
      <c r="J30" s="25">
        <f t="array" ref="J30">SUM(IF("1521"&amp;C30=KHC&amp;MH,TH))</f>
        <v>3789375</v>
      </c>
      <c r="K30" s="8">
        <f t="shared" si="3"/>
        <v>0</v>
      </c>
      <c r="L30" s="8">
        <f t="shared" si="4"/>
        <v>0</v>
      </c>
      <c r="M30" s="294"/>
    </row>
    <row r="31" spans="1:13" ht="18" customHeight="1">
      <c r="A31" s="294" t="str">
        <f t="shared" si="2"/>
        <v>NL</v>
      </c>
      <c r="B31" s="295">
        <f t="shared" si="5"/>
        <v>14</v>
      </c>
      <c r="C31" s="298" t="s">
        <v>481</v>
      </c>
      <c r="D31" s="297" t="s">
        <v>383</v>
      </c>
      <c r="E31" s="8"/>
      <c r="F31" s="8"/>
      <c r="G31" s="25">
        <f t="array" ref="G31">SUM(IF("1521"&amp;C31=KHN&amp;MH,SL))</f>
        <v>1500</v>
      </c>
      <c r="H31" s="25">
        <f t="array" ref="H31">SUM(IF("1521"&amp;C31=KHN&amp;MH,TH))</f>
        <v>37800000</v>
      </c>
      <c r="I31" s="25">
        <f t="array" ref="I31">SUM(IF("1521"&amp;C31=KHC&amp;MH,SL))</f>
        <v>1500</v>
      </c>
      <c r="J31" s="25">
        <f t="array" ref="J31">SUM(IF("1521"&amp;C31=KHC&amp;MH,TH))</f>
        <v>37800000</v>
      </c>
      <c r="K31" s="8">
        <f t="shared" si="3"/>
        <v>0</v>
      </c>
      <c r="L31" s="8">
        <f t="shared" si="4"/>
        <v>0</v>
      </c>
      <c r="M31" s="294"/>
    </row>
    <row r="32" spans="1:13" ht="18" customHeight="1">
      <c r="A32" s="294" t="str">
        <f t="shared" si="2"/>
        <v>NL</v>
      </c>
      <c r="B32" s="295">
        <f t="shared" si="5"/>
        <v>15</v>
      </c>
      <c r="C32" s="298" t="s">
        <v>482</v>
      </c>
      <c r="D32" s="297" t="s">
        <v>383</v>
      </c>
      <c r="E32" s="8"/>
      <c r="F32" s="8"/>
      <c r="G32" s="25">
        <f t="array" ref="G32">SUM(IF("1521"&amp;C32=KHN&amp;MH,SL))</f>
        <v>447</v>
      </c>
      <c r="H32" s="25">
        <f t="array" ref="H32">SUM(IF("1521"&amp;C32=KHN&amp;MH,TH))</f>
        <v>12390840</v>
      </c>
      <c r="I32" s="25">
        <f t="array" ref="I32">SUM(IF("1521"&amp;C32=KHC&amp;MH,SL))</f>
        <v>447</v>
      </c>
      <c r="J32" s="25">
        <f t="array" ref="J32">SUM(IF("1521"&amp;C32=KHC&amp;MH,TH))</f>
        <v>12390840</v>
      </c>
      <c r="K32" s="8">
        <f t="shared" si="3"/>
        <v>0</v>
      </c>
      <c r="L32" s="8">
        <f t="shared" si="4"/>
        <v>0</v>
      </c>
      <c r="M32" s="294"/>
    </row>
    <row r="33" spans="1:13" ht="18" customHeight="1">
      <c r="A33" s="294" t="str">
        <f t="shared" si="2"/>
        <v>NL</v>
      </c>
      <c r="B33" s="295">
        <f t="shared" si="5"/>
        <v>16</v>
      </c>
      <c r="C33" s="298" t="s">
        <v>483</v>
      </c>
      <c r="D33" s="297" t="s">
        <v>383</v>
      </c>
      <c r="E33" s="8"/>
      <c r="F33" s="8"/>
      <c r="G33" s="25">
        <f t="array" ref="G33">SUM(IF("1521"&amp;C33=KHN&amp;MH,SL))</f>
        <v>52</v>
      </c>
      <c r="H33" s="25">
        <f t="array" ref="H33">SUM(IF("1521"&amp;C33=KHN&amp;MH,TH))</f>
        <v>1840280</v>
      </c>
      <c r="I33" s="25">
        <f t="array" ref="I33">SUM(IF("1521"&amp;C33=KHC&amp;MH,SL))</f>
        <v>52</v>
      </c>
      <c r="J33" s="25">
        <f t="array" ref="J33">SUM(IF("1521"&amp;C33=KHC&amp;MH,TH))</f>
        <v>1840280</v>
      </c>
      <c r="K33" s="8">
        <f t="shared" si="3"/>
        <v>0</v>
      </c>
      <c r="L33" s="8">
        <f t="shared" si="4"/>
        <v>0</v>
      </c>
      <c r="M33" s="294"/>
    </row>
    <row r="34" spans="1:13" ht="18" customHeight="1">
      <c r="A34" s="294" t="str">
        <f t="shared" si="2"/>
        <v>NL</v>
      </c>
      <c r="B34" s="295">
        <f t="shared" si="5"/>
        <v>17</v>
      </c>
      <c r="C34" s="189" t="s">
        <v>484</v>
      </c>
      <c r="D34" s="297" t="s">
        <v>383</v>
      </c>
      <c r="E34" s="8"/>
      <c r="F34" s="8"/>
      <c r="G34" s="25">
        <f t="array" ref="G34">SUM(IF("1521"&amp;C34=KHN&amp;MH,SL))</f>
        <v>230</v>
      </c>
      <c r="H34" s="25">
        <f t="array" ref="H34">SUM(IF("1521"&amp;C34=KHN&amp;MH,TH))</f>
        <v>4395760</v>
      </c>
      <c r="I34" s="25">
        <f t="array" ref="I34">SUM(IF("1521"&amp;C34=KHC&amp;MH,SL))</f>
        <v>230</v>
      </c>
      <c r="J34" s="25">
        <f t="array" ref="J34">SUM(IF("1521"&amp;C34=KHC&amp;MH,TH))</f>
        <v>4395760</v>
      </c>
      <c r="K34" s="8">
        <f t="shared" si="3"/>
        <v>0</v>
      </c>
      <c r="L34" s="8">
        <f t="shared" si="4"/>
        <v>0</v>
      </c>
      <c r="M34" s="294"/>
    </row>
    <row r="35" spans="1:13" ht="18" customHeight="1">
      <c r="A35" s="294" t="str">
        <f t="shared" si="2"/>
        <v>NL</v>
      </c>
      <c r="B35" s="295">
        <f t="shared" si="5"/>
        <v>18</v>
      </c>
      <c r="C35" s="189" t="s">
        <v>485</v>
      </c>
      <c r="D35" s="297" t="s">
        <v>383</v>
      </c>
      <c r="E35" s="8"/>
      <c r="F35" s="8"/>
      <c r="G35" s="25">
        <f t="array" ref="G35">SUM(IF("1521"&amp;C35=KHN&amp;MH,SL))</f>
        <v>95</v>
      </c>
      <c r="H35" s="25">
        <f t="array" ref="H35">SUM(IF("1521"&amp;C35=KHN&amp;MH,TH))</f>
        <v>3042375</v>
      </c>
      <c r="I35" s="25">
        <f t="array" ref="I35">SUM(IF("1521"&amp;C35=KHC&amp;MH,SL))</f>
        <v>95</v>
      </c>
      <c r="J35" s="25">
        <f t="array" ref="J35">SUM(IF("1521"&amp;C35=KHC&amp;MH,TH))</f>
        <v>3042375</v>
      </c>
      <c r="K35" s="8">
        <f t="shared" si="3"/>
        <v>0</v>
      </c>
      <c r="L35" s="8">
        <f t="shared" si="4"/>
        <v>0</v>
      </c>
      <c r="M35" s="294"/>
    </row>
    <row r="36" spans="1:13" ht="18" customHeight="1">
      <c r="A36" s="294" t="str">
        <f t="shared" si="2"/>
        <v>NL</v>
      </c>
      <c r="B36" s="295">
        <f t="shared" si="5"/>
        <v>19</v>
      </c>
      <c r="C36" s="189" t="s">
        <v>488</v>
      </c>
      <c r="D36" s="297" t="s">
        <v>383</v>
      </c>
      <c r="E36" s="8"/>
      <c r="F36" s="8"/>
      <c r="G36" s="25">
        <f t="array" ref="G36">SUM(IF("1521"&amp;C36=KHN&amp;MH,SL))</f>
        <v>90</v>
      </c>
      <c r="H36" s="25">
        <f t="array" ref="H36">SUM(IF("1521"&amp;C36=KHN&amp;MH,TH))</f>
        <v>1455570</v>
      </c>
      <c r="I36" s="25">
        <f t="array" ref="I36">SUM(IF("1521"&amp;C36=KHC&amp;MH,SL))</f>
        <v>90</v>
      </c>
      <c r="J36" s="25">
        <f t="array" ref="J36">SUM(IF("1521"&amp;C36=KHC&amp;MH,TH))</f>
        <v>1455570</v>
      </c>
      <c r="K36" s="8">
        <f t="shared" si="3"/>
        <v>0</v>
      </c>
      <c r="L36" s="8">
        <f t="shared" si="4"/>
        <v>0</v>
      </c>
      <c r="M36" s="294"/>
    </row>
    <row r="37" spans="1:13" ht="18" customHeight="1">
      <c r="A37" s="294" t="str">
        <f t="shared" si="2"/>
        <v>NL</v>
      </c>
      <c r="B37" s="295">
        <f t="shared" si="5"/>
        <v>20</v>
      </c>
      <c r="C37" s="189" t="s">
        <v>489</v>
      </c>
      <c r="D37" s="297" t="s">
        <v>383</v>
      </c>
      <c r="E37" s="8"/>
      <c r="F37" s="8"/>
      <c r="G37" s="25">
        <f t="array" ref="G37">SUM(IF("1521"&amp;C37=KHN&amp;MH,SL))</f>
        <v>912</v>
      </c>
      <c r="H37" s="25">
        <f t="array" ref="H37">SUM(IF("1521"&amp;C37=KHN&amp;MH,TH))</f>
        <v>15435600</v>
      </c>
      <c r="I37" s="25">
        <f t="array" ref="I37">SUM(IF("1521"&amp;C37=KHC&amp;MH,SL))</f>
        <v>912</v>
      </c>
      <c r="J37" s="25">
        <f t="array" ref="J37">SUM(IF("1521"&amp;C37=KHC&amp;MH,TH))</f>
        <v>15435600</v>
      </c>
      <c r="K37" s="8">
        <f t="shared" si="3"/>
        <v>0</v>
      </c>
      <c r="L37" s="8">
        <f t="shared" si="4"/>
        <v>0</v>
      </c>
      <c r="M37" s="294"/>
    </row>
    <row r="38" spans="1:13" ht="18" customHeight="1">
      <c r="A38" s="294" t="str">
        <f t="shared" si="2"/>
        <v>NL</v>
      </c>
      <c r="B38" s="295">
        <f t="shared" si="5"/>
        <v>21</v>
      </c>
      <c r="C38" s="189" t="s">
        <v>490</v>
      </c>
      <c r="D38" s="297" t="s">
        <v>383</v>
      </c>
      <c r="E38" s="8"/>
      <c r="F38" s="8"/>
      <c r="G38" s="25">
        <f t="array" ref="G38">SUM(IF("1521"&amp;C38=KHN&amp;MH,SL))</f>
        <v>828</v>
      </c>
      <c r="H38" s="25">
        <f t="array" ref="H38">SUM(IF("1521"&amp;C38=KHN&amp;MH,TH))</f>
        <v>14429556</v>
      </c>
      <c r="I38" s="25">
        <f t="array" ref="I38">SUM(IF("1521"&amp;C38=KHC&amp;MH,SL))</f>
        <v>828</v>
      </c>
      <c r="J38" s="25">
        <f t="array" ref="J38">SUM(IF("1521"&amp;C38=KHC&amp;MH,TH))</f>
        <v>14429556</v>
      </c>
      <c r="K38" s="8">
        <f t="shared" si="3"/>
        <v>0</v>
      </c>
      <c r="L38" s="8">
        <f t="shared" si="4"/>
        <v>0</v>
      </c>
      <c r="M38" s="294"/>
    </row>
    <row r="39" spans="1:13" ht="18" customHeight="1">
      <c r="A39" s="294" t="str">
        <f t="shared" si="2"/>
        <v>NL</v>
      </c>
      <c r="B39" s="295">
        <f t="shared" si="5"/>
        <v>22</v>
      </c>
      <c r="C39" s="189" t="s">
        <v>491</v>
      </c>
      <c r="D39" s="297" t="s">
        <v>383</v>
      </c>
      <c r="E39" s="8"/>
      <c r="F39" s="8"/>
      <c r="G39" s="25">
        <f t="array" ref="G39">SUM(IF("1521"&amp;C39=KHN&amp;MH,SL))</f>
        <v>640</v>
      </c>
      <c r="H39" s="25">
        <f t="array" ref="H39">SUM(IF("1521"&amp;C39=KHN&amp;MH,TH))</f>
        <v>14434560</v>
      </c>
      <c r="I39" s="25">
        <f t="array" ref="I39">SUM(IF("1521"&amp;C39=KHC&amp;MH,SL))</f>
        <v>640</v>
      </c>
      <c r="J39" s="25">
        <f t="array" ref="J39">SUM(IF("1521"&amp;C39=KHC&amp;MH,TH))</f>
        <v>14434560</v>
      </c>
      <c r="K39" s="8">
        <f t="shared" si="3"/>
        <v>0</v>
      </c>
      <c r="L39" s="8">
        <f t="shared" si="4"/>
        <v>0</v>
      </c>
      <c r="M39" s="294"/>
    </row>
    <row r="40" spans="1:13" ht="18" customHeight="1">
      <c r="A40" s="294" t="str">
        <f t="shared" si="2"/>
        <v>NL</v>
      </c>
      <c r="B40" s="295">
        <f t="shared" si="5"/>
        <v>23</v>
      </c>
      <c r="C40" s="189" t="s">
        <v>492</v>
      </c>
      <c r="D40" s="297" t="s">
        <v>383</v>
      </c>
      <c r="E40" s="8"/>
      <c r="F40" s="8"/>
      <c r="G40" s="25">
        <f t="array" ref="G40">SUM(IF("1521"&amp;C40=KHN&amp;MH,SL))</f>
        <v>415</v>
      </c>
      <c r="H40" s="25">
        <f t="array" ref="H40">SUM(IF("1521"&amp;C40=KHN&amp;MH,TH))</f>
        <v>9842140</v>
      </c>
      <c r="I40" s="25">
        <f t="array" ref="I40">SUM(IF("1521"&amp;C40=KHC&amp;MH,SL))</f>
        <v>415</v>
      </c>
      <c r="J40" s="25">
        <f t="array" ref="J40">SUM(IF("1521"&amp;C40=KHC&amp;MH,TH))</f>
        <v>9842140</v>
      </c>
      <c r="K40" s="8">
        <f t="shared" si="3"/>
        <v>0</v>
      </c>
      <c r="L40" s="8">
        <f t="shared" si="4"/>
        <v>0</v>
      </c>
      <c r="M40" s="294"/>
    </row>
    <row r="41" spans="1:13" ht="18" customHeight="1">
      <c r="A41" s="294" t="str">
        <f t="shared" si="2"/>
        <v>NL</v>
      </c>
      <c r="B41" s="295">
        <f t="shared" si="5"/>
        <v>24</v>
      </c>
      <c r="C41" s="189" t="s">
        <v>493</v>
      </c>
      <c r="D41" s="297" t="s">
        <v>383</v>
      </c>
      <c r="E41" s="8"/>
      <c r="F41" s="8"/>
      <c r="G41" s="25">
        <f t="array" ref="G41">SUM(IF("1521"&amp;C41=KHN&amp;MH,SL))</f>
        <v>202</v>
      </c>
      <c r="H41" s="25">
        <f t="array" ref="H41">SUM(IF("1521"&amp;C41=KHN&amp;MH,TH))</f>
        <v>4606812</v>
      </c>
      <c r="I41" s="25">
        <f t="array" ref="I41">SUM(IF("1521"&amp;C41=KHC&amp;MH,SL))</f>
        <v>202</v>
      </c>
      <c r="J41" s="25">
        <f t="array" ref="J41">SUM(IF("1521"&amp;C41=KHC&amp;MH,TH))</f>
        <v>4606812</v>
      </c>
      <c r="K41" s="8">
        <f t="shared" si="3"/>
        <v>0</v>
      </c>
      <c r="L41" s="8">
        <f t="shared" si="4"/>
        <v>0</v>
      </c>
      <c r="M41" s="294"/>
    </row>
    <row r="42" spans="1:13" ht="18" customHeight="1">
      <c r="A42" s="294" t="str">
        <f t="shared" si="2"/>
        <v>NL</v>
      </c>
      <c r="B42" s="295">
        <f t="shared" si="5"/>
        <v>25</v>
      </c>
      <c r="C42" s="189" t="s">
        <v>494</v>
      </c>
      <c r="D42" s="297" t="s">
        <v>383</v>
      </c>
      <c r="E42" s="8"/>
      <c r="F42" s="8"/>
      <c r="G42" s="25">
        <f t="array" ref="G42">SUM(IF("1521"&amp;C42=KHN&amp;MH,SL))</f>
        <v>202</v>
      </c>
      <c r="H42" s="25">
        <f t="array" ref="H42">SUM(IF("1521"&amp;C42=KHN&amp;MH,TH))</f>
        <v>3994146</v>
      </c>
      <c r="I42" s="25">
        <f t="array" ref="I42">SUM(IF("1521"&amp;C42=KHC&amp;MH,SL))</f>
        <v>202</v>
      </c>
      <c r="J42" s="25">
        <f t="array" ref="J42">SUM(IF("1521"&amp;C42=KHC&amp;MH,TH))</f>
        <v>3994146</v>
      </c>
      <c r="K42" s="8">
        <f t="shared" si="3"/>
        <v>0</v>
      </c>
      <c r="L42" s="8">
        <f t="shared" si="4"/>
        <v>0</v>
      </c>
      <c r="M42" s="294"/>
    </row>
    <row r="43" spans="1:13" ht="18" customHeight="1">
      <c r="A43" s="294" t="str">
        <f t="shared" si="2"/>
        <v>NL</v>
      </c>
      <c r="B43" s="295">
        <f t="shared" si="5"/>
        <v>26</v>
      </c>
      <c r="C43" s="189" t="s">
        <v>495</v>
      </c>
      <c r="D43" s="297" t="s">
        <v>383</v>
      </c>
      <c r="E43" s="8"/>
      <c r="F43" s="8"/>
      <c r="G43" s="25">
        <f t="array" ref="G43">SUM(IF("1521"&amp;C43=KHN&amp;MH,SL))</f>
        <v>52</v>
      </c>
      <c r="H43" s="25">
        <f t="array" ref="H43">SUM(IF("1521"&amp;C43=KHN&amp;MH,TH))</f>
        <v>2283008</v>
      </c>
      <c r="I43" s="25">
        <f t="array" ref="I43">SUM(IF("1521"&amp;C43=KHC&amp;MH,SL))</f>
        <v>52</v>
      </c>
      <c r="J43" s="25">
        <f t="array" ref="J43">SUM(IF("1521"&amp;C43=KHC&amp;MH,TH))</f>
        <v>2283008</v>
      </c>
      <c r="K43" s="8">
        <f t="shared" si="3"/>
        <v>0</v>
      </c>
      <c r="L43" s="8">
        <f t="shared" si="4"/>
        <v>0</v>
      </c>
      <c r="M43" s="294"/>
    </row>
    <row r="44" spans="1:13" ht="18" customHeight="1">
      <c r="A44" s="294" t="str">
        <f t="shared" si="2"/>
        <v>NL</v>
      </c>
      <c r="B44" s="295">
        <f t="shared" si="5"/>
        <v>27</v>
      </c>
      <c r="C44" s="189" t="s">
        <v>497</v>
      </c>
      <c r="D44" s="297" t="s">
        <v>383</v>
      </c>
      <c r="E44" s="8"/>
      <c r="F44" s="8"/>
      <c r="G44" s="25">
        <f t="array" ref="G44">SUM(IF("1521"&amp;C44=KHN&amp;MH,SL))</f>
        <v>598</v>
      </c>
      <c r="H44" s="25">
        <f t="array" ref="H44">SUM(IF("1521"&amp;C44=KHN&amp;MH,TH))</f>
        <v>6929026</v>
      </c>
      <c r="I44" s="25">
        <f t="array" ref="I44">SUM(IF("1521"&amp;C44=KHC&amp;MH,SL))</f>
        <v>598</v>
      </c>
      <c r="J44" s="25">
        <f t="array" ref="J44">SUM(IF("1521"&amp;C44=KHC&amp;MH,TH))</f>
        <v>6929026</v>
      </c>
      <c r="K44" s="8">
        <f t="shared" si="3"/>
        <v>0</v>
      </c>
      <c r="L44" s="8">
        <f t="shared" si="4"/>
        <v>0</v>
      </c>
      <c r="M44" s="294"/>
    </row>
    <row r="45" spans="1:13" ht="18" customHeight="1">
      <c r="A45" s="294" t="str">
        <f t="shared" si="2"/>
        <v>NL</v>
      </c>
      <c r="B45" s="295">
        <f t="shared" si="5"/>
        <v>28</v>
      </c>
      <c r="C45" s="189" t="s">
        <v>496</v>
      </c>
      <c r="D45" s="297" t="s">
        <v>383</v>
      </c>
      <c r="E45" s="8"/>
      <c r="F45" s="8"/>
      <c r="G45" s="25">
        <f t="array" ref="G45">SUM(IF("1521"&amp;C45=KHN&amp;MH,SL))</f>
        <v>125</v>
      </c>
      <c r="H45" s="25">
        <f t="array" ref="H45">SUM(IF("1521"&amp;C45=KHN&amp;MH,TH))</f>
        <v>2057750</v>
      </c>
      <c r="I45" s="25">
        <f t="array" ref="I45">SUM(IF("1521"&amp;C45=KHC&amp;MH,SL))</f>
        <v>125</v>
      </c>
      <c r="J45" s="25">
        <f t="array" ref="J45">SUM(IF("1521"&amp;C45=KHC&amp;MH,TH))</f>
        <v>2057750</v>
      </c>
      <c r="K45" s="8">
        <f t="shared" si="3"/>
        <v>0</v>
      </c>
      <c r="L45" s="8">
        <f t="shared" si="4"/>
        <v>0</v>
      </c>
      <c r="M45" s="294"/>
    </row>
    <row r="46" spans="1:13" ht="18" customHeight="1">
      <c r="A46" s="294" t="str">
        <f t="shared" si="2"/>
        <v>NL</v>
      </c>
      <c r="B46" s="295">
        <f t="shared" si="5"/>
        <v>29</v>
      </c>
      <c r="C46" s="189" t="s">
        <v>501</v>
      </c>
      <c r="D46" s="297" t="s">
        <v>383</v>
      </c>
      <c r="E46" s="8"/>
      <c r="F46" s="8"/>
      <c r="G46" s="25">
        <f t="array" ref="G46">SUM(IF("1521"&amp;C46=KHN&amp;MH,SL))</f>
        <v>250</v>
      </c>
      <c r="H46" s="25">
        <f t="array" ref="H46">SUM(IF("1521"&amp;C46=KHN&amp;MH,TH))</f>
        <v>3374500</v>
      </c>
      <c r="I46" s="25">
        <f t="array" ref="I46">SUM(IF("1521"&amp;C46=KHC&amp;MH,SL))</f>
        <v>250</v>
      </c>
      <c r="J46" s="25">
        <f t="array" ref="J46">SUM(IF("1521"&amp;C46=KHC&amp;MH,TH))</f>
        <v>3374500</v>
      </c>
      <c r="K46" s="8">
        <f t="shared" si="3"/>
        <v>0</v>
      </c>
      <c r="L46" s="8">
        <f t="shared" si="4"/>
        <v>0</v>
      </c>
      <c r="M46" s="294"/>
    </row>
    <row r="47" spans="1:13" ht="18" customHeight="1">
      <c r="A47" s="294" t="str">
        <f t="shared" si="2"/>
        <v>NL</v>
      </c>
      <c r="B47" s="295">
        <f t="shared" si="5"/>
        <v>30</v>
      </c>
      <c r="C47" s="189" t="s">
        <v>502</v>
      </c>
      <c r="D47" s="297" t="s">
        <v>383</v>
      </c>
      <c r="E47" s="8"/>
      <c r="F47" s="8"/>
      <c r="G47" s="25">
        <f t="array" ref="G47">SUM(IF("1521"&amp;C47=KHN&amp;MH,SL))</f>
        <v>500</v>
      </c>
      <c r="H47" s="25">
        <f t="array" ref="H47">SUM(IF("1521"&amp;C47=KHN&amp;MH,TH))</f>
        <v>2806000</v>
      </c>
      <c r="I47" s="25">
        <f t="array" ref="I47">SUM(IF("1521"&amp;C47=KHC&amp;MH,SL))</f>
        <v>500</v>
      </c>
      <c r="J47" s="25">
        <f t="array" ref="J47">SUM(IF("1521"&amp;C47=KHC&amp;MH,TH))</f>
        <v>2806000</v>
      </c>
      <c r="K47" s="8">
        <f t="shared" si="3"/>
        <v>0</v>
      </c>
      <c r="L47" s="8">
        <f t="shared" si="4"/>
        <v>0</v>
      </c>
      <c r="M47" s="294"/>
    </row>
    <row r="48" spans="1:13" ht="18" customHeight="1">
      <c r="A48" s="294" t="str">
        <f t="shared" si="2"/>
        <v>NL</v>
      </c>
      <c r="B48" s="295">
        <f t="shared" si="5"/>
        <v>31</v>
      </c>
      <c r="C48" s="189" t="s">
        <v>503</v>
      </c>
      <c r="D48" s="297" t="s">
        <v>383</v>
      </c>
      <c r="E48" s="8"/>
      <c r="F48" s="8"/>
      <c r="G48" s="25">
        <f t="array" ref="G48">SUM(IF("1521"&amp;C48=KHN&amp;MH,SL))</f>
        <v>400</v>
      </c>
      <c r="H48" s="25">
        <f t="array" ref="H48">SUM(IF("1521"&amp;C48=KHN&amp;MH,TH))</f>
        <v>2332400</v>
      </c>
      <c r="I48" s="25">
        <f t="array" ref="I48">SUM(IF("1521"&amp;C48=KHC&amp;MH,SL))</f>
        <v>400</v>
      </c>
      <c r="J48" s="25">
        <f t="array" ref="J48">SUM(IF("1521"&amp;C48=KHC&amp;MH,TH))</f>
        <v>2332400</v>
      </c>
      <c r="K48" s="8">
        <f t="shared" si="3"/>
        <v>0</v>
      </c>
      <c r="L48" s="8">
        <f t="shared" si="4"/>
        <v>0</v>
      </c>
      <c r="M48" s="294"/>
    </row>
    <row r="49" spans="1:13" ht="18" customHeight="1">
      <c r="A49" s="294" t="str">
        <f t="shared" si="2"/>
        <v>NL</v>
      </c>
      <c r="B49" s="295">
        <f t="shared" si="5"/>
        <v>32</v>
      </c>
      <c r="C49" s="189" t="s">
        <v>507</v>
      </c>
      <c r="D49" s="297" t="s">
        <v>383</v>
      </c>
      <c r="E49" s="8"/>
      <c r="F49" s="8"/>
      <c r="G49" s="25">
        <f t="array" ref="G49">SUM(IF("1521"&amp;C49=KHN&amp;MH,SL))</f>
        <v>1020</v>
      </c>
      <c r="H49" s="25">
        <f t="array" ref="H49">SUM(IF("1521"&amp;C49=KHN&amp;MH,TH))</f>
        <v>8792400</v>
      </c>
      <c r="I49" s="25">
        <f t="array" ref="I49">SUM(IF("1521"&amp;C49=KHC&amp;MH,SL))</f>
        <v>1020</v>
      </c>
      <c r="J49" s="25">
        <f t="array" ref="J49">SUM(IF("1521"&amp;C49=KHC&amp;MH,TH))</f>
        <v>8792400</v>
      </c>
      <c r="K49" s="8">
        <f t="shared" si="3"/>
        <v>0</v>
      </c>
      <c r="L49" s="8">
        <f t="shared" si="4"/>
        <v>0</v>
      </c>
      <c r="M49" s="294"/>
    </row>
    <row r="50" spans="1:13" ht="18" customHeight="1">
      <c r="A50" s="294" t="str">
        <f t="shared" si="2"/>
        <v>NL</v>
      </c>
      <c r="B50" s="295">
        <f t="shared" si="5"/>
        <v>33</v>
      </c>
      <c r="C50" s="189" t="s">
        <v>508</v>
      </c>
      <c r="D50" s="297" t="s">
        <v>383</v>
      </c>
      <c r="E50" s="8"/>
      <c r="F50" s="8"/>
      <c r="G50" s="25">
        <f t="array" ref="G50">SUM(IF("1521"&amp;C50=KHN&amp;MH,SL))</f>
        <v>100</v>
      </c>
      <c r="H50" s="25">
        <f t="array" ref="H50">SUM(IF("1521"&amp;C50=KHN&amp;MH,TH))</f>
        <v>1212200</v>
      </c>
      <c r="I50" s="25">
        <f t="array" ref="I50">SUM(IF("1521"&amp;C50=KHC&amp;MH,SL))</f>
        <v>100</v>
      </c>
      <c r="J50" s="25">
        <f t="array" ref="J50">SUM(IF("1521"&amp;C50=KHC&amp;MH,TH))</f>
        <v>1212200</v>
      </c>
      <c r="K50" s="8">
        <f t="shared" si="3"/>
        <v>0</v>
      </c>
      <c r="L50" s="8">
        <f t="shared" si="4"/>
        <v>0</v>
      </c>
      <c r="M50" s="294"/>
    </row>
    <row r="51" spans="1:13" ht="18" customHeight="1">
      <c r="A51" s="294" t="str">
        <f t="shared" ref="A51:A82" si="8">IF(B51&lt;&gt;"","NL","")</f>
        <v>NL</v>
      </c>
      <c r="B51" s="295">
        <f t="shared" si="5"/>
        <v>34</v>
      </c>
      <c r="C51" s="189" t="s">
        <v>509</v>
      </c>
      <c r="D51" s="297" t="s">
        <v>383</v>
      </c>
      <c r="E51" s="8"/>
      <c r="F51" s="8"/>
      <c r="G51" s="25">
        <f t="array" ref="G51">SUM(IF("1521"&amp;C51=KHN&amp;MH,SL))</f>
        <v>200</v>
      </c>
      <c r="H51" s="25">
        <f t="array" ref="H51">SUM(IF("1521"&amp;C51=KHN&amp;MH,TH))</f>
        <v>2956800</v>
      </c>
      <c r="I51" s="25">
        <f t="array" ref="I51">SUM(IF("1521"&amp;C51=KHC&amp;MH,SL))</f>
        <v>200</v>
      </c>
      <c r="J51" s="25">
        <f t="array" ref="J51">SUM(IF("1521"&amp;C51=KHC&amp;MH,TH))</f>
        <v>2956800</v>
      </c>
      <c r="K51" s="8">
        <f t="shared" ref="K51:K82" si="9">E51+G51-I51</f>
        <v>0</v>
      </c>
      <c r="L51" s="8">
        <f t="shared" ref="L51:L82" si="10">F51+H51-J51</f>
        <v>0</v>
      </c>
      <c r="M51" s="294"/>
    </row>
    <row r="52" spans="1:13" ht="18" customHeight="1">
      <c r="A52" s="294" t="str">
        <f t="shared" si="8"/>
        <v>NL</v>
      </c>
      <c r="B52" s="295">
        <f t="shared" ref="B52:B83" si="11">IF(C52&lt;&gt;"",B51+1,"")</f>
        <v>35</v>
      </c>
      <c r="C52" s="189" t="s">
        <v>514</v>
      </c>
      <c r="D52" s="297" t="s">
        <v>383</v>
      </c>
      <c r="E52" s="8"/>
      <c r="F52" s="8"/>
      <c r="G52" s="25">
        <f t="array" ref="G52">SUM(IF("1521"&amp;C52=KHN&amp;MH,SL))</f>
        <v>346</v>
      </c>
      <c r="H52" s="25">
        <f t="array" ref="H52">SUM(IF("1521"&amp;C52=KHN&amp;MH,TH))</f>
        <v>5275116</v>
      </c>
      <c r="I52" s="25">
        <f t="array" ref="I52">SUM(IF("1521"&amp;C52=KHC&amp;MH,SL))</f>
        <v>346</v>
      </c>
      <c r="J52" s="25">
        <f t="array" ref="J52">SUM(IF("1521"&amp;C52=KHC&amp;MH,TH))</f>
        <v>5275116</v>
      </c>
      <c r="K52" s="8">
        <f t="shared" si="9"/>
        <v>0</v>
      </c>
      <c r="L52" s="8">
        <f t="shared" si="10"/>
        <v>0</v>
      </c>
      <c r="M52" s="294"/>
    </row>
    <row r="53" spans="1:13" ht="18" customHeight="1">
      <c r="A53" s="294" t="str">
        <f t="shared" si="8"/>
        <v>NL</v>
      </c>
      <c r="B53" s="295">
        <f t="shared" si="11"/>
        <v>36</v>
      </c>
      <c r="C53" s="189" t="s">
        <v>515</v>
      </c>
      <c r="D53" s="297" t="s">
        <v>383</v>
      </c>
      <c r="E53" s="8"/>
      <c r="F53" s="8"/>
      <c r="G53" s="25">
        <f t="array" ref="G53">SUM(IF("1521"&amp;C53=KHN&amp;MH,SL))</f>
        <v>110</v>
      </c>
      <c r="H53" s="25">
        <f t="array" ref="H53">SUM(IF("1521"&amp;C53=KHN&amp;MH,TH))</f>
        <v>2124760</v>
      </c>
      <c r="I53" s="25">
        <f t="array" ref="I53">SUM(IF("1521"&amp;C53=KHC&amp;MH,SL))</f>
        <v>110</v>
      </c>
      <c r="J53" s="25">
        <f t="array" ref="J53">SUM(IF("1521"&amp;C53=KHC&amp;MH,TH))</f>
        <v>2124760</v>
      </c>
      <c r="K53" s="8">
        <f t="shared" si="9"/>
        <v>0</v>
      </c>
      <c r="L53" s="8">
        <f t="shared" si="10"/>
        <v>0</v>
      </c>
      <c r="M53" s="294"/>
    </row>
    <row r="54" spans="1:13" ht="18" customHeight="1">
      <c r="A54" s="294" t="str">
        <f t="shared" si="8"/>
        <v>NL</v>
      </c>
      <c r="B54" s="295">
        <f t="shared" si="11"/>
        <v>37</v>
      </c>
      <c r="C54" s="189" t="s">
        <v>517</v>
      </c>
      <c r="D54" s="297" t="s">
        <v>383</v>
      </c>
      <c r="E54" s="8"/>
      <c r="F54" s="8"/>
      <c r="G54" s="25">
        <f t="array" ref="G54">SUM(IF("1521"&amp;C54=KHN&amp;MH,SL))</f>
        <v>490</v>
      </c>
      <c r="H54" s="25">
        <f t="array" ref="H54">SUM(IF("1521"&amp;C54=KHN&amp;MH,TH))</f>
        <v>3926370</v>
      </c>
      <c r="I54" s="25">
        <f t="array" ref="I54">SUM(IF("1521"&amp;C54=KHC&amp;MH,SL))</f>
        <v>490</v>
      </c>
      <c r="J54" s="25">
        <f t="array" ref="J54">SUM(IF("1521"&amp;C54=KHC&amp;MH,TH))</f>
        <v>3926370</v>
      </c>
      <c r="K54" s="8">
        <f t="shared" si="9"/>
        <v>0</v>
      </c>
      <c r="L54" s="8">
        <f t="shared" si="10"/>
        <v>0</v>
      </c>
      <c r="M54" s="294"/>
    </row>
    <row r="55" spans="1:13" ht="18" customHeight="1">
      <c r="A55" s="294" t="str">
        <f t="shared" si="8"/>
        <v>NL</v>
      </c>
      <c r="B55" s="295">
        <f t="shared" si="11"/>
        <v>38</v>
      </c>
      <c r="C55" s="189" t="s">
        <v>518</v>
      </c>
      <c r="D55" s="297" t="s">
        <v>383</v>
      </c>
      <c r="E55" s="8"/>
      <c r="F55" s="8"/>
      <c r="G55" s="25">
        <f t="array" ref="G55">SUM(IF("1521"&amp;C55=KHN&amp;MH,SL))</f>
        <v>840</v>
      </c>
      <c r="H55" s="25">
        <f t="array" ref="H55">SUM(IF("1521"&amp;C55=KHN&amp;MH,TH))</f>
        <v>9181200</v>
      </c>
      <c r="I55" s="25">
        <f t="array" ref="I55">SUM(IF("1521"&amp;C55=KHC&amp;MH,SL))</f>
        <v>840</v>
      </c>
      <c r="J55" s="25">
        <f t="array" ref="J55">SUM(IF("1521"&amp;C55=KHC&amp;MH,TH))</f>
        <v>9181200</v>
      </c>
      <c r="K55" s="8">
        <f t="shared" si="9"/>
        <v>0</v>
      </c>
      <c r="L55" s="8">
        <f t="shared" si="10"/>
        <v>0</v>
      </c>
      <c r="M55" s="294"/>
    </row>
    <row r="56" spans="1:13" ht="18" customHeight="1">
      <c r="A56" s="294" t="str">
        <f t="shared" si="8"/>
        <v>NL</v>
      </c>
      <c r="B56" s="295">
        <f t="shared" si="11"/>
        <v>39</v>
      </c>
      <c r="C56" s="189" t="s">
        <v>519</v>
      </c>
      <c r="D56" s="297" t="s">
        <v>383</v>
      </c>
      <c r="E56" s="8"/>
      <c r="F56" s="8"/>
      <c r="G56" s="25">
        <f t="array" ref="G56">SUM(IF("1521"&amp;C56=KHN&amp;MH,SL))</f>
        <v>745</v>
      </c>
      <c r="H56" s="25">
        <f t="array" ref="H56">SUM(IF("1521"&amp;C56=KHN&amp;MH,TH))</f>
        <v>7899235</v>
      </c>
      <c r="I56" s="25">
        <f t="array" ref="I56">SUM(IF("1521"&amp;C56=KHC&amp;MH,SL))</f>
        <v>745</v>
      </c>
      <c r="J56" s="25">
        <f t="array" ref="J56">SUM(IF("1521"&amp;C56=KHC&amp;MH,TH))</f>
        <v>7899235</v>
      </c>
      <c r="K56" s="8">
        <f t="shared" si="9"/>
        <v>0</v>
      </c>
      <c r="L56" s="8">
        <f t="shared" si="10"/>
        <v>0</v>
      </c>
      <c r="M56" s="294"/>
    </row>
    <row r="57" spans="1:13" ht="18" customHeight="1">
      <c r="A57" s="294" t="str">
        <f t="shared" si="8"/>
        <v>NL</v>
      </c>
      <c r="B57" s="295">
        <f t="shared" si="11"/>
        <v>40</v>
      </c>
      <c r="C57" s="189" t="s">
        <v>520</v>
      </c>
      <c r="D57" s="297" t="s">
        <v>383</v>
      </c>
      <c r="E57" s="8"/>
      <c r="F57" s="8"/>
      <c r="G57" s="25">
        <f t="array" ref="G57">SUM(IF("1521"&amp;C57=KHN&amp;MH,SL))</f>
        <v>210</v>
      </c>
      <c r="H57" s="25">
        <f t="array" ref="H57">SUM(IF("1521"&amp;C57=KHN&amp;MH,TH))</f>
        <v>1344000</v>
      </c>
      <c r="I57" s="25">
        <f t="array" ref="I57">SUM(IF("1521"&amp;C57=KHC&amp;MH,SL))</f>
        <v>210</v>
      </c>
      <c r="J57" s="25">
        <f t="array" ref="J57">SUM(IF("1521"&amp;C57=KHC&amp;MH,TH))</f>
        <v>1344000</v>
      </c>
      <c r="K57" s="8">
        <f t="shared" si="9"/>
        <v>0</v>
      </c>
      <c r="L57" s="8">
        <f t="shared" si="10"/>
        <v>0</v>
      </c>
      <c r="M57" s="294"/>
    </row>
    <row r="58" spans="1:13" ht="18" customHeight="1">
      <c r="A58" s="294" t="str">
        <f t="shared" si="8"/>
        <v>NL</v>
      </c>
      <c r="B58" s="295">
        <f t="shared" si="11"/>
        <v>41</v>
      </c>
      <c r="C58" s="189" t="s">
        <v>521</v>
      </c>
      <c r="D58" s="297" t="s">
        <v>383</v>
      </c>
      <c r="E58" s="8"/>
      <c r="F58" s="8"/>
      <c r="G58" s="25">
        <f t="array" ref="G58">SUM(IF("1521"&amp;C58=KHN&amp;MH,SL))</f>
        <v>58</v>
      </c>
      <c r="H58" s="25">
        <f t="array" ref="H58">SUM(IF("1521"&amp;C58=KHN&amp;MH,TH))</f>
        <v>1559040</v>
      </c>
      <c r="I58" s="25">
        <f t="array" ref="I58">SUM(IF("1521"&amp;C58=KHC&amp;MH,SL))</f>
        <v>58</v>
      </c>
      <c r="J58" s="25">
        <f t="array" ref="J58">SUM(IF("1521"&amp;C58=KHC&amp;MH,TH))</f>
        <v>1559040</v>
      </c>
      <c r="K58" s="8">
        <f t="shared" si="9"/>
        <v>0</v>
      </c>
      <c r="L58" s="8">
        <f t="shared" si="10"/>
        <v>0</v>
      </c>
      <c r="M58" s="294"/>
    </row>
    <row r="59" spans="1:13" ht="18" customHeight="1">
      <c r="A59" s="294" t="str">
        <f t="shared" si="8"/>
        <v>NL</v>
      </c>
      <c r="B59" s="295">
        <f t="shared" si="11"/>
        <v>42</v>
      </c>
      <c r="C59" s="189" t="s">
        <v>522</v>
      </c>
      <c r="D59" s="297" t="s">
        <v>383</v>
      </c>
      <c r="E59" s="8"/>
      <c r="F59" s="8"/>
      <c r="G59" s="25">
        <f t="array" ref="G59">SUM(IF("1521"&amp;C59=KHN&amp;MH,SL))</f>
        <v>205</v>
      </c>
      <c r="H59" s="25">
        <f t="array" ref="H59">SUM(IF("1521"&amp;C59=KHN&amp;MH,TH))</f>
        <v>2331465</v>
      </c>
      <c r="I59" s="25">
        <f t="array" ref="I59">SUM(IF("1521"&amp;C59=KHC&amp;MH,SL))</f>
        <v>205</v>
      </c>
      <c r="J59" s="25">
        <f t="array" ref="J59">SUM(IF("1521"&amp;C59=KHC&amp;MH,TH))</f>
        <v>2331465</v>
      </c>
      <c r="K59" s="8">
        <f t="shared" si="9"/>
        <v>0</v>
      </c>
      <c r="L59" s="8">
        <f t="shared" si="10"/>
        <v>0</v>
      </c>
      <c r="M59" s="294"/>
    </row>
    <row r="60" spans="1:13" ht="18" customHeight="1">
      <c r="A60" s="294" t="str">
        <f t="shared" si="8"/>
        <v>NL</v>
      </c>
      <c r="B60" s="295">
        <f t="shared" si="11"/>
        <v>43</v>
      </c>
      <c r="C60" s="189" t="s">
        <v>523</v>
      </c>
      <c r="D60" s="297" t="s">
        <v>383</v>
      </c>
      <c r="E60" s="8"/>
      <c r="F60" s="8"/>
      <c r="G60" s="25">
        <f t="array" ref="G60">SUM(IF("1521"&amp;C60=KHN&amp;MH,SL))</f>
        <v>295</v>
      </c>
      <c r="H60" s="25">
        <f t="array" ref="H60">SUM(IF("1521"&amp;C60=KHN&amp;MH,TH))</f>
        <v>2144060</v>
      </c>
      <c r="I60" s="25">
        <f t="array" ref="I60">SUM(IF("1521"&amp;C60=KHC&amp;MH,SL))</f>
        <v>295</v>
      </c>
      <c r="J60" s="25">
        <f t="array" ref="J60">SUM(IF("1521"&amp;C60=KHC&amp;MH,TH))</f>
        <v>2144060</v>
      </c>
      <c r="K60" s="8">
        <f t="shared" si="9"/>
        <v>0</v>
      </c>
      <c r="L60" s="8">
        <f t="shared" si="10"/>
        <v>0</v>
      </c>
      <c r="M60" s="294"/>
    </row>
    <row r="61" spans="1:13" ht="18" customHeight="1">
      <c r="A61" s="294" t="str">
        <f t="shared" si="8"/>
        <v>NL</v>
      </c>
      <c r="B61" s="295">
        <f t="shared" si="11"/>
        <v>44</v>
      </c>
      <c r="C61" s="189" t="s">
        <v>542</v>
      </c>
      <c r="D61" s="297" t="s">
        <v>383</v>
      </c>
      <c r="E61" s="8"/>
      <c r="F61" s="8"/>
      <c r="G61" s="25">
        <f t="array" ref="G61">SUM(IF("1521"&amp;C61=KHN&amp;MH,SL))</f>
        <v>180</v>
      </c>
      <c r="H61" s="25">
        <f t="array" ref="H61">SUM(IF("1521"&amp;C61=KHN&amp;MH,TH))</f>
        <v>3534840</v>
      </c>
      <c r="I61" s="25">
        <f t="array" ref="I61">SUM(IF("1521"&amp;C61=KHC&amp;MH,SL))</f>
        <v>180</v>
      </c>
      <c r="J61" s="25">
        <f t="array" ref="J61">SUM(IF("1521"&amp;C61=KHC&amp;MH,TH))</f>
        <v>3534840</v>
      </c>
      <c r="K61" s="8">
        <f t="shared" si="9"/>
        <v>0</v>
      </c>
      <c r="L61" s="8">
        <f t="shared" si="10"/>
        <v>0</v>
      </c>
      <c r="M61" s="294"/>
    </row>
    <row r="62" spans="1:13" ht="18" customHeight="1">
      <c r="A62" s="294" t="str">
        <f t="shared" si="8"/>
        <v>NL</v>
      </c>
      <c r="B62" s="295">
        <f t="shared" si="11"/>
        <v>45</v>
      </c>
      <c r="C62" s="189" t="s">
        <v>543</v>
      </c>
      <c r="D62" s="297" t="s">
        <v>383</v>
      </c>
      <c r="E62" s="8"/>
      <c r="F62" s="8"/>
      <c r="G62" s="25">
        <f t="array" ref="G62">SUM(IF("1521"&amp;C62=KHN&amp;MH,SL))</f>
        <v>130</v>
      </c>
      <c r="H62" s="25">
        <f t="array" ref="H62">SUM(IF("1521"&amp;C62=KHN&amp;MH,TH))</f>
        <v>3647670</v>
      </c>
      <c r="I62" s="25">
        <f t="array" ref="I62">SUM(IF("1521"&amp;C62=KHC&amp;MH,SL))</f>
        <v>130</v>
      </c>
      <c r="J62" s="25">
        <f t="array" ref="J62">SUM(IF("1521"&amp;C62=KHC&amp;MH,TH))</f>
        <v>3647670</v>
      </c>
      <c r="K62" s="8">
        <f t="shared" si="9"/>
        <v>0</v>
      </c>
      <c r="L62" s="8">
        <f t="shared" si="10"/>
        <v>0</v>
      </c>
      <c r="M62" s="294"/>
    </row>
    <row r="63" spans="1:13" ht="18" customHeight="1">
      <c r="A63" s="294" t="str">
        <f t="shared" si="8"/>
        <v>NL</v>
      </c>
      <c r="B63" s="295">
        <f t="shared" si="11"/>
        <v>46</v>
      </c>
      <c r="C63" s="189" t="s">
        <v>544</v>
      </c>
      <c r="D63" s="297" t="s">
        <v>383</v>
      </c>
      <c r="E63" s="8"/>
      <c r="F63" s="8"/>
      <c r="G63" s="25">
        <f t="array" ref="G63">SUM(IF("1521"&amp;C63=KHN&amp;MH,SL))</f>
        <v>200</v>
      </c>
      <c r="H63" s="25">
        <f t="array" ref="H63">SUM(IF("1521"&amp;C63=KHN&amp;MH,TH))</f>
        <v>5370800</v>
      </c>
      <c r="I63" s="25">
        <f t="array" ref="I63">SUM(IF("1521"&amp;C63=KHC&amp;MH,SL))</f>
        <v>200</v>
      </c>
      <c r="J63" s="25">
        <f t="array" ref="J63">SUM(IF("1521"&amp;C63=KHC&amp;MH,TH))</f>
        <v>5370800</v>
      </c>
      <c r="K63" s="8">
        <f t="shared" si="9"/>
        <v>0</v>
      </c>
      <c r="L63" s="8">
        <f t="shared" si="10"/>
        <v>0</v>
      </c>
      <c r="M63" s="294"/>
    </row>
    <row r="64" spans="1:13" ht="18" customHeight="1">
      <c r="A64" s="294" t="str">
        <f t="shared" si="8"/>
        <v>NL</v>
      </c>
      <c r="B64" s="295">
        <f t="shared" si="11"/>
        <v>47</v>
      </c>
      <c r="C64" s="189" t="s">
        <v>545</v>
      </c>
      <c r="D64" s="297" t="s">
        <v>383</v>
      </c>
      <c r="E64" s="8"/>
      <c r="F64" s="8"/>
      <c r="G64" s="25">
        <f t="array" ref="G64">SUM(IF("1521"&amp;C64=KHN&amp;MH,SL))</f>
        <v>52</v>
      </c>
      <c r="H64" s="25">
        <f t="array" ref="H64">SUM(IF("1521"&amp;C64=KHN&amp;MH,TH))</f>
        <v>1708200</v>
      </c>
      <c r="I64" s="25">
        <f t="array" ref="I64">SUM(IF("1521"&amp;C64=KHC&amp;MH,SL))</f>
        <v>52</v>
      </c>
      <c r="J64" s="25">
        <f t="array" ref="J64">SUM(IF("1521"&amp;C64=KHC&amp;MH,TH))</f>
        <v>1708200</v>
      </c>
      <c r="K64" s="8">
        <f t="shared" si="9"/>
        <v>0</v>
      </c>
      <c r="L64" s="8">
        <f t="shared" si="10"/>
        <v>0</v>
      </c>
      <c r="M64" s="294"/>
    </row>
    <row r="65" spans="1:13" ht="18" customHeight="1">
      <c r="A65" s="294" t="str">
        <f t="shared" si="8"/>
        <v>NL</v>
      </c>
      <c r="B65" s="295">
        <f t="shared" si="11"/>
        <v>48</v>
      </c>
      <c r="C65" s="189" t="s">
        <v>549</v>
      </c>
      <c r="D65" s="297" t="s">
        <v>383</v>
      </c>
      <c r="E65" s="8"/>
      <c r="F65" s="8"/>
      <c r="G65" s="25">
        <f t="array" ref="G65">SUM(IF("1521"&amp;C65=KHN&amp;MH,SL))</f>
        <v>105</v>
      </c>
      <c r="H65" s="25">
        <f t="array" ref="H65">SUM(IF("1521"&amp;C65=KHN&amp;MH,TH))</f>
        <v>1465170</v>
      </c>
      <c r="I65" s="25">
        <f t="array" ref="I65">SUM(IF("1521"&amp;C65=KHC&amp;MH,SL))</f>
        <v>105</v>
      </c>
      <c r="J65" s="25">
        <f t="array" ref="J65">SUM(IF("1521"&amp;C65=KHC&amp;MH,TH))</f>
        <v>1465170</v>
      </c>
      <c r="K65" s="8">
        <f t="shared" si="9"/>
        <v>0</v>
      </c>
      <c r="L65" s="8">
        <f t="shared" si="10"/>
        <v>0</v>
      </c>
      <c r="M65" s="294"/>
    </row>
    <row r="66" spans="1:13" ht="18" customHeight="1">
      <c r="A66" s="294" t="str">
        <f t="shared" si="8"/>
        <v>NL</v>
      </c>
      <c r="B66" s="295">
        <f t="shared" si="11"/>
        <v>49</v>
      </c>
      <c r="C66" s="189" t="s">
        <v>550</v>
      </c>
      <c r="D66" s="297" t="s">
        <v>383</v>
      </c>
      <c r="E66" s="8"/>
      <c r="F66" s="8"/>
      <c r="G66" s="25">
        <f t="array" ref="G66">SUM(IF("1521"&amp;C66=KHN&amp;MH,SL))</f>
        <v>130</v>
      </c>
      <c r="H66" s="25">
        <f t="array" ref="H66">SUM(IF("1521"&amp;C66=KHN&amp;MH,TH))</f>
        <v>2921880</v>
      </c>
      <c r="I66" s="25">
        <f t="array" ref="I66">SUM(IF("1521"&amp;C66=KHC&amp;MH,SL))</f>
        <v>130</v>
      </c>
      <c r="J66" s="25">
        <f t="array" ref="J66">SUM(IF("1521"&amp;C66=KHC&amp;MH,TH))</f>
        <v>2921880</v>
      </c>
      <c r="K66" s="8">
        <f t="shared" si="9"/>
        <v>0</v>
      </c>
      <c r="L66" s="8">
        <f t="shared" si="10"/>
        <v>0</v>
      </c>
      <c r="M66" s="294"/>
    </row>
    <row r="67" spans="1:13" ht="18" customHeight="1">
      <c r="A67" s="294" t="str">
        <f t="shared" si="8"/>
        <v>NL</v>
      </c>
      <c r="B67" s="295">
        <f t="shared" si="11"/>
        <v>50</v>
      </c>
      <c r="C67" s="189" t="s">
        <v>551</v>
      </c>
      <c r="D67" s="297" t="s">
        <v>383</v>
      </c>
      <c r="E67" s="8"/>
      <c r="F67" s="8"/>
      <c r="G67" s="25">
        <f t="array" ref="G67">SUM(IF("1521"&amp;C67=KHN&amp;MH,SL))</f>
        <v>105</v>
      </c>
      <c r="H67" s="25">
        <f t="array" ref="H67">SUM(IF("1521"&amp;C67=KHN&amp;MH,TH))</f>
        <v>1782165</v>
      </c>
      <c r="I67" s="25">
        <f t="array" ref="I67">SUM(IF("1521"&amp;C67=KHC&amp;MH,SL))</f>
        <v>105</v>
      </c>
      <c r="J67" s="25">
        <f t="array" ref="J67">SUM(IF("1521"&amp;C67=KHC&amp;MH,TH))</f>
        <v>1782165</v>
      </c>
      <c r="K67" s="8">
        <f t="shared" si="9"/>
        <v>0</v>
      </c>
      <c r="L67" s="8">
        <f t="shared" si="10"/>
        <v>0</v>
      </c>
      <c r="M67" s="294"/>
    </row>
    <row r="68" spans="1:13" ht="18" customHeight="1">
      <c r="A68" s="294" t="str">
        <f t="shared" si="8"/>
        <v>NL</v>
      </c>
      <c r="B68" s="295">
        <f t="shared" si="11"/>
        <v>51</v>
      </c>
      <c r="C68" s="189" t="s">
        <v>552</v>
      </c>
      <c r="D68" s="297" t="s">
        <v>383</v>
      </c>
      <c r="E68" s="8"/>
      <c r="F68" s="8"/>
      <c r="G68" s="25">
        <f t="array" ref="G68">SUM(IF("1521"&amp;C68=KHN&amp;MH,SL))</f>
        <v>3</v>
      </c>
      <c r="H68" s="25">
        <f t="array" ref="H68">SUM(IF("1521"&amp;C68=KHN&amp;MH,TH))</f>
        <v>33741</v>
      </c>
      <c r="I68" s="25">
        <f t="array" ref="I68">SUM(IF("1521"&amp;C68=KHC&amp;MH,SL))</f>
        <v>3</v>
      </c>
      <c r="J68" s="25">
        <f t="array" ref="J68">SUM(IF("1521"&amp;C68=KHC&amp;MH,TH))</f>
        <v>33741</v>
      </c>
      <c r="K68" s="8">
        <f t="shared" si="9"/>
        <v>0</v>
      </c>
      <c r="L68" s="8">
        <f t="shared" si="10"/>
        <v>0</v>
      </c>
      <c r="M68" s="294"/>
    </row>
    <row r="69" spans="1:13" ht="18" customHeight="1">
      <c r="A69" s="294" t="str">
        <f t="shared" si="8"/>
        <v>NL</v>
      </c>
      <c r="B69" s="295">
        <f t="shared" si="11"/>
        <v>52</v>
      </c>
      <c r="C69" s="189" t="s">
        <v>553</v>
      </c>
      <c r="D69" s="297" t="s">
        <v>383</v>
      </c>
      <c r="E69" s="8"/>
      <c r="F69" s="8"/>
      <c r="G69" s="25">
        <f t="array" ref="G69">SUM(IF("1521"&amp;C69=KHN&amp;MH,SL))</f>
        <v>224</v>
      </c>
      <c r="H69" s="25">
        <f t="array" ref="H69">SUM(IF("1521"&amp;C69=KHN&amp;MH,TH))</f>
        <v>3890432</v>
      </c>
      <c r="I69" s="25">
        <f t="array" ref="I69">SUM(IF("1521"&amp;C69=KHC&amp;MH,SL))</f>
        <v>224</v>
      </c>
      <c r="J69" s="25">
        <f t="array" ref="J69">SUM(IF("1521"&amp;C69=KHC&amp;MH,TH))</f>
        <v>3890432</v>
      </c>
      <c r="K69" s="8">
        <f t="shared" si="9"/>
        <v>0</v>
      </c>
      <c r="L69" s="8">
        <f t="shared" si="10"/>
        <v>0</v>
      </c>
      <c r="M69" s="294"/>
    </row>
    <row r="70" spans="1:13" ht="18" customHeight="1">
      <c r="A70" s="294" t="str">
        <f t="shared" si="8"/>
        <v>NL</v>
      </c>
      <c r="B70" s="295">
        <f t="shared" si="11"/>
        <v>53</v>
      </c>
      <c r="C70" s="189" t="s">
        <v>554</v>
      </c>
      <c r="D70" s="297" t="s">
        <v>383</v>
      </c>
      <c r="E70" s="8"/>
      <c r="F70" s="8"/>
      <c r="G70" s="25">
        <f t="array" ref="G70">SUM(IF("1521"&amp;C70=KHN&amp;MH,SL))</f>
        <v>150</v>
      </c>
      <c r="H70" s="25">
        <f t="array" ref="H70">SUM(IF("1521"&amp;C70=KHN&amp;MH,TH))</f>
        <v>3173700</v>
      </c>
      <c r="I70" s="25">
        <f t="array" ref="I70">SUM(IF("1521"&amp;C70=KHC&amp;MH,SL))</f>
        <v>150</v>
      </c>
      <c r="J70" s="25">
        <f t="array" ref="J70">SUM(IF("1521"&amp;C70=KHC&amp;MH,TH))</f>
        <v>3173700</v>
      </c>
      <c r="K70" s="8">
        <f t="shared" si="9"/>
        <v>0</v>
      </c>
      <c r="L70" s="8">
        <f t="shared" si="10"/>
        <v>0</v>
      </c>
      <c r="M70" s="294"/>
    </row>
    <row r="71" spans="1:13" ht="18" customHeight="1">
      <c r="A71" s="294" t="str">
        <f t="shared" si="8"/>
        <v>NL</v>
      </c>
      <c r="B71" s="295">
        <f t="shared" si="11"/>
        <v>54</v>
      </c>
      <c r="C71" s="189" t="s">
        <v>555</v>
      </c>
      <c r="D71" s="297" t="s">
        <v>383</v>
      </c>
      <c r="E71" s="8"/>
      <c r="F71" s="8"/>
      <c r="G71" s="25">
        <f t="array" ref="G71">SUM(IF("1521"&amp;C71=KHN&amp;MH,SL))</f>
        <v>45</v>
      </c>
      <c r="H71" s="25">
        <f t="array" ref="H71">SUM(IF("1521"&amp;C71=KHN&amp;MH,TH))</f>
        <v>690525</v>
      </c>
      <c r="I71" s="25">
        <f t="array" ref="I71">SUM(IF("1521"&amp;C71=KHC&amp;MH,SL))</f>
        <v>45</v>
      </c>
      <c r="J71" s="25">
        <f t="array" ref="J71">SUM(IF("1521"&amp;C71=KHC&amp;MH,TH))</f>
        <v>690525</v>
      </c>
      <c r="K71" s="8">
        <f t="shared" si="9"/>
        <v>0</v>
      </c>
      <c r="L71" s="8">
        <f t="shared" si="10"/>
        <v>0</v>
      </c>
      <c r="M71" s="294"/>
    </row>
    <row r="72" spans="1:13" ht="18" customHeight="1">
      <c r="A72" s="294" t="str">
        <f t="shared" si="8"/>
        <v>NL</v>
      </c>
      <c r="B72" s="295">
        <f t="shared" si="11"/>
        <v>55</v>
      </c>
      <c r="C72" s="40" t="s">
        <v>556</v>
      </c>
      <c r="D72" s="297" t="s">
        <v>383</v>
      </c>
      <c r="E72" s="8"/>
      <c r="F72" s="8"/>
      <c r="G72" s="25">
        <f t="array" ref="G72">SUM(IF("1521"&amp;C72=KHN&amp;MH,SL))</f>
        <v>185</v>
      </c>
      <c r="H72" s="25">
        <f t="array" ref="H72">SUM(IF("1521"&amp;C72=KHN&amp;MH,TH))</f>
        <v>4138820</v>
      </c>
      <c r="I72" s="25">
        <f t="array" ref="I72">SUM(IF("1521"&amp;C72=KHC&amp;MH,SL))</f>
        <v>185</v>
      </c>
      <c r="J72" s="25">
        <f t="array" ref="J72">SUM(IF("1521"&amp;C72=KHC&amp;MH,TH))</f>
        <v>4138820</v>
      </c>
      <c r="K72" s="8">
        <f t="shared" si="9"/>
        <v>0</v>
      </c>
      <c r="L72" s="8">
        <f t="shared" si="10"/>
        <v>0</v>
      </c>
      <c r="M72" s="294"/>
    </row>
    <row r="73" spans="1:13" ht="18" customHeight="1">
      <c r="A73" s="294" t="str">
        <f t="shared" si="8"/>
        <v>NL</v>
      </c>
      <c r="B73" s="295">
        <f t="shared" si="11"/>
        <v>56</v>
      </c>
      <c r="C73" s="40" t="s">
        <v>557</v>
      </c>
      <c r="D73" s="297" t="s">
        <v>383</v>
      </c>
      <c r="E73" s="8"/>
      <c r="F73" s="8"/>
      <c r="G73" s="25">
        <f t="array" ref="G73">SUM(IF("1521"&amp;C73=KHN&amp;MH,SL))</f>
        <v>1458</v>
      </c>
      <c r="H73" s="25">
        <f t="array" ref="H73">SUM(IF("1521"&amp;C73=KHN&amp;MH,TH))</f>
        <v>34999290</v>
      </c>
      <c r="I73" s="25">
        <f t="array" ref="I73">SUM(IF("1521"&amp;C73=KHC&amp;MH,SL))</f>
        <v>1458</v>
      </c>
      <c r="J73" s="25">
        <f t="array" ref="J73">SUM(IF("1521"&amp;C73=KHC&amp;MH,TH))</f>
        <v>34999290</v>
      </c>
      <c r="K73" s="8">
        <f t="shared" si="9"/>
        <v>0</v>
      </c>
      <c r="L73" s="8">
        <f t="shared" si="10"/>
        <v>0</v>
      </c>
      <c r="M73" s="294"/>
    </row>
    <row r="74" spans="1:13" ht="18" customHeight="1">
      <c r="A74" s="294" t="str">
        <f t="shared" si="8"/>
        <v>NL</v>
      </c>
      <c r="B74" s="295">
        <f t="shared" si="11"/>
        <v>57</v>
      </c>
      <c r="C74" s="189" t="s">
        <v>562</v>
      </c>
      <c r="D74" s="297" t="s">
        <v>383</v>
      </c>
      <c r="E74" s="8"/>
      <c r="F74" s="8"/>
      <c r="G74" s="25">
        <f t="array" ref="G74">SUM(IF("1521"&amp;C74=KHN&amp;MH,SL))</f>
        <v>206</v>
      </c>
      <c r="H74" s="25">
        <f t="array" ref="H74">SUM(IF("1521"&amp;C74=KHN&amp;MH,TH))</f>
        <v>3788340</v>
      </c>
      <c r="I74" s="25">
        <f t="array" ref="I74">SUM(IF("1521"&amp;C74=KHC&amp;MH,SL))</f>
        <v>206</v>
      </c>
      <c r="J74" s="25">
        <f t="array" ref="J74">SUM(IF("1521"&amp;C74=KHC&amp;MH,TH))</f>
        <v>3788340</v>
      </c>
      <c r="K74" s="8">
        <f t="shared" si="9"/>
        <v>0</v>
      </c>
      <c r="L74" s="8">
        <f t="shared" si="10"/>
        <v>0</v>
      </c>
      <c r="M74" s="294"/>
    </row>
    <row r="75" spans="1:13" ht="18" customHeight="1">
      <c r="A75" s="294" t="str">
        <f t="shared" si="8"/>
        <v>NL</v>
      </c>
      <c r="B75" s="295">
        <f t="shared" si="11"/>
        <v>58</v>
      </c>
      <c r="C75" s="189" t="s">
        <v>563</v>
      </c>
      <c r="D75" s="297" t="s">
        <v>383</v>
      </c>
      <c r="E75" s="8"/>
      <c r="F75" s="8"/>
      <c r="G75" s="25">
        <f t="array" ref="G75">SUM(IF("1521"&amp;C75=KHN&amp;MH,SL))</f>
        <v>43</v>
      </c>
      <c r="H75" s="25">
        <f t="array" ref="H75">SUM(IF("1521"&amp;C75=KHN&amp;MH,TH))</f>
        <v>1283249</v>
      </c>
      <c r="I75" s="25">
        <f t="array" ref="I75">SUM(IF("1521"&amp;C75=KHC&amp;MH,SL))</f>
        <v>43</v>
      </c>
      <c r="J75" s="25">
        <f t="array" ref="J75">SUM(IF("1521"&amp;C75=KHC&amp;MH,TH))</f>
        <v>1283249</v>
      </c>
      <c r="K75" s="8">
        <f t="shared" si="9"/>
        <v>0</v>
      </c>
      <c r="L75" s="8">
        <f t="shared" si="10"/>
        <v>0</v>
      </c>
      <c r="M75" s="294"/>
    </row>
    <row r="76" spans="1:13" ht="18" customHeight="1">
      <c r="A76" s="294" t="str">
        <f t="shared" si="8"/>
        <v>NL</v>
      </c>
      <c r="B76" s="295">
        <f t="shared" si="11"/>
        <v>59</v>
      </c>
      <c r="C76" s="189" t="s">
        <v>564</v>
      </c>
      <c r="D76" s="297" t="s">
        <v>383</v>
      </c>
      <c r="E76" s="8"/>
      <c r="F76" s="8"/>
      <c r="G76" s="25">
        <f t="array" ref="G76">SUM(IF("1521"&amp;C76=KHN&amp;MH,SL))</f>
        <v>43</v>
      </c>
      <c r="H76" s="25">
        <f t="array" ref="H76">SUM(IF("1521"&amp;C76=KHN&amp;MH,TH))</f>
        <v>1215739</v>
      </c>
      <c r="I76" s="25">
        <f t="array" ref="I76">SUM(IF("1521"&amp;C76=KHC&amp;MH,SL))</f>
        <v>43</v>
      </c>
      <c r="J76" s="25">
        <f t="array" ref="J76">SUM(IF("1521"&amp;C76=KHC&amp;MH,TH))</f>
        <v>1215739</v>
      </c>
      <c r="K76" s="8">
        <f t="shared" si="9"/>
        <v>0</v>
      </c>
      <c r="L76" s="8">
        <f t="shared" si="10"/>
        <v>0</v>
      </c>
      <c r="M76" s="294"/>
    </row>
    <row r="77" spans="1:13" ht="18" customHeight="1">
      <c r="A77" s="294" t="str">
        <f t="shared" si="8"/>
        <v>NL</v>
      </c>
      <c r="B77" s="295">
        <f t="shared" si="11"/>
        <v>60</v>
      </c>
      <c r="C77" s="189" t="s">
        <v>565</v>
      </c>
      <c r="D77" s="297" t="s">
        <v>383</v>
      </c>
      <c r="E77" s="8"/>
      <c r="F77" s="8"/>
      <c r="G77" s="25">
        <f t="array" ref="G77">SUM(IF("1521"&amp;C77=KHN&amp;MH,SL))</f>
        <v>95</v>
      </c>
      <c r="H77" s="25">
        <f t="array" ref="H77">SUM(IF("1521"&amp;C77=KHN&amp;MH,TH))</f>
        <v>2810005</v>
      </c>
      <c r="I77" s="25">
        <f t="array" ref="I77">SUM(IF("1521"&amp;C77=KHC&amp;MH,SL))</f>
        <v>95</v>
      </c>
      <c r="J77" s="25">
        <f t="array" ref="J77">SUM(IF("1521"&amp;C77=KHC&amp;MH,TH))</f>
        <v>2810005</v>
      </c>
      <c r="K77" s="8">
        <f t="shared" si="9"/>
        <v>0</v>
      </c>
      <c r="L77" s="8">
        <f t="shared" si="10"/>
        <v>0</v>
      </c>
      <c r="M77" s="294"/>
    </row>
    <row r="78" spans="1:13" ht="18" customHeight="1">
      <c r="A78" s="294" t="str">
        <f t="shared" si="8"/>
        <v>NL</v>
      </c>
      <c r="B78" s="295">
        <f t="shared" si="11"/>
        <v>61</v>
      </c>
      <c r="C78" s="189" t="s">
        <v>568</v>
      </c>
      <c r="D78" s="297" t="s">
        <v>383</v>
      </c>
      <c r="E78" s="8"/>
      <c r="F78" s="8"/>
      <c r="G78" s="25">
        <f t="array" ref="G78">SUM(IF("1521"&amp;C78=KHN&amp;MH,SL))</f>
        <v>104</v>
      </c>
      <c r="H78" s="25">
        <f t="array" ref="H78">SUM(IF("1521"&amp;C78=KHN&amp;MH,TH))</f>
        <v>2499120</v>
      </c>
      <c r="I78" s="25">
        <f t="array" ref="I78">SUM(IF("1521"&amp;C78=KHC&amp;MH,SL))</f>
        <v>104</v>
      </c>
      <c r="J78" s="25">
        <f t="array" ref="J78">SUM(IF("1521"&amp;C78=KHC&amp;MH,TH))</f>
        <v>2499120</v>
      </c>
      <c r="K78" s="8">
        <f t="shared" si="9"/>
        <v>0</v>
      </c>
      <c r="L78" s="8">
        <f t="shared" si="10"/>
        <v>0</v>
      </c>
      <c r="M78" s="294"/>
    </row>
    <row r="79" spans="1:13" ht="18" customHeight="1">
      <c r="A79" s="294" t="str">
        <f t="shared" si="8"/>
        <v>NL</v>
      </c>
      <c r="B79" s="295">
        <f t="shared" si="11"/>
        <v>62</v>
      </c>
      <c r="C79" s="189" t="s">
        <v>569</v>
      </c>
      <c r="D79" s="297" t="s">
        <v>383</v>
      </c>
      <c r="E79" s="8"/>
      <c r="F79" s="8"/>
      <c r="G79" s="25">
        <f t="array" ref="G79">SUM(IF("1521"&amp;C79=KHN&amp;MH,SL))</f>
        <v>104</v>
      </c>
      <c r="H79" s="25">
        <f t="array" ref="H79">SUM(IF("1521"&amp;C79=KHN&amp;MH,TH))</f>
        <v>2654496</v>
      </c>
      <c r="I79" s="25">
        <f t="array" ref="I79">SUM(IF("1521"&amp;C79=KHC&amp;MH,SL))</f>
        <v>104</v>
      </c>
      <c r="J79" s="25">
        <f t="array" ref="J79">SUM(IF("1521"&amp;C79=KHC&amp;MH,TH))</f>
        <v>2654496</v>
      </c>
      <c r="K79" s="8">
        <f t="shared" si="9"/>
        <v>0</v>
      </c>
      <c r="L79" s="8">
        <f t="shared" si="10"/>
        <v>0</v>
      </c>
      <c r="M79" s="294"/>
    </row>
    <row r="80" spans="1:13" ht="18" customHeight="1">
      <c r="A80" s="294" t="str">
        <f t="shared" si="8"/>
        <v>NL</v>
      </c>
      <c r="B80" s="295">
        <f t="shared" si="11"/>
        <v>63</v>
      </c>
      <c r="C80" s="189" t="s">
        <v>570</v>
      </c>
      <c r="D80" s="297" t="s">
        <v>383</v>
      </c>
      <c r="E80" s="8"/>
      <c r="F80" s="8"/>
      <c r="G80" s="25">
        <f t="array" ref="G80">SUM(IF("1521"&amp;C80=KHN&amp;MH,SL))</f>
        <v>104</v>
      </c>
      <c r="H80" s="25">
        <f t="array" ref="H80">SUM(IF("1521"&amp;C80=KHN&amp;MH,TH))</f>
        <v>2857816</v>
      </c>
      <c r="I80" s="25">
        <f t="array" ref="I80">SUM(IF("1521"&amp;C80=KHC&amp;MH,SL))</f>
        <v>104</v>
      </c>
      <c r="J80" s="25">
        <f t="array" ref="J80">SUM(IF("1521"&amp;C80=KHC&amp;MH,TH))</f>
        <v>2857816</v>
      </c>
      <c r="K80" s="8">
        <f t="shared" si="9"/>
        <v>0</v>
      </c>
      <c r="L80" s="8">
        <f t="shared" si="10"/>
        <v>0</v>
      </c>
      <c r="M80" s="294"/>
    </row>
    <row r="81" spans="1:13" ht="18" customHeight="1">
      <c r="A81" s="294" t="str">
        <f t="shared" si="8"/>
        <v>NL</v>
      </c>
      <c r="B81" s="295">
        <f t="shared" si="11"/>
        <v>64</v>
      </c>
      <c r="C81" s="189" t="s">
        <v>571</v>
      </c>
      <c r="D81" s="297" t="s">
        <v>383</v>
      </c>
      <c r="E81" s="8"/>
      <c r="F81" s="8"/>
      <c r="G81" s="25">
        <f t="array" ref="G81">SUM(IF("1521"&amp;C81=KHN&amp;MH,SL))</f>
        <v>104</v>
      </c>
      <c r="H81" s="25">
        <f t="array" ref="H81">SUM(IF("1521"&amp;C81=KHN&amp;MH,TH))</f>
        <v>2427360</v>
      </c>
      <c r="I81" s="25">
        <f t="array" ref="I81">SUM(IF("1521"&amp;C81=KHC&amp;MH,SL))</f>
        <v>104</v>
      </c>
      <c r="J81" s="25">
        <f t="array" ref="J81">SUM(IF("1521"&amp;C81=KHC&amp;MH,TH))</f>
        <v>2427360</v>
      </c>
      <c r="K81" s="8">
        <f t="shared" si="9"/>
        <v>0</v>
      </c>
      <c r="L81" s="8">
        <f t="shared" si="10"/>
        <v>0</v>
      </c>
      <c r="M81" s="294"/>
    </row>
    <row r="82" spans="1:13" ht="18" customHeight="1">
      <c r="A82" s="294" t="str">
        <f t="shared" si="8"/>
        <v>NL</v>
      </c>
      <c r="B82" s="295">
        <f t="shared" si="11"/>
        <v>65</v>
      </c>
      <c r="C82" s="189" t="s">
        <v>572</v>
      </c>
      <c r="D82" s="297" t="s">
        <v>383</v>
      </c>
      <c r="E82" s="8"/>
      <c r="F82" s="8"/>
      <c r="G82" s="25">
        <f t="array" ref="G82">SUM(IF("1521"&amp;C82=KHN&amp;MH,SL))</f>
        <v>104</v>
      </c>
      <c r="H82" s="25">
        <f t="array" ref="H82">SUM(IF("1521"&amp;C82=KHN&amp;MH,TH))</f>
        <v>2104544</v>
      </c>
      <c r="I82" s="25">
        <f t="array" ref="I82">SUM(IF("1521"&amp;C82=KHC&amp;MH,SL))</f>
        <v>104</v>
      </c>
      <c r="J82" s="25">
        <f t="array" ref="J82">SUM(IF("1521"&amp;C82=KHC&amp;MH,TH))</f>
        <v>2104544</v>
      </c>
      <c r="K82" s="8">
        <f t="shared" si="9"/>
        <v>0</v>
      </c>
      <c r="L82" s="8">
        <f t="shared" si="10"/>
        <v>0</v>
      </c>
      <c r="M82" s="294"/>
    </row>
    <row r="83" spans="1:13" ht="18" customHeight="1">
      <c r="A83" s="294" t="str">
        <f t="shared" ref="A83:A114" si="12">IF(B83&lt;&gt;"","NL","")</f>
        <v>NL</v>
      </c>
      <c r="B83" s="295">
        <f t="shared" si="11"/>
        <v>66</v>
      </c>
      <c r="C83" s="189" t="s">
        <v>577</v>
      </c>
      <c r="D83" s="297" t="s">
        <v>383</v>
      </c>
      <c r="E83" s="8"/>
      <c r="F83" s="8"/>
      <c r="G83" s="25">
        <f t="array" ref="G83">SUM(IF("1521"&amp;C83=KHN&amp;MH,SL))</f>
        <v>210</v>
      </c>
      <c r="H83" s="25">
        <f t="array" ref="H83">SUM(IF("1521"&amp;C83=KHN&amp;MH,TH))</f>
        <v>4511010</v>
      </c>
      <c r="I83" s="25">
        <f t="array" ref="I83">SUM(IF("1521"&amp;C83=KHC&amp;MH,SL))</f>
        <v>210</v>
      </c>
      <c r="J83" s="25">
        <f t="array" ref="J83">SUM(IF("1521"&amp;C83=KHC&amp;MH,TH))</f>
        <v>4511010</v>
      </c>
      <c r="K83" s="8">
        <f t="shared" ref="K83:K114" si="13">E83+G83-I83</f>
        <v>0</v>
      </c>
      <c r="L83" s="8">
        <f t="shared" ref="L83:L114" si="14">F83+H83-J83</f>
        <v>0</v>
      </c>
      <c r="M83" s="294"/>
    </row>
    <row r="84" spans="1:13" ht="18" customHeight="1">
      <c r="A84" s="294" t="str">
        <f t="shared" si="12"/>
        <v>NL</v>
      </c>
      <c r="B84" s="295">
        <f t="shared" ref="B84:B115" si="15">IF(C84&lt;&gt;"",B83+1,"")</f>
        <v>67</v>
      </c>
      <c r="C84" s="189" t="s">
        <v>578</v>
      </c>
      <c r="D84" s="297" t="s">
        <v>383</v>
      </c>
      <c r="E84" s="8"/>
      <c r="F84" s="8"/>
      <c r="G84" s="25">
        <f t="array" ref="G84">SUM(IF("1521"&amp;C84=KHN&amp;MH,SL))</f>
        <v>840</v>
      </c>
      <c r="H84" s="25">
        <f t="array" ref="H84">SUM(IF("1521"&amp;C84=KHN&amp;MH,TH))</f>
        <v>8688960</v>
      </c>
      <c r="I84" s="25">
        <f t="array" ref="I84">SUM(IF("1521"&amp;C84=KHC&amp;MH,SL))</f>
        <v>840</v>
      </c>
      <c r="J84" s="25">
        <f t="array" ref="J84">SUM(IF("1521"&amp;C84=KHC&amp;MH,TH))</f>
        <v>8688960</v>
      </c>
      <c r="K84" s="8">
        <f t="shared" si="13"/>
        <v>0</v>
      </c>
      <c r="L84" s="8">
        <f t="shared" si="14"/>
        <v>0</v>
      </c>
      <c r="M84" s="294"/>
    </row>
    <row r="85" spans="1:13" ht="18" customHeight="1">
      <c r="A85" s="294" t="str">
        <f t="shared" si="12"/>
        <v>NL</v>
      </c>
      <c r="B85" s="295">
        <f t="shared" si="15"/>
        <v>68</v>
      </c>
      <c r="C85" s="189" t="s">
        <v>579</v>
      </c>
      <c r="D85" s="297" t="s">
        <v>383</v>
      </c>
      <c r="E85" s="8"/>
      <c r="F85" s="8"/>
      <c r="G85" s="25">
        <f t="array" ref="G85">SUM(IF("1521"&amp;C85=KHN&amp;MH,SL))</f>
        <v>236</v>
      </c>
      <c r="H85" s="25">
        <f t="array" ref="H85">SUM(IF("1521"&amp;C85=KHN&amp;MH,TH))</f>
        <v>1780148</v>
      </c>
      <c r="I85" s="25">
        <f t="array" ref="I85">SUM(IF("1521"&amp;C85=KHC&amp;MH,SL))</f>
        <v>236</v>
      </c>
      <c r="J85" s="25">
        <f t="array" ref="J85">SUM(IF("1521"&amp;C85=KHC&amp;MH,TH))</f>
        <v>1780148</v>
      </c>
      <c r="K85" s="8">
        <f t="shared" si="13"/>
        <v>0</v>
      </c>
      <c r="L85" s="8">
        <f t="shared" si="14"/>
        <v>0</v>
      </c>
      <c r="M85" s="294"/>
    </row>
    <row r="86" spans="1:13" ht="18" customHeight="1">
      <c r="A86" s="294" t="str">
        <f t="shared" si="12"/>
        <v>NL</v>
      </c>
      <c r="B86" s="295">
        <f t="shared" si="15"/>
        <v>69</v>
      </c>
      <c r="C86" s="189" t="s">
        <v>580</v>
      </c>
      <c r="D86" s="297" t="s">
        <v>383</v>
      </c>
      <c r="E86" s="8"/>
      <c r="F86" s="8"/>
      <c r="G86" s="25">
        <f t="array" ref="G86">SUM(IF("1521"&amp;C86=KHN&amp;MH,SL))</f>
        <v>70</v>
      </c>
      <c r="H86" s="25">
        <f t="array" ref="H86">SUM(IF("1521"&amp;C86=KHN&amp;MH,TH))</f>
        <v>1833860</v>
      </c>
      <c r="I86" s="25">
        <f t="array" ref="I86">SUM(IF("1521"&amp;C86=KHC&amp;MH,SL))</f>
        <v>70</v>
      </c>
      <c r="J86" s="25">
        <f t="array" ref="J86">SUM(IF("1521"&amp;C86=KHC&amp;MH,TH))</f>
        <v>1833860</v>
      </c>
      <c r="K86" s="8">
        <f t="shared" si="13"/>
        <v>0</v>
      </c>
      <c r="L86" s="8">
        <f t="shared" si="14"/>
        <v>0</v>
      </c>
      <c r="M86" s="294"/>
    </row>
    <row r="87" spans="1:13" ht="18" customHeight="1">
      <c r="A87" s="294" t="str">
        <f t="shared" si="12"/>
        <v>NL</v>
      </c>
      <c r="B87" s="295">
        <f t="shared" si="15"/>
        <v>70</v>
      </c>
      <c r="C87" s="189" t="s">
        <v>581</v>
      </c>
      <c r="D87" s="297" t="s">
        <v>383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1678700</v>
      </c>
      <c r="I87" s="25">
        <f t="array" ref="I87">SUM(IF("1521"&amp;C87=KHC&amp;MH,SL))</f>
        <v>100</v>
      </c>
      <c r="J87" s="25">
        <f t="array" ref="J87">SUM(IF("1521"&amp;C87=KHC&amp;MH,TH))</f>
        <v>1678700</v>
      </c>
      <c r="K87" s="8">
        <f t="shared" si="13"/>
        <v>0</v>
      </c>
      <c r="L87" s="8">
        <f t="shared" si="14"/>
        <v>0</v>
      </c>
      <c r="M87" s="294"/>
    </row>
    <row r="88" spans="1:13" ht="18" customHeight="1">
      <c r="A88" s="294" t="str">
        <f t="shared" si="12"/>
        <v>NL</v>
      </c>
      <c r="B88" s="295">
        <f t="shared" si="15"/>
        <v>71</v>
      </c>
      <c r="C88" s="189" t="s">
        <v>582</v>
      </c>
      <c r="D88" s="297" t="s">
        <v>383</v>
      </c>
      <c r="E88" s="8"/>
      <c r="F88" s="8"/>
      <c r="G88" s="25">
        <f t="array" ref="G88">SUM(IF("1521"&amp;C88=KHN&amp;MH,SL))</f>
        <v>125</v>
      </c>
      <c r="H88" s="25">
        <f t="array" ref="H88">SUM(IF("1521"&amp;C88=KHN&amp;MH,TH))</f>
        <v>2454875</v>
      </c>
      <c r="I88" s="25">
        <f t="array" ref="I88">SUM(IF("1521"&amp;C88=KHC&amp;MH,SL))</f>
        <v>125</v>
      </c>
      <c r="J88" s="25">
        <f t="array" ref="J88">SUM(IF("1521"&amp;C88=KHC&amp;MH,TH))</f>
        <v>2454875</v>
      </c>
      <c r="K88" s="8">
        <f t="shared" si="13"/>
        <v>0</v>
      </c>
      <c r="L88" s="8">
        <f t="shared" si="14"/>
        <v>0</v>
      </c>
      <c r="M88" s="294"/>
    </row>
    <row r="89" spans="1:13" ht="18" customHeight="1">
      <c r="A89" s="294" t="str">
        <f t="shared" si="12"/>
        <v>NL</v>
      </c>
      <c r="B89" s="295">
        <f t="shared" si="15"/>
        <v>72</v>
      </c>
      <c r="C89" s="189" t="s">
        <v>583</v>
      </c>
      <c r="D89" s="297" t="s">
        <v>383</v>
      </c>
      <c r="E89" s="8"/>
      <c r="F89" s="8"/>
      <c r="G89" s="25">
        <f t="array" ref="G89">SUM(IF("1521"&amp;C89=KHN&amp;MH,SL))</f>
        <v>128</v>
      </c>
      <c r="H89" s="25">
        <f t="array" ref="H89">SUM(IF("1521"&amp;C89=KHN&amp;MH,TH))</f>
        <v>4552448</v>
      </c>
      <c r="I89" s="25">
        <f t="array" ref="I89">SUM(IF("1521"&amp;C89=KHC&amp;MH,SL))</f>
        <v>128</v>
      </c>
      <c r="J89" s="25">
        <f t="array" ref="J89">SUM(IF("1521"&amp;C89=KHC&amp;MH,TH))</f>
        <v>4552448</v>
      </c>
      <c r="K89" s="8">
        <f t="shared" si="13"/>
        <v>0</v>
      </c>
      <c r="L89" s="8">
        <f t="shared" si="14"/>
        <v>0</v>
      </c>
      <c r="M89" s="294"/>
    </row>
    <row r="90" spans="1:13" ht="18" customHeight="1">
      <c r="A90" s="294" t="str">
        <f t="shared" si="12"/>
        <v>NL</v>
      </c>
      <c r="B90" s="295">
        <f t="shared" si="15"/>
        <v>73</v>
      </c>
      <c r="C90" s="189" t="s">
        <v>584</v>
      </c>
      <c r="D90" s="297" t="s">
        <v>383</v>
      </c>
      <c r="E90" s="8"/>
      <c r="F90" s="8"/>
      <c r="G90" s="25">
        <f t="array" ref="G90">SUM(IF("1521"&amp;C90=KHN&amp;MH,SL))</f>
        <v>40</v>
      </c>
      <c r="H90" s="25">
        <f t="array" ref="H90">SUM(IF("1521"&amp;C90=KHN&amp;MH,TH))</f>
        <v>1307440</v>
      </c>
      <c r="I90" s="25">
        <f t="array" ref="I90">SUM(IF("1521"&amp;C90=KHC&amp;MH,SL))</f>
        <v>40</v>
      </c>
      <c r="J90" s="25">
        <f t="array" ref="J90">SUM(IF("1521"&amp;C90=KHC&amp;MH,TH))</f>
        <v>1307440</v>
      </c>
      <c r="K90" s="8">
        <f t="shared" si="13"/>
        <v>0</v>
      </c>
      <c r="L90" s="8">
        <f t="shared" si="14"/>
        <v>0</v>
      </c>
      <c r="M90" s="294"/>
    </row>
    <row r="91" spans="1:13" ht="18" customHeight="1">
      <c r="A91" s="294" t="str">
        <f t="shared" si="12"/>
        <v>NL</v>
      </c>
      <c r="B91" s="295">
        <f t="shared" si="15"/>
        <v>74</v>
      </c>
      <c r="C91" s="40" t="s">
        <v>588</v>
      </c>
      <c r="D91" s="297" t="s">
        <v>383</v>
      </c>
      <c r="E91" s="8"/>
      <c r="F91" s="8"/>
      <c r="G91" s="25">
        <f t="array" ref="G91">SUM(IF("1521"&amp;C91=KHN&amp;MH,SL))</f>
        <v>86</v>
      </c>
      <c r="H91" s="25">
        <f t="array" ref="H91">SUM(IF("1521"&amp;C91=KHN&amp;MH,TH))</f>
        <v>3173916</v>
      </c>
      <c r="I91" s="25">
        <f t="array" ref="I91">SUM(IF("1521"&amp;C91=KHC&amp;MH,SL))</f>
        <v>86</v>
      </c>
      <c r="J91" s="25">
        <f t="array" ref="J91">SUM(IF("1521"&amp;C91=KHC&amp;MH,TH))</f>
        <v>3173916</v>
      </c>
      <c r="K91" s="8">
        <f t="shared" si="13"/>
        <v>0</v>
      </c>
      <c r="L91" s="8">
        <f t="shared" si="14"/>
        <v>0</v>
      </c>
      <c r="M91" s="294"/>
    </row>
    <row r="92" spans="1:13" ht="18" customHeight="1">
      <c r="A92" s="294" t="str">
        <f t="shared" si="12"/>
        <v>NL</v>
      </c>
      <c r="B92" s="295">
        <f t="shared" si="15"/>
        <v>75</v>
      </c>
      <c r="C92" s="40" t="s">
        <v>589</v>
      </c>
      <c r="D92" s="297" t="s">
        <v>383</v>
      </c>
      <c r="E92" s="8"/>
      <c r="F92" s="8"/>
      <c r="G92" s="25">
        <f t="array" ref="G92">SUM(IF("1521"&amp;C92=KHN&amp;MH,SL))</f>
        <v>330</v>
      </c>
      <c r="H92" s="25">
        <f t="array" ref="H92">SUM(IF("1521"&amp;C92=KHN&amp;MH,TH))</f>
        <v>7577130</v>
      </c>
      <c r="I92" s="25">
        <f t="array" ref="I92">SUM(IF("1521"&amp;C92=KHC&amp;MH,SL))</f>
        <v>330</v>
      </c>
      <c r="J92" s="25">
        <f t="array" ref="J92">SUM(IF("1521"&amp;C92=KHC&amp;MH,TH))</f>
        <v>7577130</v>
      </c>
      <c r="K92" s="8">
        <f t="shared" si="13"/>
        <v>0</v>
      </c>
      <c r="L92" s="8">
        <f t="shared" si="14"/>
        <v>0</v>
      </c>
      <c r="M92" s="294"/>
    </row>
    <row r="93" spans="1:13" ht="18" customHeight="1">
      <c r="A93" s="294" t="str">
        <f t="shared" si="12"/>
        <v>NL</v>
      </c>
      <c r="B93" s="295">
        <f t="shared" si="15"/>
        <v>76</v>
      </c>
      <c r="C93" s="40" t="s">
        <v>590</v>
      </c>
      <c r="D93" s="297" t="s">
        <v>383</v>
      </c>
      <c r="E93" s="8"/>
      <c r="F93" s="8"/>
      <c r="G93" s="25">
        <f t="array" ref="G93">SUM(IF("1521"&amp;C93=KHN&amp;MH,SL))</f>
        <v>148</v>
      </c>
      <c r="H93" s="25">
        <f t="array" ref="H93">SUM(IF("1521"&amp;C93=KHN&amp;MH,TH))</f>
        <v>5178372</v>
      </c>
      <c r="I93" s="25">
        <f t="array" ref="I93">SUM(IF("1521"&amp;C93=KHC&amp;MH,SL))</f>
        <v>148</v>
      </c>
      <c r="J93" s="25">
        <f t="array" ref="J93">SUM(IF("1521"&amp;C93=KHC&amp;MH,TH))</f>
        <v>5178372</v>
      </c>
      <c r="K93" s="8">
        <f t="shared" si="13"/>
        <v>0</v>
      </c>
      <c r="L93" s="8">
        <f t="shared" si="14"/>
        <v>0</v>
      </c>
      <c r="M93" s="294"/>
    </row>
    <row r="94" spans="1:13" ht="18" customHeight="1">
      <c r="A94" s="294" t="str">
        <f t="shared" si="12"/>
        <v>NL</v>
      </c>
      <c r="B94" s="295">
        <f t="shared" si="15"/>
        <v>77</v>
      </c>
      <c r="C94" s="40" t="s">
        <v>591</v>
      </c>
      <c r="D94" s="297" t="s">
        <v>383</v>
      </c>
      <c r="E94" s="8"/>
      <c r="F94" s="8"/>
      <c r="G94" s="25">
        <f t="array" ref="G94">SUM(IF("1521"&amp;C94=KHN&amp;MH,SL))</f>
        <v>42</v>
      </c>
      <c r="H94" s="25">
        <f t="array" ref="H94">SUM(IF("1521"&amp;C94=KHN&amp;MH,TH))</f>
        <v>1482642</v>
      </c>
      <c r="I94" s="25">
        <f t="array" ref="I94">SUM(IF("1521"&amp;C94=KHC&amp;MH,SL))</f>
        <v>42</v>
      </c>
      <c r="J94" s="25">
        <f t="array" ref="J94">SUM(IF("1521"&amp;C94=KHC&amp;MH,TH))</f>
        <v>1482642</v>
      </c>
      <c r="K94" s="8">
        <f t="shared" si="13"/>
        <v>0</v>
      </c>
      <c r="L94" s="8">
        <f t="shared" si="14"/>
        <v>0</v>
      </c>
      <c r="M94" s="294"/>
    </row>
    <row r="95" spans="1:13" ht="18" customHeight="1">
      <c r="A95" s="294" t="str">
        <f t="shared" si="12"/>
        <v>NL</v>
      </c>
      <c r="B95" s="295">
        <f t="shared" si="15"/>
        <v>78</v>
      </c>
      <c r="C95" s="40" t="s">
        <v>593</v>
      </c>
      <c r="D95" s="297" t="s">
        <v>383</v>
      </c>
      <c r="E95" s="8"/>
      <c r="F95" s="8"/>
      <c r="G95" s="25">
        <f t="array" ref="G95">SUM(IF("1521"&amp;C95=KHN&amp;MH,SL))</f>
        <v>326</v>
      </c>
      <c r="H95" s="25">
        <f t="array" ref="H95">SUM(IF("1521"&amp;C95=KHN&amp;MH,TH))</f>
        <v>7697228</v>
      </c>
      <c r="I95" s="25">
        <f t="array" ref="I95">SUM(IF("1521"&amp;C95=KHC&amp;MH,SL))</f>
        <v>326</v>
      </c>
      <c r="J95" s="25">
        <f t="array" ref="J95">SUM(IF("1521"&amp;C95=KHC&amp;MH,TH))</f>
        <v>7697228</v>
      </c>
      <c r="K95" s="8">
        <f t="shared" si="13"/>
        <v>0</v>
      </c>
      <c r="L95" s="8">
        <f t="shared" si="14"/>
        <v>0</v>
      </c>
      <c r="M95" s="294"/>
    </row>
    <row r="96" spans="1:13" ht="18" customHeight="1">
      <c r="A96" s="294" t="str">
        <f t="shared" si="12"/>
        <v>NL</v>
      </c>
      <c r="B96" s="295">
        <f t="shared" si="15"/>
        <v>79</v>
      </c>
      <c r="C96" s="40" t="s">
        <v>595</v>
      </c>
      <c r="D96" s="297" t="s">
        <v>383</v>
      </c>
      <c r="E96" s="8"/>
      <c r="F96" s="8"/>
      <c r="G96" s="25">
        <f t="array" ref="G96">SUM(IF("1521"&amp;C96=KHN&amp;MH,SL))</f>
        <v>415</v>
      </c>
      <c r="H96" s="25">
        <f t="array" ref="H96">SUM(IF("1521"&amp;C96=KHN&amp;MH,TH))</f>
        <v>6913900</v>
      </c>
      <c r="I96" s="25">
        <f t="array" ref="I96">SUM(IF("1521"&amp;C96=KHC&amp;MH,SL))</f>
        <v>415</v>
      </c>
      <c r="J96" s="25">
        <f t="array" ref="J96">SUM(IF("1521"&amp;C96=KHC&amp;MH,TH))</f>
        <v>6913900</v>
      </c>
      <c r="K96" s="8">
        <f t="shared" si="13"/>
        <v>0</v>
      </c>
      <c r="L96" s="8">
        <f t="shared" si="14"/>
        <v>0</v>
      </c>
      <c r="M96" s="294"/>
    </row>
    <row r="97" spans="1:13" ht="18" customHeight="1">
      <c r="A97" s="294" t="str">
        <f t="shared" si="12"/>
        <v>NL</v>
      </c>
      <c r="B97" s="295">
        <f t="shared" si="15"/>
        <v>80</v>
      </c>
      <c r="C97" s="40" t="s">
        <v>596</v>
      </c>
      <c r="D97" s="297" t="s">
        <v>383</v>
      </c>
      <c r="E97" s="8"/>
      <c r="F97" s="8"/>
      <c r="G97" s="25">
        <f t="array" ref="G97">SUM(IF("1521"&amp;C97=KHN&amp;MH,SL))</f>
        <v>440</v>
      </c>
      <c r="H97" s="25">
        <f t="array" ref="H97">SUM(IF("1521"&amp;C97=KHN&amp;MH,TH))</f>
        <v>7016240</v>
      </c>
      <c r="I97" s="25">
        <f t="array" ref="I97">SUM(IF("1521"&amp;C97=KHC&amp;MH,SL))</f>
        <v>440</v>
      </c>
      <c r="J97" s="25">
        <f t="array" ref="J97">SUM(IF("1521"&amp;C97=KHC&amp;MH,TH))</f>
        <v>7016240</v>
      </c>
      <c r="K97" s="8">
        <f t="shared" si="13"/>
        <v>0</v>
      </c>
      <c r="L97" s="8">
        <f t="shared" si="14"/>
        <v>0</v>
      </c>
      <c r="M97" s="294"/>
    </row>
    <row r="98" spans="1:13" ht="18" customHeight="1">
      <c r="A98" s="294" t="str">
        <f t="shared" si="12"/>
        <v>NL</v>
      </c>
      <c r="B98" s="295">
        <f t="shared" si="15"/>
        <v>81</v>
      </c>
      <c r="C98" s="40" t="s">
        <v>597</v>
      </c>
      <c r="D98" s="297" t="s">
        <v>383</v>
      </c>
      <c r="E98" s="8"/>
      <c r="F98" s="8"/>
      <c r="G98" s="25">
        <f t="array" ref="G98">SUM(IF("1521"&amp;C98=KHN&amp;MH,SL))</f>
        <v>202</v>
      </c>
      <c r="H98" s="25">
        <f t="array" ref="H98">SUM(IF("1521"&amp;C98=KHN&amp;MH,TH))</f>
        <v>5240284</v>
      </c>
      <c r="I98" s="25">
        <f t="array" ref="I98">SUM(IF("1521"&amp;C98=KHC&amp;MH,SL))</f>
        <v>202</v>
      </c>
      <c r="J98" s="25">
        <f t="array" ref="J98">SUM(IF("1521"&amp;C98=KHC&amp;MH,TH))</f>
        <v>5240284</v>
      </c>
      <c r="K98" s="8">
        <f t="shared" si="13"/>
        <v>0</v>
      </c>
      <c r="L98" s="8">
        <f t="shared" si="14"/>
        <v>0</v>
      </c>
      <c r="M98" s="294"/>
    </row>
    <row r="99" spans="1:13" ht="18" customHeight="1">
      <c r="A99" s="294" t="str">
        <f t="shared" si="12"/>
        <v>NL</v>
      </c>
      <c r="B99" s="295">
        <f t="shared" si="15"/>
        <v>82</v>
      </c>
      <c r="C99" s="40" t="s">
        <v>598</v>
      </c>
      <c r="D99" s="297" t="s">
        <v>383</v>
      </c>
      <c r="E99" s="8"/>
      <c r="F99" s="8"/>
      <c r="G99" s="25">
        <f t="array" ref="G99">SUM(IF("1521"&amp;C99=KHN&amp;MH,SL))</f>
        <v>424</v>
      </c>
      <c r="H99" s="25">
        <f t="array" ref="H99">SUM(IF("1521"&amp;C99=KHN&amp;MH,TH))</f>
        <v>7366576</v>
      </c>
      <c r="I99" s="25">
        <f t="array" ref="I99">SUM(IF("1521"&amp;C99=KHC&amp;MH,SL))</f>
        <v>412</v>
      </c>
      <c r="J99" s="25">
        <f t="array" ref="J99">SUM(IF("1521"&amp;C99=KHC&amp;MH,TH))</f>
        <v>7158088</v>
      </c>
      <c r="K99" s="8">
        <f t="shared" si="13"/>
        <v>12</v>
      </c>
      <c r="L99" s="8">
        <f t="shared" si="14"/>
        <v>208488</v>
      </c>
      <c r="M99" s="294"/>
    </row>
    <row r="100" spans="1:13" ht="18" customHeight="1">
      <c r="A100" s="294" t="str">
        <f t="shared" si="12"/>
        <v>NL</v>
      </c>
      <c r="B100" s="295">
        <f t="shared" si="15"/>
        <v>83</v>
      </c>
      <c r="C100" s="40" t="s">
        <v>599</v>
      </c>
      <c r="D100" s="297" t="s">
        <v>383</v>
      </c>
      <c r="E100" s="8"/>
      <c r="F100" s="8"/>
      <c r="G100" s="25">
        <f t="array" ref="G100">SUM(IF("1521"&amp;C100=KHN&amp;MH,SL))</f>
        <v>22</v>
      </c>
      <c r="H100" s="25">
        <f t="array" ref="H100">SUM(IF("1521"&amp;C100=KHN&amp;MH,TH))</f>
        <v>591668</v>
      </c>
      <c r="I100" s="25">
        <f t="array" ref="I100">SUM(IF("1521"&amp;C100=KHC&amp;MH,SL))</f>
        <v>22</v>
      </c>
      <c r="J100" s="25">
        <f t="array" ref="J100">SUM(IF("1521"&amp;C100=KHC&amp;MH,TH))</f>
        <v>591668</v>
      </c>
      <c r="K100" s="8">
        <f t="shared" si="13"/>
        <v>0</v>
      </c>
      <c r="L100" s="8">
        <f t="shared" si="14"/>
        <v>0</v>
      </c>
      <c r="M100" s="294"/>
    </row>
    <row r="101" spans="1:13" ht="18" customHeight="1">
      <c r="A101" s="294" t="str">
        <f t="shared" si="12"/>
        <v>NL</v>
      </c>
      <c r="B101" s="295">
        <f t="shared" si="15"/>
        <v>84</v>
      </c>
      <c r="C101" s="40" t="s">
        <v>600</v>
      </c>
      <c r="D101" s="297" t="s">
        <v>383</v>
      </c>
      <c r="E101" s="8"/>
      <c r="F101" s="8"/>
      <c r="G101" s="25">
        <f t="array" ref="G101">SUM(IF("1521"&amp;C101=KHN&amp;MH,SL))</f>
        <v>55</v>
      </c>
      <c r="H101" s="25">
        <f t="array" ref="H101">SUM(IF("1521"&amp;C101=KHN&amp;MH,TH))</f>
        <v>1335180</v>
      </c>
      <c r="I101" s="25">
        <f t="array" ref="I101">SUM(IF("1521"&amp;C101=KHC&amp;MH,SL))</f>
        <v>55</v>
      </c>
      <c r="J101" s="25">
        <f t="array" ref="J101">SUM(IF("1521"&amp;C101=KHC&amp;MH,TH))</f>
        <v>1335180</v>
      </c>
      <c r="K101" s="8">
        <f t="shared" si="13"/>
        <v>0</v>
      </c>
      <c r="L101" s="8">
        <f t="shared" si="14"/>
        <v>0</v>
      </c>
      <c r="M101" s="294"/>
    </row>
    <row r="102" spans="1:13" ht="18" customHeight="1">
      <c r="A102" s="294" t="str">
        <f t="shared" si="12"/>
        <v>NL</v>
      </c>
      <c r="B102" s="295">
        <f t="shared" si="15"/>
        <v>85</v>
      </c>
      <c r="C102" s="40" t="s">
        <v>601</v>
      </c>
      <c r="D102" s="297" t="s">
        <v>383</v>
      </c>
      <c r="E102" s="8"/>
      <c r="F102" s="8"/>
      <c r="G102" s="25">
        <f t="array" ref="G102">SUM(IF("1521"&amp;C102=KHN&amp;MH,SL))</f>
        <v>14</v>
      </c>
      <c r="H102" s="25">
        <f t="array" ref="H102">SUM(IF("1521"&amp;C102=KHN&amp;MH,TH))</f>
        <v>228242</v>
      </c>
      <c r="I102" s="25">
        <f t="array" ref="I102">SUM(IF("1521"&amp;C102=KHC&amp;MH,SL))</f>
        <v>14</v>
      </c>
      <c r="J102" s="25">
        <f t="array" ref="J102">SUM(IF("1521"&amp;C102=KHC&amp;MH,TH))</f>
        <v>228242</v>
      </c>
      <c r="K102" s="8">
        <f t="shared" si="13"/>
        <v>0</v>
      </c>
      <c r="L102" s="8">
        <f t="shared" si="14"/>
        <v>0</v>
      </c>
      <c r="M102" s="294"/>
    </row>
    <row r="103" spans="1:13" ht="18" customHeight="1">
      <c r="A103" s="294" t="str">
        <f t="shared" si="12"/>
        <v>NL</v>
      </c>
      <c r="B103" s="295">
        <f t="shared" si="15"/>
        <v>86</v>
      </c>
      <c r="C103" s="40" t="s">
        <v>602</v>
      </c>
      <c r="D103" s="297" t="s">
        <v>383</v>
      </c>
      <c r="E103" s="8"/>
      <c r="F103" s="8"/>
      <c r="G103" s="25">
        <f t="array" ref="G103">SUM(IF("1521"&amp;C103=KHN&amp;MH,SL))</f>
        <v>12</v>
      </c>
      <c r="H103" s="25">
        <f t="array" ref="H103">SUM(IF("1521"&amp;C103=KHN&amp;MH,TH))</f>
        <v>157080</v>
      </c>
      <c r="I103" s="25">
        <f t="array" ref="I103">SUM(IF("1521"&amp;C103=KHC&amp;MH,SL))</f>
        <v>12</v>
      </c>
      <c r="J103" s="25">
        <f t="array" ref="J103">SUM(IF("1521"&amp;C103=KHC&amp;MH,TH))</f>
        <v>157080</v>
      </c>
      <c r="K103" s="8">
        <f t="shared" si="13"/>
        <v>0</v>
      </c>
      <c r="L103" s="8">
        <f t="shared" si="14"/>
        <v>0</v>
      </c>
      <c r="M103" s="294"/>
    </row>
    <row r="104" spans="1:13" ht="18" customHeight="1">
      <c r="A104" s="294" t="str">
        <f t="shared" si="12"/>
        <v>NL</v>
      </c>
      <c r="B104" s="295">
        <f t="shared" si="15"/>
        <v>87</v>
      </c>
      <c r="C104" s="40" t="s">
        <v>604</v>
      </c>
      <c r="D104" s="297" t="s">
        <v>383</v>
      </c>
      <c r="E104" s="8"/>
      <c r="F104" s="8"/>
      <c r="G104" s="25">
        <f t="array" ref="G104">SUM(IF("1521"&amp;C104=KHN&amp;MH,SL))</f>
        <v>84</v>
      </c>
      <c r="H104" s="25">
        <f t="array" ref="H104">SUM(IF("1521"&amp;C104=KHN&amp;MH,TH))</f>
        <v>1199520</v>
      </c>
      <c r="I104" s="25">
        <f t="array" ref="I104">SUM(IF("1521"&amp;C104=KHC&amp;MH,SL))</f>
        <v>84</v>
      </c>
      <c r="J104" s="25">
        <f t="array" ref="J104">SUM(IF("1521"&amp;C104=KHC&amp;MH,TH))</f>
        <v>1199520</v>
      </c>
      <c r="K104" s="8">
        <f t="shared" si="13"/>
        <v>0</v>
      </c>
      <c r="L104" s="8">
        <f t="shared" si="14"/>
        <v>0</v>
      </c>
      <c r="M104" s="294"/>
    </row>
    <row r="105" spans="1:13" ht="18" customHeight="1">
      <c r="A105" s="294" t="str">
        <f t="shared" si="12"/>
        <v>NL</v>
      </c>
      <c r="B105" s="295">
        <f t="shared" si="15"/>
        <v>88</v>
      </c>
      <c r="C105" s="40" t="s">
        <v>605</v>
      </c>
      <c r="D105" s="297" t="s">
        <v>383</v>
      </c>
      <c r="E105" s="8"/>
      <c r="F105" s="8"/>
      <c r="G105" s="25">
        <f t="array" ref="G105">SUM(IF("1521"&amp;C105=KHN&amp;MH,SL))</f>
        <v>32</v>
      </c>
      <c r="H105" s="25">
        <f t="array" ref="H105">SUM(IF("1521"&amp;C105=KHN&amp;MH,TH))</f>
        <v>875840</v>
      </c>
      <c r="I105" s="25">
        <f t="array" ref="I105">SUM(IF("1521"&amp;C105=KHC&amp;MH,SL))</f>
        <v>32</v>
      </c>
      <c r="J105" s="25">
        <f t="array" ref="J105">SUM(IF("1521"&amp;C105=KHC&amp;MH,TH))</f>
        <v>875840</v>
      </c>
      <c r="K105" s="8">
        <f t="shared" si="13"/>
        <v>0</v>
      </c>
      <c r="L105" s="8">
        <f t="shared" si="14"/>
        <v>0</v>
      </c>
      <c r="M105" s="294"/>
    </row>
    <row r="106" spans="1:13" ht="18" customHeight="1">
      <c r="A106" s="294" t="str">
        <f t="shared" si="12"/>
        <v>NL</v>
      </c>
      <c r="B106" s="295">
        <f t="shared" si="15"/>
        <v>89</v>
      </c>
      <c r="C106" s="40" t="s">
        <v>606</v>
      </c>
      <c r="D106" s="297" t="s">
        <v>383</v>
      </c>
      <c r="E106" s="8"/>
      <c r="F106" s="8"/>
      <c r="G106" s="25">
        <f t="array" ref="G106">SUM(IF("1521"&amp;C106=KHN&amp;MH,SL))</f>
        <v>90</v>
      </c>
      <c r="H106" s="25">
        <f t="array" ref="H106">SUM(IF("1521"&amp;C106=KHN&amp;MH,TH))</f>
        <v>2399040</v>
      </c>
      <c r="I106" s="25">
        <f t="array" ref="I106">SUM(IF("1521"&amp;C106=KHC&amp;MH,SL))</f>
        <v>90</v>
      </c>
      <c r="J106" s="25">
        <f t="array" ref="J106">SUM(IF("1521"&amp;C106=KHC&amp;MH,TH))</f>
        <v>2399040</v>
      </c>
      <c r="K106" s="8">
        <f t="shared" si="13"/>
        <v>0</v>
      </c>
      <c r="L106" s="8">
        <f t="shared" si="14"/>
        <v>0</v>
      </c>
      <c r="M106" s="294"/>
    </row>
    <row r="107" spans="1:13" ht="18" customHeight="1">
      <c r="A107" s="294" t="str">
        <f t="shared" si="12"/>
        <v>NL</v>
      </c>
      <c r="B107" s="295">
        <f t="shared" si="15"/>
        <v>90</v>
      </c>
      <c r="C107" s="40" t="s">
        <v>607</v>
      </c>
      <c r="D107" s="297" t="s">
        <v>383</v>
      </c>
      <c r="E107" s="8"/>
      <c r="F107" s="8"/>
      <c r="G107" s="25">
        <f t="array" ref="G107">SUM(IF("1521"&amp;C107=KHN&amp;MH,SL))</f>
        <v>132</v>
      </c>
      <c r="H107" s="25">
        <f t="array" ref="H107">SUM(IF("1521"&amp;C107=KHN&amp;MH,TH))</f>
        <v>2784936</v>
      </c>
      <c r="I107" s="25">
        <f t="array" ref="I107">SUM(IF("1521"&amp;C107=KHC&amp;MH,SL))</f>
        <v>132</v>
      </c>
      <c r="J107" s="25">
        <f t="array" ref="J107">SUM(IF("1521"&amp;C107=KHC&amp;MH,TH))</f>
        <v>2784936</v>
      </c>
      <c r="K107" s="8">
        <f t="shared" si="13"/>
        <v>0</v>
      </c>
      <c r="L107" s="8">
        <f t="shared" si="14"/>
        <v>0</v>
      </c>
      <c r="M107" s="294"/>
    </row>
    <row r="108" spans="1:13" ht="18" customHeight="1">
      <c r="A108" s="294" t="str">
        <f t="shared" si="12"/>
        <v>NL</v>
      </c>
      <c r="B108" s="295">
        <f t="shared" si="15"/>
        <v>91</v>
      </c>
      <c r="C108" s="40" t="s">
        <v>609</v>
      </c>
      <c r="D108" s="297" t="s">
        <v>383</v>
      </c>
      <c r="E108" s="8"/>
      <c r="F108" s="8"/>
      <c r="G108" s="25">
        <f t="array" ref="G108">SUM(IF("1521"&amp;C108=KHN&amp;MH,SL))</f>
        <v>182</v>
      </c>
      <c r="H108" s="25">
        <f t="array" ref="H108">SUM(IF("1521"&amp;C108=KHN&amp;MH,TH))</f>
        <v>3534076</v>
      </c>
      <c r="I108" s="25">
        <f t="array" ref="I108">SUM(IF("1521"&amp;C108=KHC&amp;MH,SL))</f>
        <v>182</v>
      </c>
      <c r="J108" s="25">
        <f t="array" ref="J108">SUM(IF("1521"&amp;C108=KHC&amp;MH,TH))</f>
        <v>3534076</v>
      </c>
      <c r="K108" s="8">
        <f t="shared" si="13"/>
        <v>0</v>
      </c>
      <c r="L108" s="8">
        <f t="shared" si="14"/>
        <v>0</v>
      </c>
      <c r="M108" s="294"/>
    </row>
    <row r="109" spans="1:13" ht="18" customHeight="1">
      <c r="A109" s="294" t="str">
        <f t="shared" si="12"/>
        <v>NL</v>
      </c>
      <c r="B109" s="295">
        <f t="shared" si="15"/>
        <v>92</v>
      </c>
      <c r="C109" s="40" t="s">
        <v>610</v>
      </c>
      <c r="D109" s="297" t="s">
        <v>383</v>
      </c>
      <c r="E109" s="8"/>
      <c r="F109" s="8"/>
      <c r="G109" s="25">
        <f t="array" ref="G109">SUM(IF("1521"&amp;C109=KHN&amp;MH,SL))</f>
        <v>487</v>
      </c>
      <c r="H109" s="25">
        <f t="array" ref="H109">SUM(IF("1521"&amp;C109=KHN&amp;MH,TH))</f>
        <v>10949708</v>
      </c>
      <c r="I109" s="25">
        <f t="array" ref="I109">SUM(IF("1521"&amp;C109=KHC&amp;MH,SL))</f>
        <v>487</v>
      </c>
      <c r="J109" s="25">
        <f t="array" ref="J109">SUM(IF("1521"&amp;C109=KHC&amp;MH,TH))</f>
        <v>10949708</v>
      </c>
      <c r="K109" s="8">
        <f t="shared" si="13"/>
        <v>0</v>
      </c>
      <c r="L109" s="8">
        <f t="shared" si="14"/>
        <v>0</v>
      </c>
      <c r="M109" s="294"/>
    </row>
    <row r="110" spans="1:13" ht="18" customHeight="1">
      <c r="A110" s="294" t="str">
        <f t="shared" si="12"/>
        <v>NL</v>
      </c>
      <c r="B110" s="295">
        <f t="shared" si="15"/>
        <v>93</v>
      </c>
      <c r="C110" s="40" t="s">
        <v>611</v>
      </c>
      <c r="D110" s="297" t="s">
        <v>383</v>
      </c>
      <c r="E110" s="8"/>
      <c r="F110" s="8"/>
      <c r="G110" s="25">
        <f t="array" ref="G110">SUM(IF("1521"&amp;C110=KHN&amp;MH,SL))</f>
        <v>234</v>
      </c>
      <c r="H110" s="25">
        <f t="array" ref="H110">SUM(IF("1521"&amp;C110=KHN&amp;MH,TH))</f>
        <v>4304664</v>
      </c>
      <c r="I110" s="25">
        <f t="array" ref="I110">SUM(IF("1521"&amp;C110=KHC&amp;MH,SL))</f>
        <v>234</v>
      </c>
      <c r="J110" s="25">
        <f t="array" ref="J110">SUM(IF("1521"&amp;C110=KHC&amp;MH,TH))</f>
        <v>4304664</v>
      </c>
      <c r="K110" s="8">
        <f t="shared" si="13"/>
        <v>0</v>
      </c>
      <c r="L110" s="8">
        <f t="shared" si="14"/>
        <v>0</v>
      </c>
      <c r="M110" s="294"/>
    </row>
    <row r="111" spans="1:13" ht="18" customHeight="1">
      <c r="A111" s="294" t="str">
        <f t="shared" si="12"/>
        <v>NL</v>
      </c>
      <c r="B111" s="295">
        <f t="shared" si="15"/>
        <v>94</v>
      </c>
      <c r="C111" s="40" t="s">
        <v>612</v>
      </c>
      <c r="D111" s="297" t="s">
        <v>383</v>
      </c>
      <c r="E111" s="8"/>
      <c r="F111" s="8"/>
      <c r="G111" s="25">
        <f t="array" ref="G111">SUM(IF("1521"&amp;C111=KHN&amp;MH,SL))</f>
        <v>45</v>
      </c>
      <c r="H111" s="25">
        <f t="array" ref="H111">SUM(IF("1521"&amp;C111=KHN&amp;MH,TH))</f>
        <v>1340640</v>
      </c>
      <c r="I111" s="25">
        <f t="array" ref="I111">SUM(IF("1521"&amp;C111=KHC&amp;MH,SL))</f>
        <v>45</v>
      </c>
      <c r="J111" s="25">
        <f t="array" ref="J111">SUM(IF("1521"&amp;C111=KHC&amp;MH,TH))</f>
        <v>1340640</v>
      </c>
      <c r="K111" s="8">
        <f t="shared" si="13"/>
        <v>0</v>
      </c>
      <c r="L111" s="8">
        <f t="shared" si="14"/>
        <v>0</v>
      </c>
      <c r="M111" s="294"/>
    </row>
    <row r="112" spans="1:13" ht="18" customHeight="1">
      <c r="A112" s="294" t="str">
        <f t="shared" si="12"/>
        <v>NL</v>
      </c>
      <c r="B112" s="818">
        <f t="shared" si="15"/>
        <v>95</v>
      </c>
      <c r="C112" s="40" t="s">
        <v>613</v>
      </c>
      <c r="D112" s="297" t="s">
        <v>383</v>
      </c>
      <c r="E112" s="8"/>
      <c r="F112" s="8"/>
      <c r="G112" s="25">
        <f t="array" ref="G112">SUM(IF("1521"&amp;C112=KHN&amp;MH,SL))</f>
        <v>391</v>
      </c>
      <c r="H112" s="25">
        <f t="array" ref="H112">SUM(IF("1521"&amp;C112=KHN&amp;MH,TH))</f>
        <v>7499380</v>
      </c>
      <c r="I112" s="25">
        <f t="array" ref="I112">SUM(IF("1521"&amp;C112=KHC&amp;MH,SL))</f>
        <v>391</v>
      </c>
      <c r="J112" s="25">
        <f t="array" ref="J112">SUM(IF("1521"&amp;C112=KHC&amp;MH,TH))</f>
        <v>7499380</v>
      </c>
      <c r="K112" s="8">
        <f t="shared" si="13"/>
        <v>0</v>
      </c>
      <c r="L112" s="8">
        <f t="shared" si="14"/>
        <v>0</v>
      </c>
      <c r="M112" s="294"/>
    </row>
    <row r="113" spans="1:13" ht="18" customHeight="1">
      <c r="A113" s="294" t="str">
        <f t="shared" si="12"/>
        <v>NL</v>
      </c>
      <c r="B113" s="295">
        <f t="shared" si="15"/>
        <v>96</v>
      </c>
      <c r="C113" s="40" t="s">
        <v>614</v>
      </c>
      <c r="D113" s="297" t="s">
        <v>383</v>
      </c>
      <c r="E113" s="8"/>
      <c r="F113" s="8"/>
      <c r="G113" s="25">
        <f t="array" ref="G113">SUM(IF("1521"&amp;C113=KHN&amp;MH,SL))</f>
        <v>20</v>
      </c>
      <c r="H113" s="25">
        <f t="array" ref="H113">SUM(IF("1521"&amp;C113=KHN&amp;MH,TH))</f>
        <v>627200</v>
      </c>
      <c r="I113" s="25">
        <f t="array" ref="I113">SUM(IF("1521"&amp;C113=KHC&amp;MH,SL))</f>
        <v>20</v>
      </c>
      <c r="J113" s="25">
        <f t="array" ref="J113">SUM(IF("1521"&amp;C113=KHC&amp;MH,TH))</f>
        <v>627200</v>
      </c>
      <c r="K113" s="8">
        <f t="shared" si="13"/>
        <v>0</v>
      </c>
      <c r="L113" s="8">
        <f t="shared" si="14"/>
        <v>0</v>
      </c>
      <c r="M113" s="294"/>
    </row>
    <row r="114" spans="1:13" ht="18" customHeight="1">
      <c r="A114" s="294" t="str">
        <f t="shared" si="12"/>
        <v>NL</v>
      </c>
      <c r="B114" s="295">
        <f t="shared" si="15"/>
        <v>97</v>
      </c>
      <c r="C114" s="40" t="s">
        <v>615</v>
      </c>
      <c r="D114" s="297" t="s">
        <v>383</v>
      </c>
      <c r="E114" s="8"/>
      <c r="F114" s="8"/>
      <c r="G114" s="25">
        <f t="array" ref="G114">SUM(IF("1521"&amp;C114=KHN&amp;MH,SL))</f>
        <v>58</v>
      </c>
      <c r="H114" s="25">
        <f t="array" ref="H114">SUM(IF("1521"&amp;C114=KHN&amp;MH,TH))</f>
        <v>1651608</v>
      </c>
      <c r="I114" s="25">
        <f t="array" ref="I114">SUM(IF("1521"&amp;C114=KHC&amp;MH,SL))</f>
        <v>58</v>
      </c>
      <c r="J114" s="25">
        <f t="array" ref="J114">SUM(IF("1521"&amp;C114=KHC&amp;MH,TH))</f>
        <v>1651608</v>
      </c>
      <c r="K114" s="8">
        <f t="shared" si="13"/>
        <v>0</v>
      </c>
      <c r="L114" s="8">
        <f t="shared" si="14"/>
        <v>0</v>
      </c>
      <c r="M114" s="294"/>
    </row>
    <row r="115" spans="1:13" ht="18" customHeight="1">
      <c r="A115" s="294" t="str">
        <f t="shared" ref="A115:A146" si="16">IF(B115&lt;&gt;"","NL","")</f>
        <v>NL</v>
      </c>
      <c r="B115" s="295">
        <f t="shared" si="15"/>
        <v>98</v>
      </c>
      <c r="C115" s="40" t="s">
        <v>616</v>
      </c>
      <c r="D115" s="297" t="s">
        <v>383</v>
      </c>
      <c r="E115" s="8"/>
      <c r="F115" s="8"/>
      <c r="G115" s="25">
        <f t="array" ref="G115">SUM(IF("1521"&amp;C115=KHN&amp;MH,SL))</f>
        <v>92</v>
      </c>
      <c r="H115" s="25">
        <f t="array" ref="H115">SUM(IF("1521"&amp;C115=KHN&amp;MH,TH))</f>
        <v>2765336</v>
      </c>
      <c r="I115" s="25">
        <f t="array" ref="I115">SUM(IF("1521"&amp;C115=KHC&amp;MH,SL))</f>
        <v>92</v>
      </c>
      <c r="J115" s="25">
        <f t="array" ref="J115">SUM(IF("1521"&amp;C115=KHC&amp;MH,TH))</f>
        <v>2765336</v>
      </c>
      <c r="K115" s="8">
        <f t="shared" ref="K115:K148" si="17">E115+G115-I115</f>
        <v>0</v>
      </c>
      <c r="L115" s="8">
        <f t="shared" ref="L115:L148" si="18">F115+H115-J115</f>
        <v>0</v>
      </c>
      <c r="M115" s="294"/>
    </row>
    <row r="116" spans="1:13" ht="18" customHeight="1">
      <c r="A116" s="294" t="str">
        <f t="shared" si="16"/>
        <v>NL</v>
      </c>
      <c r="B116" s="295">
        <f t="shared" ref="B116:B147" si="19">IF(C116&lt;&gt;"",B115+1,"")</f>
        <v>99</v>
      </c>
      <c r="C116" s="40" t="s">
        <v>618</v>
      </c>
      <c r="D116" s="297" t="s">
        <v>383</v>
      </c>
      <c r="E116" s="8"/>
      <c r="F116" s="8"/>
      <c r="G116" s="25">
        <f t="array" ref="G116">SUM(IF("1521"&amp;C116=KHN&amp;MH,SL))</f>
        <v>20</v>
      </c>
      <c r="H116" s="25">
        <f t="array" ref="H116">SUM(IF("1521"&amp;C116=KHN&amp;MH,TH))</f>
        <v>571200</v>
      </c>
      <c r="I116" s="25">
        <f t="array" ref="I116">SUM(IF("1521"&amp;C116=KHC&amp;MH,SL))</f>
        <v>20</v>
      </c>
      <c r="J116" s="25">
        <f t="array" ref="J116">SUM(IF("1521"&amp;C116=KHC&amp;MH,TH))</f>
        <v>571200</v>
      </c>
      <c r="K116" s="8">
        <f t="shared" si="17"/>
        <v>0</v>
      </c>
      <c r="L116" s="8">
        <f t="shared" si="18"/>
        <v>0</v>
      </c>
      <c r="M116" s="294"/>
    </row>
    <row r="117" spans="1:13" ht="18" customHeight="1">
      <c r="A117" s="294" t="str">
        <f t="shared" si="16"/>
        <v>NL</v>
      </c>
      <c r="B117" s="295">
        <f t="shared" si="19"/>
        <v>100</v>
      </c>
      <c r="C117" s="40" t="s">
        <v>619</v>
      </c>
      <c r="D117" s="297" t="s">
        <v>383</v>
      </c>
      <c r="E117" s="8"/>
      <c r="F117" s="8"/>
      <c r="G117" s="25">
        <f t="array" ref="G117">SUM(IF("1521"&amp;C117=KHN&amp;MH,SL))</f>
        <v>10</v>
      </c>
      <c r="H117" s="25">
        <f t="array" ref="H117">SUM(IF("1521"&amp;C117=KHN&amp;MH,TH))</f>
        <v>328440</v>
      </c>
      <c r="I117" s="25">
        <f t="array" ref="I117">SUM(IF("1521"&amp;C117=KHC&amp;MH,SL))</f>
        <v>10</v>
      </c>
      <c r="J117" s="25">
        <f t="array" ref="J117">SUM(IF("1521"&amp;C117=KHC&amp;MH,TH))</f>
        <v>328440</v>
      </c>
      <c r="K117" s="8">
        <f t="shared" si="17"/>
        <v>0</v>
      </c>
      <c r="L117" s="8">
        <f t="shared" si="18"/>
        <v>0</v>
      </c>
      <c r="M117" s="294"/>
    </row>
    <row r="118" spans="1:13" ht="18" customHeight="1">
      <c r="A118" s="294" t="str">
        <f t="shared" si="16"/>
        <v>NL</v>
      </c>
      <c r="B118" s="295">
        <f t="shared" si="19"/>
        <v>101</v>
      </c>
      <c r="C118" s="40" t="s">
        <v>620</v>
      </c>
      <c r="D118" s="297" t="s">
        <v>383</v>
      </c>
      <c r="E118" s="8"/>
      <c r="F118" s="8"/>
      <c r="G118" s="25">
        <f t="array" ref="G118">SUM(IF("1521"&amp;C118=KHN&amp;MH,SL))</f>
        <v>192</v>
      </c>
      <c r="H118" s="25">
        <f t="array" ref="H118">SUM(IF("1521"&amp;C118=KHN&amp;MH,TH))</f>
        <v>3924480</v>
      </c>
      <c r="I118" s="25">
        <f t="array" ref="I118">SUM(IF("1521"&amp;C118=KHC&amp;MH,SL))</f>
        <v>192</v>
      </c>
      <c r="J118" s="25">
        <f t="array" ref="J118">SUM(IF("1521"&amp;C118=KHC&amp;MH,TH))</f>
        <v>3924480</v>
      </c>
      <c r="K118" s="8">
        <f t="shared" si="17"/>
        <v>0</v>
      </c>
      <c r="L118" s="8">
        <f t="shared" si="18"/>
        <v>0</v>
      </c>
      <c r="M118" s="294"/>
    </row>
    <row r="119" spans="1:13" ht="18" customHeight="1">
      <c r="A119" s="294" t="str">
        <f t="shared" si="16"/>
        <v>NL</v>
      </c>
      <c r="B119" s="295">
        <f t="shared" si="19"/>
        <v>102</v>
      </c>
      <c r="C119" s="40" t="s">
        <v>621</v>
      </c>
      <c r="D119" s="297" t="s">
        <v>383</v>
      </c>
      <c r="E119" s="8"/>
      <c r="F119" s="8"/>
      <c r="G119" s="25">
        <f t="array" ref="G119">SUM(IF("1521"&amp;C119=KHN&amp;MH,SL))</f>
        <v>20</v>
      </c>
      <c r="H119" s="25">
        <f t="array" ref="H119">SUM(IF("1521"&amp;C119=KHN&amp;MH,TH))</f>
        <v>632800</v>
      </c>
      <c r="I119" s="25">
        <f t="array" ref="I119">SUM(IF("1521"&amp;C119=KHC&amp;MH,SL))</f>
        <v>20</v>
      </c>
      <c r="J119" s="25">
        <f t="array" ref="J119">SUM(IF("1521"&amp;C119=KHC&amp;MH,TH))</f>
        <v>632800</v>
      </c>
      <c r="K119" s="8">
        <f t="shared" si="17"/>
        <v>0</v>
      </c>
      <c r="L119" s="8">
        <f t="shared" si="18"/>
        <v>0</v>
      </c>
      <c r="M119" s="294"/>
    </row>
    <row r="120" spans="1:13" ht="18" customHeight="1">
      <c r="A120" s="294" t="str">
        <f t="shared" si="16"/>
        <v>NL</v>
      </c>
      <c r="B120" s="295">
        <f t="shared" si="19"/>
        <v>103</v>
      </c>
      <c r="C120" s="40" t="s">
        <v>622</v>
      </c>
      <c r="D120" s="297" t="s">
        <v>383</v>
      </c>
      <c r="E120" s="8"/>
      <c r="F120" s="8"/>
      <c r="G120" s="25">
        <f t="array" ref="G120">SUM(IF("1521"&amp;C120=KHN&amp;MH,SL))</f>
        <v>55</v>
      </c>
      <c r="H120" s="25">
        <f t="array" ref="H120">SUM(IF("1521"&amp;C120=KHN&amp;MH,TH))</f>
        <v>1314830</v>
      </c>
      <c r="I120" s="25">
        <f t="array" ref="I120">SUM(IF("1521"&amp;C120=KHC&amp;MH,SL))</f>
        <v>55</v>
      </c>
      <c r="J120" s="25">
        <f t="array" ref="J120">SUM(IF("1521"&amp;C120=KHC&amp;MH,TH))</f>
        <v>1314830</v>
      </c>
      <c r="K120" s="8">
        <f t="shared" si="17"/>
        <v>0</v>
      </c>
      <c r="L120" s="8">
        <f t="shared" si="18"/>
        <v>0</v>
      </c>
      <c r="M120" s="294"/>
    </row>
    <row r="121" spans="1:13" ht="18" customHeight="1">
      <c r="A121" s="294" t="str">
        <f t="shared" si="16"/>
        <v>NL</v>
      </c>
      <c r="B121" s="295">
        <f t="shared" si="19"/>
        <v>104</v>
      </c>
      <c r="C121" s="40" t="s">
        <v>624</v>
      </c>
      <c r="D121" s="297" t="s">
        <v>383</v>
      </c>
      <c r="E121" s="8"/>
      <c r="F121" s="8"/>
      <c r="G121" s="25">
        <f t="array" ref="G121">SUM(IF("1521"&amp;C121=KHN&amp;MH,SL))</f>
        <v>100</v>
      </c>
      <c r="H121" s="25">
        <f t="array" ref="H121">SUM(IF("1521"&amp;C121=KHN&amp;MH,TH))</f>
        <v>2368800</v>
      </c>
      <c r="I121" s="25">
        <f t="array" ref="I121">SUM(IF("1521"&amp;C121=KHC&amp;MH,SL))</f>
        <v>100</v>
      </c>
      <c r="J121" s="25">
        <f t="array" ref="J121">SUM(IF("1521"&amp;C121=KHC&amp;MH,TH))</f>
        <v>2368800</v>
      </c>
      <c r="K121" s="8">
        <f t="shared" si="17"/>
        <v>0</v>
      </c>
      <c r="L121" s="8">
        <f t="shared" si="18"/>
        <v>0</v>
      </c>
      <c r="M121" s="294"/>
    </row>
    <row r="122" spans="1:13" ht="18" customHeight="1">
      <c r="A122" s="294" t="str">
        <f t="shared" si="16"/>
        <v>NL</v>
      </c>
      <c r="B122" s="295">
        <f t="shared" si="19"/>
        <v>105</v>
      </c>
      <c r="C122" s="40" t="s">
        <v>625</v>
      </c>
      <c r="D122" s="297" t="s">
        <v>383</v>
      </c>
      <c r="E122" s="8"/>
      <c r="F122" s="8"/>
      <c r="G122" s="25">
        <f t="array" ref="G122">SUM(IF("1521"&amp;C122=KHN&amp;MH,SL))</f>
        <v>94</v>
      </c>
      <c r="H122" s="25">
        <f t="array" ref="H122">SUM(IF("1521"&amp;C122=KHN&amp;MH,TH))</f>
        <v>2724120</v>
      </c>
      <c r="I122" s="25">
        <f t="array" ref="I122">SUM(IF("1521"&amp;C122=KHC&amp;MH,SL))</f>
        <v>94</v>
      </c>
      <c r="J122" s="25">
        <f t="array" ref="J122">SUM(IF("1521"&amp;C122=KHC&amp;MH,TH))</f>
        <v>2724120</v>
      </c>
      <c r="K122" s="8">
        <f t="shared" si="17"/>
        <v>0</v>
      </c>
      <c r="L122" s="8">
        <f t="shared" si="18"/>
        <v>0</v>
      </c>
      <c r="M122" s="294"/>
    </row>
    <row r="123" spans="1:13" ht="18" customHeight="1">
      <c r="A123" s="294" t="str">
        <f t="shared" si="16"/>
        <v>NL</v>
      </c>
      <c r="B123" s="295">
        <f t="shared" si="19"/>
        <v>106</v>
      </c>
      <c r="C123" s="40" t="s">
        <v>626</v>
      </c>
      <c r="D123" s="297" t="s">
        <v>383</v>
      </c>
      <c r="E123" s="8"/>
      <c r="F123" s="8"/>
      <c r="G123" s="25">
        <f t="array" ref="G123">SUM(IF("1521"&amp;C123=KHN&amp;MH,SL))</f>
        <v>640</v>
      </c>
      <c r="H123" s="25">
        <f t="array" ref="H123">SUM(IF("1521"&amp;C123=KHN&amp;MH,TH))</f>
        <v>15344000</v>
      </c>
      <c r="I123" s="25">
        <f t="array" ref="I123">SUM(IF("1521"&amp;C123=KHC&amp;MH,SL))</f>
        <v>640</v>
      </c>
      <c r="J123" s="25">
        <f t="array" ref="J123">SUM(IF("1521"&amp;C123=KHC&amp;MH,TH))</f>
        <v>15344000</v>
      </c>
      <c r="K123" s="8">
        <f t="shared" si="17"/>
        <v>0</v>
      </c>
      <c r="L123" s="8">
        <f t="shared" si="18"/>
        <v>0</v>
      </c>
      <c r="M123" s="294"/>
    </row>
    <row r="124" spans="1:13" ht="18" customHeight="1">
      <c r="A124" s="294" t="str">
        <f t="shared" si="16"/>
        <v>NL</v>
      </c>
      <c r="B124" s="295">
        <f t="shared" si="19"/>
        <v>107</v>
      </c>
      <c r="C124" s="40" t="s">
        <v>627</v>
      </c>
      <c r="D124" s="297" t="s">
        <v>383</v>
      </c>
      <c r="E124" s="8"/>
      <c r="F124" s="8"/>
      <c r="G124" s="25">
        <f t="array" ref="G124">SUM(IF("1521"&amp;C124=KHN&amp;MH,SL))</f>
        <v>170</v>
      </c>
      <c r="H124" s="25">
        <f t="array" ref="H124">SUM(IF("1521"&amp;C124=KHN&amp;MH,TH))</f>
        <v>2839510</v>
      </c>
      <c r="I124" s="25">
        <f t="array" ref="I124">SUM(IF("1521"&amp;C124=KHC&amp;MH,SL))</f>
        <v>170</v>
      </c>
      <c r="J124" s="25">
        <f t="array" ref="J124">SUM(IF("1521"&amp;C124=KHC&amp;MH,TH))</f>
        <v>2839510</v>
      </c>
      <c r="K124" s="8">
        <f t="shared" si="17"/>
        <v>0</v>
      </c>
      <c r="L124" s="8">
        <f t="shared" si="18"/>
        <v>0</v>
      </c>
      <c r="M124" s="294"/>
    </row>
    <row r="125" spans="1:13" ht="18" customHeight="1">
      <c r="A125" s="294" t="str">
        <f t="shared" si="16"/>
        <v>NL</v>
      </c>
      <c r="B125" s="295">
        <f t="shared" si="19"/>
        <v>108</v>
      </c>
      <c r="C125" s="40" t="s">
        <v>628</v>
      </c>
      <c r="D125" s="297" t="s">
        <v>383</v>
      </c>
      <c r="E125" s="8"/>
      <c r="F125" s="8"/>
      <c r="G125" s="25">
        <f t="array" ref="G125">SUM(IF("1521"&amp;C125=KHN&amp;MH,SL))</f>
        <v>194</v>
      </c>
      <c r="H125" s="25">
        <f t="array" ref="H125">SUM(IF("1521"&amp;C125=KHN&amp;MH,TH))</f>
        <v>6399090</v>
      </c>
      <c r="I125" s="25">
        <f t="array" ref="I125">SUM(IF("1521"&amp;C125=KHC&amp;MH,SL))</f>
        <v>194</v>
      </c>
      <c r="J125" s="25">
        <f t="array" ref="J125">SUM(IF("1521"&amp;C125=KHC&amp;MH,TH))</f>
        <v>6399090</v>
      </c>
      <c r="K125" s="8">
        <f t="shared" si="17"/>
        <v>0</v>
      </c>
      <c r="L125" s="8">
        <f t="shared" si="18"/>
        <v>0</v>
      </c>
      <c r="M125" s="294"/>
    </row>
    <row r="126" spans="1:13" ht="18" customHeight="1">
      <c r="A126" s="294" t="str">
        <f t="shared" si="16"/>
        <v>NL</v>
      </c>
      <c r="B126" s="295">
        <f t="shared" si="19"/>
        <v>109</v>
      </c>
      <c r="C126" s="189" t="s">
        <v>629</v>
      </c>
      <c r="D126" s="297" t="s">
        <v>383</v>
      </c>
      <c r="E126" s="8"/>
      <c r="F126" s="8"/>
      <c r="G126" s="25">
        <f t="array" ref="G126">SUM(IF("1521"&amp;C126=KHN&amp;MH,SL))</f>
        <v>94</v>
      </c>
      <c r="H126" s="25">
        <f t="array" ref="H126">SUM(IF("1521"&amp;C126=KHN&amp;MH,TH))</f>
        <v>2554450</v>
      </c>
      <c r="I126" s="25">
        <f t="array" ref="I126">SUM(IF("1521"&amp;C126=KHC&amp;MH,SL))</f>
        <v>94</v>
      </c>
      <c r="J126" s="25">
        <f t="array" ref="J126">SUM(IF("1521"&amp;C126=KHC&amp;MH,TH))</f>
        <v>2554450</v>
      </c>
      <c r="K126" s="8">
        <f t="shared" si="17"/>
        <v>0</v>
      </c>
      <c r="L126" s="8">
        <f t="shared" si="18"/>
        <v>0</v>
      </c>
      <c r="M126" s="294"/>
    </row>
    <row r="127" spans="1:13" ht="18" customHeight="1">
      <c r="A127" s="294" t="str">
        <f t="shared" si="16"/>
        <v>NL</v>
      </c>
      <c r="B127" s="295">
        <f t="shared" si="19"/>
        <v>110</v>
      </c>
      <c r="C127" s="189" t="s">
        <v>630</v>
      </c>
      <c r="D127" s="297" t="s">
        <v>383</v>
      </c>
      <c r="E127" s="8"/>
      <c r="F127" s="8"/>
      <c r="G127" s="25">
        <f t="array" ref="G127">SUM(IF("1521"&amp;C127=KHN&amp;MH,SL))</f>
        <v>260</v>
      </c>
      <c r="H127" s="25">
        <f t="array" ref="H127">SUM(IF("1521"&amp;C127=KHN&amp;MH,TH))</f>
        <v>2588040</v>
      </c>
      <c r="I127" s="25">
        <f t="array" ref="I127">SUM(IF("1521"&amp;C127=KHC&amp;MH,SL))</f>
        <v>260</v>
      </c>
      <c r="J127" s="25">
        <f t="array" ref="J127">SUM(IF("1521"&amp;C127=KHC&amp;MH,TH))</f>
        <v>2588040</v>
      </c>
      <c r="K127" s="8">
        <f t="shared" si="17"/>
        <v>0</v>
      </c>
      <c r="L127" s="8">
        <f t="shared" si="18"/>
        <v>0</v>
      </c>
      <c r="M127" s="294"/>
    </row>
    <row r="128" spans="1:13" ht="18" customHeight="1">
      <c r="A128" s="294" t="str">
        <f t="shared" si="16"/>
        <v>NL</v>
      </c>
      <c r="B128" s="295">
        <f t="shared" si="19"/>
        <v>111</v>
      </c>
      <c r="C128" s="189" t="s">
        <v>631</v>
      </c>
      <c r="D128" s="297" t="s">
        <v>383</v>
      </c>
      <c r="E128" s="8"/>
      <c r="F128" s="8"/>
      <c r="G128" s="25">
        <f t="array" ref="G128">SUM(IF("1521"&amp;C128=KHN&amp;MH,SL))</f>
        <v>2300</v>
      </c>
      <c r="H128" s="25">
        <f t="array" ref="H128">SUM(IF("1521"&amp;C128=KHN&amp;MH,TH))</f>
        <v>49346500</v>
      </c>
      <c r="I128" s="25">
        <f t="array" ref="I128">SUM(IF("1521"&amp;C128=KHC&amp;MH,SL))</f>
        <v>2300</v>
      </c>
      <c r="J128" s="25">
        <f t="array" ref="J128">SUM(IF("1521"&amp;C128=KHC&amp;MH,TH))</f>
        <v>49346500</v>
      </c>
      <c r="K128" s="8">
        <f t="shared" si="17"/>
        <v>0</v>
      </c>
      <c r="L128" s="8">
        <f t="shared" si="18"/>
        <v>0</v>
      </c>
      <c r="M128" s="294"/>
    </row>
    <row r="129" spans="1:13" ht="18" customHeight="1">
      <c r="A129" s="294" t="str">
        <f t="shared" si="16"/>
        <v>NL</v>
      </c>
      <c r="B129" s="295">
        <f t="shared" si="19"/>
        <v>112</v>
      </c>
      <c r="C129" s="189" t="s">
        <v>632</v>
      </c>
      <c r="D129" s="297" t="s">
        <v>383</v>
      </c>
      <c r="E129" s="8"/>
      <c r="F129" s="8"/>
      <c r="G129" s="25">
        <f t="array" ref="G129">SUM(IF("1521"&amp;C129=KHN&amp;MH,SL))</f>
        <v>260</v>
      </c>
      <c r="H129" s="25">
        <f t="array" ref="H129">SUM(IF("1521"&amp;C129=KHN&amp;MH,TH))</f>
        <v>2960100</v>
      </c>
      <c r="I129" s="25">
        <f t="array" ref="I129">SUM(IF("1521"&amp;C129=KHC&amp;MH,SL))</f>
        <v>260</v>
      </c>
      <c r="J129" s="25">
        <f t="array" ref="J129">SUM(IF("1521"&amp;C129=KHC&amp;MH,TH))</f>
        <v>2960100</v>
      </c>
      <c r="K129" s="8">
        <f t="shared" si="17"/>
        <v>0</v>
      </c>
      <c r="L129" s="8">
        <f t="shared" si="18"/>
        <v>0</v>
      </c>
      <c r="M129" s="294"/>
    </row>
    <row r="130" spans="1:13" ht="18" customHeight="1">
      <c r="A130" s="294" t="str">
        <f t="shared" si="16"/>
        <v>NL</v>
      </c>
      <c r="B130" s="295">
        <f t="shared" si="19"/>
        <v>113</v>
      </c>
      <c r="C130" s="189" t="s">
        <v>635</v>
      </c>
      <c r="D130" s="297" t="s">
        <v>383</v>
      </c>
      <c r="E130" s="8"/>
      <c r="F130" s="8"/>
      <c r="G130" s="25">
        <f t="array" ref="G130">SUM(IF("1521"&amp;C130=KHN&amp;MH,SL))</f>
        <v>510</v>
      </c>
      <c r="H130" s="25">
        <f t="array" ref="H130">SUM(IF("1521"&amp;C130=KHN&amp;MH,TH))</f>
        <v>3675570</v>
      </c>
      <c r="I130" s="25">
        <f t="array" ref="I130">SUM(IF("1521"&amp;C130=KHC&amp;MH,SL))</f>
        <v>510</v>
      </c>
      <c r="J130" s="25">
        <f t="array" ref="J130">SUM(IF("1521"&amp;C130=KHC&amp;MH,TH))</f>
        <v>3675570</v>
      </c>
      <c r="K130" s="8">
        <f t="shared" si="17"/>
        <v>0</v>
      </c>
      <c r="L130" s="8">
        <f t="shared" si="18"/>
        <v>0</v>
      </c>
      <c r="M130" s="294"/>
    </row>
    <row r="131" spans="1:13" ht="18" customHeight="1">
      <c r="A131" s="294" t="str">
        <f t="shared" si="16"/>
        <v>NL</v>
      </c>
      <c r="B131" s="295">
        <f t="shared" si="19"/>
        <v>114</v>
      </c>
      <c r="C131" s="189" t="s">
        <v>636</v>
      </c>
      <c r="D131" s="297" t="s">
        <v>383</v>
      </c>
      <c r="E131" s="8"/>
      <c r="F131" s="8"/>
      <c r="G131" s="25">
        <f t="array" ref="G131">SUM(IF("1521"&amp;C131=KHN&amp;MH,SL))</f>
        <v>123</v>
      </c>
      <c r="H131" s="25">
        <f t="array" ref="H131">SUM(IF("1521"&amp;C131=KHN&amp;MH,TH))</f>
        <v>4404876</v>
      </c>
      <c r="I131" s="25">
        <f t="array" ref="I131">SUM(IF("1521"&amp;C131=KHC&amp;MH,SL))</f>
        <v>123</v>
      </c>
      <c r="J131" s="25">
        <f t="array" ref="J131">SUM(IF("1521"&amp;C131=KHC&amp;MH,TH))</f>
        <v>4404876</v>
      </c>
      <c r="K131" s="8">
        <f t="shared" si="17"/>
        <v>0</v>
      </c>
      <c r="L131" s="8">
        <f t="shared" si="18"/>
        <v>0</v>
      </c>
      <c r="M131" s="294"/>
    </row>
    <row r="132" spans="1:13" ht="18" customHeight="1">
      <c r="A132" s="294" t="str">
        <f t="shared" si="16"/>
        <v>NL</v>
      </c>
      <c r="B132" s="295">
        <f t="shared" si="19"/>
        <v>115</v>
      </c>
      <c r="C132" s="189" t="s">
        <v>638</v>
      </c>
      <c r="D132" s="297" t="s">
        <v>383</v>
      </c>
      <c r="E132" s="8"/>
      <c r="F132" s="8"/>
      <c r="G132" s="25">
        <f t="array" ref="G132">SUM(IF("1521"&amp;C132=KHN&amp;MH,SL))</f>
        <v>120</v>
      </c>
      <c r="H132" s="25">
        <f t="array" ref="H132">SUM(IF("1521"&amp;C132=KHN&amp;MH,TH))</f>
        <v>2951400</v>
      </c>
      <c r="I132" s="25">
        <f t="array" ref="I132">SUM(IF("1521"&amp;C132=KHC&amp;MH,SL))</f>
        <v>120</v>
      </c>
      <c r="J132" s="25">
        <f t="array" ref="J132">SUM(IF("1521"&amp;C132=KHC&amp;MH,TH))</f>
        <v>2951400</v>
      </c>
      <c r="K132" s="8">
        <f t="shared" si="17"/>
        <v>0</v>
      </c>
      <c r="L132" s="8">
        <f t="shared" si="18"/>
        <v>0</v>
      </c>
      <c r="M132" s="294"/>
    </row>
    <row r="133" spans="1:13" ht="18" customHeight="1">
      <c r="A133" s="294" t="str">
        <f t="shared" si="16"/>
        <v>NL</v>
      </c>
      <c r="B133" s="295">
        <f t="shared" si="19"/>
        <v>116</v>
      </c>
      <c r="C133" s="40" t="s">
        <v>639</v>
      </c>
      <c r="D133" s="297" t="s">
        <v>383</v>
      </c>
      <c r="E133" s="8"/>
      <c r="F133" s="8"/>
      <c r="G133" s="25">
        <f t="array" ref="G133">SUM(IF("1521"&amp;C133=KHN&amp;MH,SL))</f>
        <v>113</v>
      </c>
      <c r="H133" s="25">
        <f t="array" ref="H133">SUM(IF("1521"&amp;C133=KHN&amp;MH,TH))</f>
        <v>3082979</v>
      </c>
      <c r="I133" s="25">
        <f t="array" ref="I133">SUM(IF("1521"&amp;C133=KHC&amp;MH,SL))</f>
        <v>113</v>
      </c>
      <c r="J133" s="25">
        <f t="array" ref="J133">SUM(IF("1521"&amp;C133=KHC&amp;MH,TH))</f>
        <v>3082979</v>
      </c>
      <c r="K133" s="8">
        <f t="shared" si="17"/>
        <v>0</v>
      </c>
      <c r="L133" s="8">
        <f t="shared" si="18"/>
        <v>0</v>
      </c>
      <c r="M133" s="294"/>
    </row>
    <row r="134" spans="1:13" ht="18" customHeight="1">
      <c r="A134" s="294" t="str">
        <f t="shared" si="16"/>
        <v>NL</v>
      </c>
      <c r="B134" s="295">
        <f t="shared" si="19"/>
        <v>117</v>
      </c>
      <c r="C134" s="40" t="s">
        <v>640</v>
      </c>
      <c r="D134" s="297" t="s">
        <v>646</v>
      </c>
      <c r="E134" s="8"/>
      <c r="F134" s="8"/>
      <c r="G134" s="25">
        <f t="array" ref="G134">SUM(IF("1521"&amp;C134=KHN&amp;MH,SL))</f>
        <v>125</v>
      </c>
      <c r="H134" s="25">
        <f t="array" ref="H134">SUM(IF("1521"&amp;C134=KHN&amp;MH,TH))</f>
        <v>3969000</v>
      </c>
      <c r="I134" s="25">
        <f t="array" ref="I134">SUM(IF("1521"&amp;C134=KHC&amp;MH,SL))</f>
        <v>125</v>
      </c>
      <c r="J134" s="25">
        <f t="array" ref="J134">SUM(IF("1521"&amp;C134=KHC&amp;MH,TH))</f>
        <v>3969000</v>
      </c>
      <c r="K134" s="8">
        <f t="shared" si="17"/>
        <v>0</v>
      </c>
      <c r="L134" s="8">
        <f t="shared" si="18"/>
        <v>0</v>
      </c>
      <c r="M134" s="294"/>
    </row>
    <row r="135" spans="1:13" ht="18" customHeight="1">
      <c r="A135" s="294" t="str">
        <f t="shared" si="16"/>
        <v>NL</v>
      </c>
      <c r="B135" s="295">
        <f t="shared" si="19"/>
        <v>118</v>
      </c>
      <c r="C135" s="40" t="s">
        <v>641</v>
      </c>
      <c r="D135" s="297" t="s">
        <v>646</v>
      </c>
      <c r="E135" s="8"/>
      <c r="F135" s="8"/>
      <c r="G135" s="25">
        <f t="array" ref="G135">SUM(IF("1521"&amp;C135=KHN&amp;MH,SL))</f>
        <v>120</v>
      </c>
      <c r="H135" s="25">
        <f t="array" ref="H135">SUM(IF("1521"&amp;C135=KHN&amp;MH,TH))</f>
        <v>4158360</v>
      </c>
      <c r="I135" s="25">
        <f t="array" ref="I135">SUM(IF("1521"&amp;C135=KHC&amp;MH,SL))</f>
        <v>120</v>
      </c>
      <c r="J135" s="25">
        <f t="array" ref="J135">SUM(IF("1521"&amp;C135=KHC&amp;MH,TH))</f>
        <v>4158360</v>
      </c>
      <c r="K135" s="8">
        <f t="shared" si="17"/>
        <v>0</v>
      </c>
      <c r="L135" s="8">
        <f t="shared" si="18"/>
        <v>0</v>
      </c>
      <c r="M135" s="294"/>
    </row>
    <row r="136" spans="1:13" ht="18" customHeight="1">
      <c r="A136" s="294" t="str">
        <f t="shared" si="16"/>
        <v>NL</v>
      </c>
      <c r="B136" s="295">
        <f t="shared" si="19"/>
        <v>119</v>
      </c>
      <c r="C136" s="40" t="s">
        <v>642</v>
      </c>
      <c r="D136" s="297" t="s">
        <v>646</v>
      </c>
      <c r="E136" s="8"/>
      <c r="F136" s="8"/>
      <c r="G136" s="25">
        <f t="array" ref="G136">SUM(IF("1521"&amp;C136=KHN&amp;MH,SL))</f>
        <v>476</v>
      </c>
      <c r="H136" s="25">
        <f t="array" ref="H136">SUM(IF("1521"&amp;C136=KHN&amp;MH,TH))</f>
        <v>9652328</v>
      </c>
      <c r="I136" s="25">
        <f t="array" ref="I136">SUM(IF("1521"&amp;C136=KHC&amp;MH,SL))</f>
        <v>476</v>
      </c>
      <c r="J136" s="25">
        <f t="array" ref="J136">SUM(IF("1521"&amp;C136=KHC&amp;MH,TH))</f>
        <v>9652328</v>
      </c>
      <c r="K136" s="8">
        <f t="shared" si="17"/>
        <v>0</v>
      </c>
      <c r="L136" s="8">
        <f t="shared" si="18"/>
        <v>0</v>
      </c>
      <c r="M136" s="294"/>
    </row>
    <row r="137" spans="1:13" ht="18" customHeight="1">
      <c r="A137" s="294" t="str">
        <f t="shared" si="16"/>
        <v>NL</v>
      </c>
      <c r="B137" s="295">
        <f t="shared" si="19"/>
        <v>120</v>
      </c>
      <c r="C137" s="40" t="s">
        <v>643</v>
      </c>
      <c r="D137" s="297" t="s">
        <v>646</v>
      </c>
      <c r="E137" s="8"/>
      <c r="F137" s="8"/>
      <c r="G137" s="25">
        <f t="array" ref="G137">SUM(IF("1521"&amp;C137=KHN&amp;MH,SL))</f>
        <v>120</v>
      </c>
      <c r="H137" s="25">
        <f t="array" ref="H137">SUM(IF("1521"&amp;C137=KHN&amp;MH,TH))</f>
        <v>3075720</v>
      </c>
      <c r="I137" s="25">
        <f t="array" ref="I137">SUM(IF("1521"&amp;C137=KHC&amp;MH,SL))</f>
        <v>120</v>
      </c>
      <c r="J137" s="25">
        <f t="array" ref="J137">SUM(IF("1521"&amp;C137=KHC&amp;MH,TH))</f>
        <v>3075720</v>
      </c>
      <c r="K137" s="8">
        <f t="shared" si="17"/>
        <v>0</v>
      </c>
      <c r="L137" s="8">
        <f t="shared" si="18"/>
        <v>0</v>
      </c>
      <c r="M137" s="294"/>
    </row>
    <row r="138" spans="1:13" ht="18" customHeight="1">
      <c r="A138" s="294" t="str">
        <f t="shared" si="16"/>
        <v>NL</v>
      </c>
      <c r="B138" s="295">
        <f t="shared" si="19"/>
        <v>121</v>
      </c>
      <c r="C138" s="40" t="s">
        <v>644</v>
      </c>
      <c r="D138" s="297" t="s">
        <v>646</v>
      </c>
      <c r="E138" s="8"/>
      <c r="F138" s="8"/>
      <c r="G138" s="25">
        <f t="array" ref="G138">SUM(IF("1521"&amp;C138=KHN&amp;MH,SL))</f>
        <v>662</v>
      </c>
      <c r="H138" s="25">
        <f t="array" ref="H138">SUM(IF("1521"&amp;C138=KHN&amp;MH,TH))</f>
        <v>19964596</v>
      </c>
      <c r="I138" s="25">
        <f t="array" ref="I138">SUM(IF("1521"&amp;C138=KHC&amp;MH,SL))</f>
        <v>662</v>
      </c>
      <c r="J138" s="25">
        <f t="array" ref="J138">SUM(IF("1521"&amp;C138=KHC&amp;MH,TH))</f>
        <v>19964596</v>
      </c>
      <c r="K138" s="8">
        <f t="shared" si="17"/>
        <v>0</v>
      </c>
      <c r="L138" s="8">
        <f t="shared" si="18"/>
        <v>0</v>
      </c>
      <c r="M138" s="294"/>
    </row>
    <row r="139" spans="1:13" ht="18" customHeight="1">
      <c r="A139" s="294" t="str">
        <f t="shared" si="16"/>
        <v>NL</v>
      </c>
      <c r="B139" s="295">
        <f t="shared" si="19"/>
        <v>122</v>
      </c>
      <c r="C139" s="40" t="s">
        <v>645</v>
      </c>
      <c r="D139" s="297" t="s">
        <v>646</v>
      </c>
      <c r="E139" s="8"/>
      <c r="F139" s="8"/>
      <c r="G139" s="25">
        <f t="array" ref="G139">SUM(IF("1521"&amp;C139=KHN&amp;MH,SL))</f>
        <v>500</v>
      </c>
      <c r="H139" s="25">
        <f t="array" ref="H139">SUM(IF("1521"&amp;C139=KHN&amp;MH,TH))</f>
        <v>16439000</v>
      </c>
      <c r="I139" s="25">
        <f t="array" ref="I139">SUM(IF("1521"&amp;C139=KHC&amp;MH,SL))</f>
        <v>500</v>
      </c>
      <c r="J139" s="25">
        <f t="array" ref="J139">SUM(IF("1521"&amp;C139=KHC&amp;MH,TH))</f>
        <v>16439000</v>
      </c>
      <c r="K139" s="8">
        <f t="shared" si="17"/>
        <v>0</v>
      </c>
      <c r="L139" s="8">
        <f t="shared" si="18"/>
        <v>0</v>
      </c>
      <c r="M139" s="294"/>
    </row>
    <row r="140" spans="1:13" ht="18" customHeight="1">
      <c r="A140" s="294" t="str">
        <f t="shared" si="16"/>
        <v>NL</v>
      </c>
      <c r="B140" s="295">
        <f t="shared" si="19"/>
        <v>123</v>
      </c>
      <c r="C140" s="40" t="s">
        <v>648</v>
      </c>
      <c r="D140" s="297" t="s">
        <v>646</v>
      </c>
      <c r="E140" s="8"/>
      <c r="F140" s="8"/>
      <c r="G140" s="25">
        <f t="array" ref="G140">SUM(IF("1521"&amp;C140=KHN&amp;MH,SL))</f>
        <v>1460</v>
      </c>
      <c r="H140" s="25">
        <f t="array" ref="H140">SUM(IF("1521"&amp;C140=KHN&amp;MH,TH))</f>
        <v>28272900</v>
      </c>
      <c r="I140" s="25">
        <f t="array" ref="I140">SUM(IF("1521"&amp;C140=KHC&amp;MH,SL))</f>
        <v>1460</v>
      </c>
      <c r="J140" s="25">
        <f t="array" ref="J140">SUM(IF("1521"&amp;C140=KHC&amp;MH,TH))</f>
        <v>28272900</v>
      </c>
      <c r="K140" s="8">
        <f t="shared" si="17"/>
        <v>0</v>
      </c>
      <c r="L140" s="8">
        <f t="shared" si="18"/>
        <v>0</v>
      </c>
      <c r="M140" s="294"/>
    </row>
    <row r="141" spans="1:13" ht="18" customHeight="1">
      <c r="A141" s="294" t="str">
        <f t="shared" si="16"/>
        <v>NL</v>
      </c>
      <c r="B141" s="295">
        <f t="shared" si="19"/>
        <v>124</v>
      </c>
      <c r="C141" s="40" t="s">
        <v>649</v>
      </c>
      <c r="D141" s="297" t="s">
        <v>646</v>
      </c>
      <c r="E141" s="8"/>
      <c r="F141" s="8"/>
      <c r="G141" s="25">
        <f t="array" ref="G141">SUM(IF("1521"&amp;C141=KHN&amp;MH,SL))</f>
        <v>720</v>
      </c>
      <c r="H141" s="25">
        <f t="array" ref="H141">SUM(IF("1521"&amp;C141=KHN&amp;MH,TH))</f>
        <v>11881440</v>
      </c>
      <c r="I141" s="25">
        <f t="array" ref="I141">SUM(IF("1521"&amp;C141=KHC&amp;MH,SL))</f>
        <v>720</v>
      </c>
      <c r="J141" s="25">
        <f t="array" ref="J141">SUM(IF("1521"&amp;C141=KHC&amp;MH,TH))</f>
        <v>11881440</v>
      </c>
      <c r="K141" s="8">
        <f t="shared" si="17"/>
        <v>0</v>
      </c>
      <c r="L141" s="8">
        <f t="shared" si="18"/>
        <v>0</v>
      </c>
      <c r="M141" s="294"/>
    </row>
    <row r="142" spans="1:13" ht="18" customHeight="1">
      <c r="A142" s="294" t="str">
        <f t="shared" si="16"/>
        <v>NL</v>
      </c>
      <c r="B142" s="295">
        <f t="shared" si="19"/>
        <v>125</v>
      </c>
      <c r="C142" s="40" t="s">
        <v>650</v>
      </c>
      <c r="D142" s="297" t="s">
        <v>383</v>
      </c>
      <c r="E142" s="8"/>
      <c r="F142" s="8"/>
      <c r="G142" s="25">
        <f t="array" ref="G142">SUM(IF("1521"&amp;C142=KHN&amp;MH,SL))</f>
        <v>100</v>
      </c>
      <c r="H142" s="25">
        <f t="array" ref="H142">SUM(IF("1521"&amp;C142=KHN&amp;MH,TH))</f>
        <v>1544300</v>
      </c>
      <c r="I142" s="25">
        <f t="array" ref="I142">SUM(IF("1521"&amp;C142=KHC&amp;MH,SL))</f>
        <v>100</v>
      </c>
      <c r="J142" s="25">
        <f t="array" ref="J142">SUM(IF("1521"&amp;C142=KHC&amp;MH,TH))</f>
        <v>1544300</v>
      </c>
      <c r="K142" s="8">
        <f t="shared" si="17"/>
        <v>0</v>
      </c>
      <c r="L142" s="8">
        <f t="shared" si="18"/>
        <v>0</v>
      </c>
      <c r="M142" s="294"/>
    </row>
    <row r="143" spans="1:13" ht="18" customHeight="1">
      <c r="A143" s="294" t="str">
        <f t="shared" si="16"/>
        <v>NL</v>
      </c>
      <c r="B143" s="295">
        <f t="shared" si="19"/>
        <v>126</v>
      </c>
      <c r="C143" s="40" t="s">
        <v>651</v>
      </c>
      <c r="D143" s="297" t="s">
        <v>383</v>
      </c>
      <c r="E143" s="8"/>
      <c r="F143" s="8"/>
      <c r="G143" s="25">
        <f t="array" ref="G143">SUM(IF("1521"&amp;C143=KHN&amp;MH,SL))</f>
        <v>255</v>
      </c>
      <c r="H143" s="25">
        <f t="array" ref="H143">SUM(IF("1521"&amp;C143=KHN&amp;MH,TH))</f>
        <v>3596775</v>
      </c>
      <c r="I143" s="25">
        <f t="array" ref="I143">SUM(IF("1521"&amp;C143=KHC&amp;MH,SL))</f>
        <v>255</v>
      </c>
      <c r="J143" s="25">
        <f t="array" ref="J143">SUM(IF("1521"&amp;C143=KHC&amp;MH,TH))</f>
        <v>3596775</v>
      </c>
      <c r="K143" s="8">
        <f t="shared" si="17"/>
        <v>0</v>
      </c>
      <c r="L143" s="8">
        <f t="shared" si="18"/>
        <v>0</v>
      </c>
      <c r="M143" s="294"/>
    </row>
    <row r="144" spans="1:13" ht="18" customHeight="1">
      <c r="A144" s="294" t="str">
        <f t="shared" si="16"/>
        <v>NL</v>
      </c>
      <c r="B144" s="295">
        <f t="shared" si="19"/>
        <v>127</v>
      </c>
      <c r="C144" s="40" t="s">
        <v>652</v>
      </c>
      <c r="D144" s="297" t="s">
        <v>383</v>
      </c>
      <c r="E144" s="8"/>
      <c r="F144" s="8"/>
      <c r="G144" s="25">
        <f t="array" ref="G144">SUM(IF("1521"&amp;C144=KHN&amp;MH,SL))</f>
        <v>1200</v>
      </c>
      <c r="H144" s="25">
        <f t="array" ref="H144">SUM(IF("1521"&amp;C144=KHN&amp;MH,TH))</f>
        <v>22794000</v>
      </c>
      <c r="I144" s="25">
        <f t="array" ref="I144">SUM(IF("1521"&amp;C144=KHC&amp;MH,SL))</f>
        <v>1200</v>
      </c>
      <c r="J144" s="25">
        <f t="array" ref="J144">SUM(IF("1521"&amp;C144=KHC&amp;MH,TH))</f>
        <v>22794000</v>
      </c>
      <c r="K144" s="8">
        <f t="shared" si="17"/>
        <v>0</v>
      </c>
      <c r="L144" s="8">
        <f t="shared" si="18"/>
        <v>0</v>
      </c>
      <c r="M144" s="294"/>
    </row>
    <row r="145" spans="1:13" ht="18" customHeight="1">
      <c r="A145" s="294" t="str">
        <f t="shared" si="16"/>
        <v>NL</v>
      </c>
      <c r="B145" s="295">
        <f t="shared" si="19"/>
        <v>128</v>
      </c>
      <c r="C145" s="40" t="s">
        <v>653</v>
      </c>
      <c r="D145" s="297" t="s">
        <v>383</v>
      </c>
      <c r="E145" s="8"/>
      <c r="F145" s="8"/>
      <c r="G145" s="25">
        <f t="array" ref="G145">SUM(IF("1521"&amp;C145=KHN&amp;MH,SL))</f>
        <v>1320</v>
      </c>
      <c r="H145" s="25">
        <f t="array" ref="H145">SUM(IF("1521"&amp;C145=KHN&amp;MH,TH))</f>
        <v>17622000</v>
      </c>
      <c r="I145" s="25">
        <f t="array" ref="I145">SUM(IF("1521"&amp;C145=KHC&amp;MH,SL))</f>
        <v>1320</v>
      </c>
      <c r="J145" s="25">
        <f t="array" ref="J145">SUM(IF("1521"&amp;C145=KHC&amp;MH,TH))</f>
        <v>17622000</v>
      </c>
      <c r="K145" s="8">
        <f t="shared" si="17"/>
        <v>0</v>
      </c>
      <c r="L145" s="8">
        <f t="shared" si="18"/>
        <v>0</v>
      </c>
      <c r="M145" s="294"/>
    </row>
    <row r="146" spans="1:13" ht="18" customHeight="1">
      <c r="A146" s="294" t="str">
        <f t="shared" si="16"/>
        <v>NL</v>
      </c>
      <c r="B146" s="295">
        <f t="shared" si="19"/>
        <v>129</v>
      </c>
      <c r="C146" s="40" t="s">
        <v>654</v>
      </c>
      <c r="D146" s="297" t="s">
        <v>383</v>
      </c>
      <c r="E146" s="8"/>
      <c r="F146" s="8"/>
      <c r="G146" s="25">
        <f t="array" ref="G146">SUM(IF("1521"&amp;C146=KHN&amp;MH,SL))</f>
        <v>1050</v>
      </c>
      <c r="H146" s="25">
        <f t="array" ref="H146">SUM(IF("1521"&amp;C146=KHN&amp;MH,TH))</f>
        <v>13641600</v>
      </c>
      <c r="I146" s="25">
        <f t="array" ref="I146">SUM(IF("1521"&amp;C146=KHC&amp;MH,SL))</f>
        <v>1050</v>
      </c>
      <c r="J146" s="25">
        <f t="array" ref="J146">SUM(IF("1521"&amp;C146=KHC&amp;MH,TH))</f>
        <v>13641600</v>
      </c>
      <c r="K146" s="8">
        <f t="shared" si="17"/>
        <v>0</v>
      </c>
      <c r="L146" s="8">
        <f t="shared" si="18"/>
        <v>0</v>
      </c>
      <c r="M146" s="294"/>
    </row>
    <row r="147" spans="1:13" ht="18" customHeight="1">
      <c r="A147" s="294" t="str">
        <f t="shared" ref="A147:A150" si="20">IF(B147&lt;&gt;"","NL","")</f>
        <v>NL</v>
      </c>
      <c r="B147" s="818">
        <f t="shared" si="19"/>
        <v>130</v>
      </c>
      <c r="C147" s="40" t="s">
        <v>655</v>
      </c>
      <c r="D147" s="297" t="s">
        <v>646</v>
      </c>
      <c r="E147" s="8"/>
      <c r="F147" s="8"/>
      <c r="G147" s="25">
        <f t="array" ref="G147">SUM(IF("1521"&amp;C147=KHN&amp;MH,SL))</f>
        <v>1700</v>
      </c>
      <c r="H147" s="25">
        <f t="array" ref="H147">SUM(IF("1521"&amp;C147=KHN&amp;MH,TH))</f>
        <v>22873500</v>
      </c>
      <c r="I147" s="25">
        <f t="array" ref="I147">SUM(IF("1521"&amp;C147=KHC&amp;MH,SL))</f>
        <v>1700</v>
      </c>
      <c r="J147" s="25">
        <f t="array" ref="J147">SUM(IF("1521"&amp;C147=KHC&amp;MH,TH))</f>
        <v>22873500</v>
      </c>
      <c r="K147" s="8">
        <f t="shared" si="17"/>
        <v>0</v>
      </c>
      <c r="L147" s="8">
        <f t="shared" si="18"/>
        <v>0</v>
      </c>
      <c r="M147" s="294"/>
    </row>
    <row r="148" spans="1:13" ht="18" customHeight="1">
      <c r="A148" s="294" t="str">
        <f t="shared" si="20"/>
        <v>NL</v>
      </c>
      <c r="B148" s="295">
        <f t="shared" ref="B148" si="21">IF(C148&lt;&gt;"",B147+1,"")</f>
        <v>131</v>
      </c>
      <c r="C148" s="40" t="s">
        <v>656</v>
      </c>
      <c r="D148" s="297" t="s">
        <v>646</v>
      </c>
      <c r="E148" s="8"/>
      <c r="F148" s="8"/>
      <c r="G148" s="25">
        <f t="array" ref="G148">SUM(IF("1521"&amp;C148=KHN&amp;MH,SL))</f>
        <v>2500</v>
      </c>
      <c r="H148" s="25">
        <f t="array" ref="H148">SUM(IF("1521"&amp;C148=KHN&amp;MH,TH))</f>
        <v>41577500</v>
      </c>
      <c r="I148" s="25">
        <f t="array" ref="I148">SUM(IF("1521"&amp;C148=KHC&amp;MH,SL))</f>
        <v>2500</v>
      </c>
      <c r="J148" s="25">
        <f t="array" ref="J148">SUM(IF("1521"&amp;C148=KHC&amp;MH,TH))</f>
        <v>41577500</v>
      </c>
      <c r="K148" s="8">
        <f t="shared" si="17"/>
        <v>0</v>
      </c>
      <c r="L148" s="8">
        <f t="shared" si="18"/>
        <v>0</v>
      </c>
      <c r="M148" s="294"/>
    </row>
    <row r="149" spans="1:13" ht="19.5" customHeight="1">
      <c r="A149" s="294" t="str">
        <f t="shared" si="20"/>
        <v/>
      </c>
      <c r="B149" s="295" t="str">
        <f>IF(C149&lt;&gt;"",B74+1,"")</f>
        <v/>
      </c>
      <c r="C149" s="303"/>
      <c r="D149" s="304"/>
      <c r="E149" s="305"/>
      <c r="F149" s="305"/>
      <c r="G149" s="305"/>
      <c r="H149" s="305"/>
      <c r="I149" s="305"/>
      <c r="J149" s="305"/>
      <c r="K149" s="8"/>
      <c r="L149" s="8"/>
      <c r="M149" s="294"/>
    </row>
    <row r="150" spans="1:13" ht="19.5" customHeight="1">
      <c r="A150" s="294" t="str">
        <f t="shared" si="20"/>
        <v/>
      </c>
      <c r="B150" s="293"/>
      <c r="C150" s="302" t="s">
        <v>346</v>
      </c>
      <c r="D150" s="293"/>
      <c r="E150" s="13">
        <f>SUM(E18:E149)</f>
        <v>0</v>
      </c>
      <c r="F150" s="13">
        <f t="shared" ref="F150:L150" si="22">SUM(F18:F149)</f>
        <v>0</v>
      </c>
      <c r="G150" s="13">
        <f t="shared" si="22"/>
        <v>51553</v>
      </c>
      <c r="H150" s="13">
        <f t="shared" si="22"/>
        <v>805145217</v>
      </c>
      <c r="I150" s="13">
        <f t="shared" si="22"/>
        <v>51471</v>
      </c>
      <c r="J150" s="13">
        <f t="shared" si="22"/>
        <v>803751979</v>
      </c>
      <c r="K150" s="13">
        <f t="shared" si="22"/>
        <v>82</v>
      </c>
      <c r="L150" s="13">
        <f t="shared" si="22"/>
        <v>1393238</v>
      </c>
      <c r="M150" s="294"/>
    </row>
    <row r="151" spans="1:13" ht="19.5" hidden="1" customHeight="1">
      <c r="A151" s="294"/>
      <c r="B151" s="488"/>
      <c r="C151" s="489"/>
      <c r="D151" s="488"/>
      <c r="E151" s="490">
        <f>F150-F151</f>
        <v>0</v>
      </c>
      <c r="F151" s="490">
        <f>CDPS!C18</f>
        <v>0</v>
      </c>
      <c r="G151" s="490">
        <f>H150-H151</f>
        <v>0</v>
      </c>
      <c r="H151" s="490">
        <f>CDPS!E18</f>
        <v>805145217</v>
      </c>
      <c r="I151" s="490">
        <f>J150-J151</f>
        <v>0</v>
      </c>
      <c r="J151" s="490">
        <f>CDPS!F18</f>
        <v>803751979</v>
      </c>
      <c r="K151" s="490">
        <f>L150-L151</f>
        <v>0</v>
      </c>
      <c r="L151" s="490">
        <f>CDPS!G18</f>
        <v>1393238</v>
      </c>
      <c r="M151" s="294"/>
    </row>
    <row r="152" spans="1:13" ht="19.5" customHeight="1">
      <c r="A152" s="294" t="str">
        <f t="shared" ref="A152:A182" si="23">IF(B152&lt;&gt;"","TP","")</f>
        <v>TP</v>
      </c>
      <c r="B152" s="307">
        <f t="shared" ref="B152:B182" si="24">IF(C152&lt;&gt;"",B151+1,"")</f>
        <v>1</v>
      </c>
      <c r="C152" s="298" t="s">
        <v>989</v>
      </c>
      <c r="D152" s="306" t="s">
        <v>962</v>
      </c>
      <c r="E152" s="25"/>
      <c r="F152" s="25"/>
      <c r="G152" s="25">
        <f t="array" ref="G152">SUM(IF("155"&amp;C152=KHN&amp;MH,SL))</f>
        <v>600</v>
      </c>
      <c r="H152" s="25">
        <f t="array" ref="H152">SUM(IF("155"&amp;C152=KHN&amp;MH,TH))</f>
        <v>1600380</v>
      </c>
      <c r="I152" s="25">
        <f t="array" ref="I152">SUM(IF("155"&amp;C152=KHC&amp;MH,SL))</f>
        <v>600</v>
      </c>
      <c r="J152" s="25">
        <f t="array" ref="J152">SUM(IF("155"&amp;C152=KHC&amp;MH,TH))</f>
        <v>1600380</v>
      </c>
      <c r="K152" s="25">
        <f t="shared" ref="K152:K215" si="25">E152+G152-I152</f>
        <v>0</v>
      </c>
      <c r="L152" s="25">
        <f t="shared" ref="L152:L215" si="26">F152+H152-J152</f>
        <v>0</v>
      </c>
      <c r="M152" s="294"/>
    </row>
    <row r="153" spans="1:13" ht="19.5" customHeight="1">
      <c r="A153" s="294" t="str">
        <f t="shared" si="23"/>
        <v>TP</v>
      </c>
      <c r="B153" s="307">
        <f t="shared" si="24"/>
        <v>2</v>
      </c>
      <c r="C153" s="298" t="s">
        <v>988</v>
      </c>
      <c r="D153" s="306" t="s">
        <v>962</v>
      </c>
      <c r="E153" s="8"/>
      <c r="F153" s="8"/>
      <c r="G153" s="25">
        <f t="array" ref="G153">SUM(IF("155"&amp;C153=KHN&amp;MH,SL))</f>
        <v>120</v>
      </c>
      <c r="H153" s="25">
        <f t="array" ref="H153">SUM(IF("155"&amp;C153=KHN&amp;MH,TH))</f>
        <v>533629</v>
      </c>
      <c r="I153" s="25">
        <f t="array" ref="I153">SUM(IF("155"&amp;C153=KHC&amp;MH,SL))</f>
        <v>120</v>
      </c>
      <c r="J153" s="25">
        <f t="array" ref="J153">SUM(IF("155"&amp;C153=KHC&amp;MH,TH))</f>
        <v>533629</v>
      </c>
      <c r="K153" s="8">
        <f t="shared" si="25"/>
        <v>0</v>
      </c>
      <c r="L153" s="8">
        <f t="shared" si="26"/>
        <v>0</v>
      </c>
      <c r="M153" s="294"/>
    </row>
    <row r="154" spans="1:13" ht="18" customHeight="1">
      <c r="A154" s="294" t="str">
        <f t="shared" si="23"/>
        <v>TP</v>
      </c>
      <c r="B154" s="307">
        <f t="shared" si="24"/>
        <v>3</v>
      </c>
      <c r="C154" s="298" t="s">
        <v>985</v>
      </c>
      <c r="D154" s="306" t="s">
        <v>963</v>
      </c>
      <c r="E154" s="8"/>
      <c r="F154" s="8"/>
      <c r="G154" s="25">
        <f t="array" ref="G154">SUM(IF("155"&amp;C154=KHN&amp;MH,SL))</f>
        <v>124</v>
      </c>
      <c r="H154" s="25">
        <f t="array" ref="H154">SUM(IF("155"&amp;C154=KHN&amp;MH,TH))</f>
        <v>1022802</v>
      </c>
      <c r="I154" s="25">
        <f t="array" ref="I154">SUM(IF("155"&amp;C154=KHC&amp;MH,SL))</f>
        <v>124</v>
      </c>
      <c r="J154" s="25">
        <f t="array" ref="J154">SUM(IF("155"&amp;C154=KHC&amp;MH,TH))</f>
        <v>1022802</v>
      </c>
      <c r="K154" s="8">
        <f t="shared" si="25"/>
        <v>0</v>
      </c>
      <c r="L154" s="8">
        <f t="shared" si="26"/>
        <v>0</v>
      </c>
      <c r="M154" s="294"/>
    </row>
    <row r="155" spans="1:13" ht="18" customHeight="1">
      <c r="A155" s="294" t="str">
        <f t="shared" si="23"/>
        <v>TP</v>
      </c>
      <c r="B155" s="307">
        <f t="shared" si="24"/>
        <v>4</v>
      </c>
      <c r="C155" s="298" t="s">
        <v>986</v>
      </c>
      <c r="D155" s="306" t="s">
        <v>963</v>
      </c>
      <c r="E155" s="8"/>
      <c r="F155" s="8"/>
      <c r="G155" s="25">
        <f t="array" ref="G155">SUM(IF("155"&amp;C155=KHN&amp;MH,SL))</f>
        <v>1292</v>
      </c>
      <c r="H155" s="25">
        <f t="array" ref="H155">SUM(IF("155"&amp;C155=KHN&amp;MH,TH))</f>
        <v>13821048</v>
      </c>
      <c r="I155" s="25">
        <f t="array" ref="I155">SUM(IF("155"&amp;C155=KHC&amp;MH,SL))</f>
        <v>1292</v>
      </c>
      <c r="J155" s="25">
        <f t="array" ref="J155">SUM(IF("155"&amp;C155=KHC&amp;MH,TH))</f>
        <v>13821048</v>
      </c>
      <c r="K155" s="8">
        <f t="shared" si="25"/>
        <v>0</v>
      </c>
      <c r="L155" s="8">
        <f t="shared" si="26"/>
        <v>0</v>
      </c>
      <c r="M155" s="294"/>
    </row>
    <row r="156" spans="1:13" ht="18.75" customHeight="1">
      <c r="A156" s="294" t="str">
        <f t="shared" si="23"/>
        <v>TP</v>
      </c>
      <c r="B156" s="307">
        <f t="shared" si="24"/>
        <v>5</v>
      </c>
      <c r="C156" s="298" t="s">
        <v>987</v>
      </c>
      <c r="D156" s="306" t="s">
        <v>1428</v>
      </c>
      <c r="E156" s="8"/>
      <c r="F156" s="8"/>
      <c r="G156" s="25">
        <f t="array" ref="G156">SUM(IF("155"&amp;C156=KHN&amp;MH,SL))</f>
        <v>27</v>
      </c>
      <c r="H156" s="25">
        <f t="array" ref="H156">SUM(IF("155"&amp;C156=KHN&amp;MH,TH))</f>
        <v>488811</v>
      </c>
      <c r="I156" s="25">
        <f t="array" ref="I156">SUM(IF("155"&amp;C156=KHC&amp;MH,SL))</f>
        <v>27</v>
      </c>
      <c r="J156" s="25">
        <f t="array" ref="J156">SUM(IF("155"&amp;C156=KHC&amp;MH,TH))</f>
        <v>488811</v>
      </c>
      <c r="K156" s="8">
        <f t="shared" si="25"/>
        <v>0</v>
      </c>
      <c r="L156" s="8">
        <f t="shared" si="26"/>
        <v>0</v>
      </c>
      <c r="M156" s="294"/>
    </row>
    <row r="157" spans="1:13" ht="18.75" customHeight="1">
      <c r="A157" s="294" t="str">
        <f t="shared" si="23"/>
        <v>TP</v>
      </c>
      <c r="B157" s="307">
        <f t="shared" si="24"/>
        <v>6</v>
      </c>
      <c r="C157" s="298" t="s">
        <v>756</v>
      </c>
      <c r="D157" s="306" t="s">
        <v>962</v>
      </c>
      <c r="E157" s="8"/>
      <c r="F157" s="8"/>
      <c r="G157" s="25">
        <f t="array" ref="G157">SUM(IF("155"&amp;C157=KHN&amp;MH,SL))</f>
        <v>958</v>
      </c>
      <c r="H157" s="25">
        <f t="array" ref="H157">SUM(IF("155"&amp;C157=KHN&amp;MH,TH))</f>
        <v>3134941</v>
      </c>
      <c r="I157" s="25">
        <f t="array" ref="I157">SUM(IF("155"&amp;C157=KHC&amp;MH,SL))</f>
        <v>958</v>
      </c>
      <c r="J157" s="25">
        <f t="array" ref="J157">SUM(IF("155"&amp;C157=KHC&amp;MH,TH))</f>
        <v>3134941</v>
      </c>
      <c r="K157" s="8">
        <f t="shared" si="25"/>
        <v>0</v>
      </c>
      <c r="L157" s="8">
        <f t="shared" si="26"/>
        <v>0</v>
      </c>
      <c r="M157" s="294"/>
    </row>
    <row r="158" spans="1:13" ht="18.75" customHeight="1">
      <c r="A158" s="294" t="str">
        <f t="shared" si="23"/>
        <v>TP</v>
      </c>
      <c r="B158" s="307">
        <f t="shared" si="24"/>
        <v>7</v>
      </c>
      <c r="C158" s="298" t="s">
        <v>890</v>
      </c>
      <c r="D158" s="306" t="s">
        <v>962</v>
      </c>
      <c r="E158" s="8"/>
      <c r="F158" s="8"/>
      <c r="G158" s="25">
        <f t="array" ref="G158">SUM(IF("155"&amp;C158=KHN&amp;MH,SL))</f>
        <v>102</v>
      </c>
      <c r="H158" s="25">
        <f t="array" ref="H158">SUM(IF("155"&amp;C158=KHN&amp;MH,TH))</f>
        <v>365569</v>
      </c>
      <c r="I158" s="25">
        <f t="array" ref="I158">SUM(IF("155"&amp;C158=KHC&amp;MH,SL))</f>
        <v>102</v>
      </c>
      <c r="J158" s="25">
        <f t="array" ref="J158">SUM(IF("155"&amp;C158=KHC&amp;MH,TH))</f>
        <v>365569</v>
      </c>
      <c r="K158" s="8">
        <f t="shared" si="25"/>
        <v>0</v>
      </c>
      <c r="L158" s="8">
        <f t="shared" si="26"/>
        <v>0</v>
      </c>
      <c r="M158" s="294"/>
    </row>
    <row r="159" spans="1:13" ht="18.75" customHeight="1">
      <c r="A159" s="294" t="str">
        <f t="shared" si="23"/>
        <v>TP</v>
      </c>
      <c r="B159" s="307">
        <f t="shared" si="24"/>
        <v>8</v>
      </c>
      <c r="C159" s="298" t="s">
        <v>889</v>
      </c>
      <c r="D159" s="306" t="s">
        <v>962</v>
      </c>
      <c r="E159" s="8"/>
      <c r="F159" s="8"/>
      <c r="G159" s="25">
        <f t="array" ref="G159">SUM(IF("155"&amp;C159=KHN&amp;MH,SL))</f>
        <v>239</v>
      </c>
      <c r="H159" s="25">
        <f t="array" ref="H159">SUM(IF("155"&amp;C159=KHN&amp;MH,TH))</f>
        <v>1388235</v>
      </c>
      <c r="I159" s="25">
        <f t="array" ref="I159">SUM(IF("155"&amp;C159=KHC&amp;MH,SL))</f>
        <v>239</v>
      </c>
      <c r="J159" s="25">
        <f t="array" ref="J159">SUM(IF("155"&amp;C159=KHC&amp;MH,TH))</f>
        <v>1388235</v>
      </c>
      <c r="K159" s="8">
        <f t="shared" si="25"/>
        <v>0</v>
      </c>
      <c r="L159" s="8">
        <f t="shared" si="26"/>
        <v>0</v>
      </c>
      <c r="M159" s="294"/>
    </row>
    <row r="160" spans="1:13" ht="18.75" customHeight="1">
      <c r="A160" s="294" t="str">
        <f t="shared" si="23"/>
        <v>TP</v>
      </c>
      <c r="B160" s="307">
        <f t="shared" si="24"/>
        <v>9</v>
      </c>
      <c r="C160" s="298" t="s">
        <v>1075</v>
      </c>
      <c r="D160" s="306" t="s">
        <v>962</v>
      </c>
      <c r="E160" s="8"/>
      <c r="F160" s="8"/>
      <c r="G160" s="25">
        <f t="array" ref="G160">SUM(IF("155"&amp;C160=KHN&amp;MH,SL))</f>
        <v>86</v>
      </c>
      <c r="H160" s="25">
        <f t="array" ref="H160">SUM(IF("155"&amp;C160=KHN&amp;MH,TH))</f>
        <v>232454</v>
      </c>
      <c r="I160" s="25">
        <f t="array" ref="I160">SUM(IF("155"&amp;C160=KHC&amp;MH,SL))</f>
        <v>86</v>
      </c>
      <c r="J160" s="25">
        <f t="array" ref="J160">SUM(IF("155"&amp;C160=KHC&amp;MH,TH))</f>
        <v>232454</v>
      </c>
      <c r="K160" s="8">
        <f t="shared" si="25"/>
        <v>0</v>
      </c>
      <c r="L160" s="8">
        <f t="shared" si="26"/>
        <v>0</v>
      </c>
      <c r="M160" s="294"/>
    </row>
    <row r="161" spans="1:13" ht="18.75" customHeight="1">
      <c r="A161" s="294" t="str">
        <f t="shared" si="23"/>
        <v>TP</v>
      </c>
      <c r="B161" s="307">
        <f t="shared" si="24"/>
        <v>10</v>
      </c>
      <c r="C161" s="298" t="s">
        <v>1074</v>
      </c>
      <c r="D161" s="306" t="s">
        <v>962</v>
      </c>
      <c r="E161" s="8"/>
      <c r="F161" s="8"/>
      <c r="G161" s="25">
        <f t="array" ref="G161">SUM(IF("155"&amp;C161=KHN&amp;MH,SL))</f>
        <v>240</v>
      </c>
      <c r="H161" s="25">
        <f t="array" ref="H161">SUM(IF("155"&amp;C161=KHN&amp;MH,TH))</f>
        <v>643584</v>
      </c>
      <c r="I161" s="25">
        <f t="array" ref="I161">SUM(IF("155"&amp;C161=KHC&amp;MH,SL))</f>
        <v>240</v>
      </c>
      <c r="J161" s="25">
        <f t="array" ref="J161">SUM(IF("155"&amp;C161=KHC&amp;MH,TH))</f>
        <v>643584</v>
      </c>
      <c r="K161" s="8">
        <f t="shared" si="25"/>
        <v>0</v>
      </c>
      <c r="L161" s="8">
        <f t="shared" si="26"/>
        <v>0</v>
      </c>
      <c r="M161" s="294"/>
    </row>
    <row r="162" spans="1:13" ht="18.75" customHeight="1">
      <c r="A162" s="294" t="str">
        <f t="shared" si="23"/>
        <v>TP</v>
      </c>
      <c r="B162" s="307">
        <f t="shared" si="24"/>
        <v>11</v>
      </c>
      <c r="C162" s="192" t="s">
        <v>1209</v>
      </c>
      <c r="D162" s="306" t="s">
        <v>962</v>
      </c>
      <c r="E162" s="8"/>
      <c r="F162" s="8"/>
      <c r="G162" s="25">
        <f t="array" ref="G162">SUM(IF("155"&amp;C162=KHN&amp;MH,SL))</f>
        <v>170</v>
      </c>
      <c r="H162" s="25">
        <f t="array" ref="H162">SUM(IF("155"&amp;C162=KHN&amp;MH,TH))</f>
        <v>455873</v>
      </c>
      <c r="I162" s="25">
        <f t="array" ref="I162">SUM(IF("155"&amp;C162=KHC&amp;MH,SL))</f>
        <v>170</v>
      </c>
      <c r="J162" s="25">
        <f t="array" ref="J162">SUM(IF("155"&amp;C162=KHC&amp;MH,TH))</f>
        <v>455873</v>
      </c>
      <c r="K162" s="8">
        <f t="shared" si="25"/>
        <v>0</v>
      </c>
      <c r="L162" s="8">
        <f t="shared" si="26"/>
        <v>0</v>
      </c>
      <c r="M162" s="294"/>
    </row>
    <row r="163" spans="1:13" ht="18.75" customHeight="1">
      <c r="A163" s="294" t="str">
        <f t="shared" si="23"/>
        <v>TP</v>
      </c>
      <c r="B163" s="307">
        <f t="shared" si="24"/>
        <v>12</v>
      </c>
      <c r="C163" s="298" t="s">
        <v>897</v>
      </c>
      <c r="D163" s="306" t="s">
        <v>962</v>
      </c>
      <c r="E163" s="8"/>
      <c r="F163" s="8"/>
      <c r="G163" s="25">
        <f t="array" ref="G163">SUM(IF("155"&amp;C163=KHN&amp;MH,SL))</f>
        <v>68</v>
      </c>
      <c r="H163" s="25">
        <f t="array" ref="H163">SUM(IF("155"&amp;C163=KHN&amp;MH,TH))</f>
        <v>168080</v>
      </c>
      <c r="I163" s="25">
        <f t="array" ref="I163">SUM(IF("155"&amp;C163=KHC&amp;MH,SL))</f>
        <v>68</v>
      </c>
      <c r="J163" s="25">
        <f t="array" ref="J163">SUM(IF("155"&amp;C163=KHC&amp;MH,TH))</f>
        <v>168080</v>
      </c>
      <c r="K163" s="8">
        <f t="shared" si="25"/>
        <v>0</v>
      </c>
      <c r="L163" s="8">
        <f t="shared" si="26"/>
        <v>0</v>
      </c>
      <c r="M163" s="294"/>
    </row>
    <row r="164" spans="1:13" ht="18.75" customHeight="1">
      <c r="A164" s="294" t="str">
        <f t="shared" si="23"/>
        <v>TP</v>
      </c>
      <c r="B164" s="307">
        <f t="shared" si="24"/>
        <v>13</v>
      </c>
      <c r="C164" s="298" t="s">
        <v>898</v>
      </c>
      <c r="D164" s="306" t="s">
        <v>962</v>
      </c>
      <c r="E164" s="8"/>
      <c r="F164" s="8"/>
      <c r="G164" s="25">
        <f t="array" ref="G164">SUM(IF("155"&amp;C164=KHN&amp;MH,SL))</f>
        <v>300</v>
      </c>
      <c r="H164" s="25">
        <f t="array" ref="H164">SUM(IF("155"&amp;C164=KHN&amp;MH,TH))</f>
        <v>741529</v>
      </c>
      <c r="I164" s="25">
        <f t="array" ref="I164">SUM(IF("155"&amp;C164=KHC&amp;MH,SL))</f>
        <v>300</v>
      </c>
      <c r="J164" s="25">
        <f t="array" ref="J164">SUM(IF("155"&amp;C164=KHC&amp;MH,TH))</f>
        <v>741529</v>
      </c>
      <c r="K164" s="8">
        <f t="shared" si="25"/>
        <v>0</v>
      </c>
      <c r="L164" s="8">
        <f t="shared" si="26"/>
        <v>0</v>
      </c>
      <c r="M164" s="294"/>
    </row>
    <row r="165" spans="1:13" ht="18.75" customHeight="1">
      <c r="A165" s="294" t="str">
        <f t="shared" si="23"/>
        <v>TP</v>
      </c>
      <c r="B165" s="307">
        <f t="shared" si="24"/>
        <v>14</v>
      </c>
      <c r="C165" s="298" t="s">
        <v>899</v>
      </c>
      <c r="D165" s="306" t="s">
        <v>962</v>
      </c>
      <c r="E165" s="8"/>
      <c r="F165" s="8"/>
      <c r="G165" s="25">
        <f t="array" ref="G165">SUM(IF("155"&amp;C165=KHN&amp;MH,SL))</f>
        <v>40</v>
      </c>
      <c r="H165" s="25">
        <f t="array" ref="H165">SUM(IF("155"&amp;C165=KHN&amp;MH,TH))</f>
        <v>98871</v>
      </c>
      <c r="I165" s="25">
        <f t="array" ref="I165">SUM(IF("155"&amp;C165=KHC&amp;MH,SL))</f>
        <v>40</v>
      </c>
      <c r="J165" s="25">
        <f t="array" ref="J165">SUM(IF("155"&amp;C165=KHC&amp;MH,TH))</f>
        <v>98871</v>
      </c>
      <c r="K165" s="8">
        <f t="shared" si="25"/>
        <v>0</v>
      </c>
      <c r="L165" s="8">
        <f t="shared" si="26"/>
        <v>0</v>
      </c>
      <c r="M165" s="294"/>
    </row>
    <row r="166" spans="1:13" ht="18.75" customHeight="1">
      <c r="A166" s="294" t="str">
        <f t="shared" si="23"/>
        <v>TP</v>
      </c>
      <c r="B166" s="307">
        <f t="shared" si="24"/>
        <v>15</v>
      </c>
      <c r="C166" s="298" t="s">
        <v>901</v>
      </c>
      <c r="D166" s="306" t="s">
        <v>962</v>
      </c>
      <c r="E166" s="8"/>
      <c r="F166" s="8"/>
      <c r="G166" s="25">
        <f t="array" ref="G166">SUM(IF("155"&amp;C166=KHN&amp;MH,SL))</f>
        <v>140</v>
      </c>
      <c r="H166" s="25">
        <f t="array" ref="H166">SUM(IF("155"&amp;C166=KHN&amp;MH,TH))</f>
        <v>501762</v>
      </c>
      <c r="I166" s="25">
        <f t="array" ref="I166">SUM(IF("155"&amp;C166=KHC&amp;MH,SL))</f>
        <v>140</v>
      </c>
      <c r="J166" s="25">
        <f t="array" ref="J166">SUM(IF("155"&amp;C166=KHC&amp;MH,TH))</f>
        <v>501762</v>
      </c>
      <c r="K166" s="8">
        <f t="shared" si="25"/>
        <v>0</v>
      </c>
      <c r="L166" s="8">
        <f t="shared" si="26"/>
        <v>0</v>
      </c>
      <c r="M166" s="294"/>
    </row>
    <row r="167" spans="1:13" ht="18.75" customHeight="1">
      <c r="A167" s="294" t="str">
        <f t="shared" si="23"/>
        <v>TP</v>
      </c>
      <c r="B167" s="307">
        <f t="shared" si="24"/>
        <v>16</v>
      </c>
      <c r="C167" s="298" t="s">
        <v>900</v>
      </c>
      <c r="D167" s="306" t="s">
        <v>962</v>
      </c>
      <c r="E167" s="8"/>
      <c r="F167" s="8"/>
      <c r="G167" s="25">
        <f t="array" ref="G167">SUM(IF("155"&amp;C167=KHN&amp;MH,SL))</f>
        <v>34</v>
      </c>
      <c r="H167" s="25">
        <f t="array" ref="H167">SUM(IF("155"&amp;C167=KHN&amp;MH,TH))</f>
        <v>121856</v>
      </c>
      <c r="I167" s="25">
        <f t="array" ref="I167">SUM(IF("155"&amp;C167=KHC&amp;MH,SL))</f>
        <v>34</v>
      </c>
      <c r="J167" s="25">
        <f t="array" ref="J167">SUM(IF("155"&amp;C167=KHC&amp;MH,TH))</f>
        <v>121856</v>
      </c>
      <c r="K167" s="8">
        <f t="shared" si="25"/>
        <v>0</v>
      </c>
      <c r="L167" s="8">
        <f t="shared" si="26"/>
        <v>0</v>
      </c>
      <c r="M167" s="294"/>
    </row>
    <row r="168" spans="1:13" ht="18.75" customHeight="1">
      <c r="A168" s="294" t="str">
        <f t="shared" si="23"/>
        <v>TP</v>
      </c>
      <c r="B168" s="307">
        <f t="shared" si="24"/>
        <v>17</v>
      </c>
      <c r="C168" s="298" t="s">
        <v>896</v>
      </c>
      <c r="D168" s="306" t="s">
        <v>962</v>
      </c>
      <c r="E168" s="8"/>
      <c r="F168" s="8"/>
      <c r="G168" s="25">
        <f t="array" ref="G168">SUM(IF("155"&amp;C168=KHN&amp;MH,SL))</f>
        <v>50</v>
      </c>
      <c r="H168" s="25">
        <f t="array" ref="H168">SUM(IF("155"&amp;C168=KHN&amp;MH,TH))</f>
        <v>290426</v>
      </c>
      <c r="I168" s="25">
        <f t="array" ref="I168">SUM(IF("155"&amp;C168=KHC&amp;MH,SL))</f>
        <v>50</v>
      </c>
      <c r="J168" s="25">
        <f t="array" ref="J168">SUM(IF("155"&amp;C168=KHC&amp;MH,TH))</f>
        <v>290426</v>
      </c>
      <c r="K168" s="8">
        <f t="shared" si="25"/>
        <v>0</v>
      </c>
      <c r="L168" s="8">
        <f t="shared" si="26"/>
        <v>0</v>
      </c>
      <c r="M168" s="294"/>
    </row>
    <row r="169" spans="1:13" ht="18.75" customHeight="1">
      <c r="A169" s="294" t="str">
        <f t="shared" si="23"/>
        <v>TP</v>
      </c>
      <c r="B169" s="307">
        <f t="shared" si="24"/>
        <v>18</v>
      </c>
      <c r="C169" s="298" t="s">
        <v>1026</v>
      </c>
      <c r="D169" s="306" t="s">
        <v>383</v>
      </c>
      <c r="E169" s="8"/>
      <c r="F169" s="8"/>
      <c r="G169" s="25">
        <f t="array" ref="G169">SUM(IF("155"&amp;C169=KHN&amp;MH,SL))</f>
        <v>104</v>
      </c>
      <c r="H169" s="25">
        <f t="array" ref="H169">SUM(IF("155"&amp;C169=KHN&amp;MH,TH))</f>
        <v>1106969</v>
      </c>
      <c r="I169" s="25">
        <f t="array" ref="I169">SUM(IF("155"&amp;C169=KHC&amp;MH,SL))</f>
        <v>104</v>
      </c>
      <c r="J169" s="25">
        <f t="array" ref="J169">SUM(IF("155"&amp;C169=KHC&amp;MH,TH))</f>
        <v>1106969</v>
      </c>
      <c r="K169" s="8">
        <f t="shared" si="25"/>
        <v>0</v>
      </c>
      <c r="L169" s="8">
        <f t="shared" si="26"/>
        <v>0</v>
      </c>
      <c r="M169" s="294"/>
    </row>
    <row r="170" spans="1:13" ht="18.75" customHeight="1">
      <c r="A170" s="294" t="str">
        <f t="shared" si="23"/>
        <v>TP</v>
      </c>
      <c r="B170" s="307">
        <f t="shared" si="24"/>
        <v>19</v>
      </c>
      <c r="C170" s="40" t="s">
        <v>1340</v>
      </c>
      <c r="D170" s="306" t="s">
        <v>1428</v>
      </c>
      <c r="E170" s="8"/>
      <c r="F170" s="8"/>
      <c r="G170" s="25">
        <f t="array" ref="G170">SUM(IF("155"&amp;C170=KHN&amp;MH,SL))</f>
        <v>5000</v>
      </c>
      <c r="H170" s="25">
        <f t="array" ref="H170">SUM(IF("155"&amp;C170=KHN&amp;MH,TH))</f>
        <v>6541729</v>
      </c>
      <c r="I170" s="25">
        <f t="array" ref="I170">SUM(IF("155"&amp;C170=KHC&amp;MH,SL))</f>
        <v>5000</v>
      </c>
      <c r="J170" s="25">
        <f t="array" ref="J170">SUM(IF("155"&amp;C170=KHC&amp;MH,TH))</f>
        <v>6541729</v>
      </c>
      <c r="K170" s="8">
        <f t="shared" si="25"/>
        <v>0</v>
      </c>
      <c r="L170" s="8">
        <f t="shared" si="26"/>
        <v>0</v>
      </c>
      <c r="M170" s="294"/>
    </row>
    <row r="171" spans="1:13" ht="18.75" customHeight="1">
      <c r="A171" s="294" t="str">
        <f t="shared" si="23"/>
        <v>TP</v>
      </c>
      <c r="B171" s="307">
        <f t="shared" si="24"/>
        <v>20</v>
      </c>
      <c r="C171" s="298" t="s">
        <v>866</v>
      </c>
      <c r="D171" s="306" t="s">
        <v>383</v>
      </c>
      <c r="E171" s="8"/>
      <c r="F171" s="8"/>
      <c r="G171" s="25">
        <f t="array" ref="G171">SUM(IF("155"&amp;C171=KHN&amp;MH,SL))</f>
        <v>254</v>
      </c>
      <c r="H171" s="25">
        <f t="array" ref="H171">SUM(IF("155"&amp;C171=KHN&amp;MH,TH))</f>
        <v>630052</v>
      </c>
      <c r="I171" s="25">
        <f t="array" ref="I171">SUM(IF("155"&amp;C171=KHC&amp;MH,SL))</f>
        <v>254</v>
      </c>
      <c r="J171" s="25">
        <f t="array" ref="J171">SUM(IF("155"&amp;C171=KHC&amp;MH,TH))</f>
        <v>630052</v>
      </c>
      <c r="K171" s="8">
        <f t="shared" si="25"/>
        <v>0</v>
      </c>
      <c r="L171" s="8">
        <f t="shared" si="26"/>
        <v>0</v>
      </c>
      <c r="M171" s="294"/>
    </row>
    <row r="172" spans="1:13" ht="18.75" customHeight="1">
      <c r="A172" s="294" t="str">
        <f t="shared" si="23"/>
        <v>TP</v>
      </c>
      <c r="B172" s="307">
        <f t="shared" si="24"/>
        <v>21</v>
      </c>
      <c r="C172" s="298" t="s">
        <v>930</v>
      </c>
      <c r="D172" s="306" t="s">
        <v>1428</v>
      </c>
      <c r="E172" s="8"/>
      <c r="F172" s="8"/>
      <c r="G172" s="25">
        <f t="array" ref="G172">SUM(IF("155"&amp;C172=KHN&amp;MH,SL))</f>
        <v>2</v>
      </c>
      <c r="H172" s="25">
        <f t="array" ref="H172">SUM(IF("155"&amp;C172=KHN&amp;MH,TH))</f>
        <v>11617</v>
      </c>
      <c r="I172" s="25">
        <f t="array" ref="I172">SUM(IF("155"&amp;C172=KHC&amp;MH,SL))</f>
        <v>2</v>
      </c>
      <c r="J172" s="25">
        <f t="array" ref="J172">SUM(IF("155"&amp;C172=KHC&amp;MH,TH))</f>
        <v>11617</v>
      </c>
      <c r="K172" s="8">
        <f t="shared" si="25"/>
        <v>0</v>
      </c>
      <c r="L172" s="8">
        <f t="shared" si="26"/>
        <v>0</v>
      </c>
      <c r="M172" s="294"/>
    </row>
    <row r="173" spans="1:13" ht="18.75" customHeight="1">
      <c r="A173" s="294" t="str">
        <f t="shared" si="23"/>
        <v>TP</v>
      </c>
      <c r="B173" s="307">
        <f t="shared" si="24"/>
        <v>22</v>
      </c>
      <c r="C173" s="40" t="s">
        <v>1374</v>
      </c>
      <c r="D173" s="306" t="s">
        <v>1428</v>
      </c>
      <c r="E173" s="8"/>
      <c r="F173" s="8"/>
      <c r="G173" s="25">
        <f t="array" ref="G173">SUM(IF("155"&amp;C173=KHN&amp;MH,SL))</f>
        <v>76</v>
      </c>
      <c r="H173" s="25">
        <f t="array" ref="H173">SUM(IF("155"&amp;C173=KHN&amp;MH,TH))</f>
        <v>414675</v>
      </c>
      <c r="I173" s="25">
        <f t="array" ref="I173">SUM(IF("155"&amp;C173=KHC&amp;MH,SL))</f>
        <v>76</v>
      </c>
      <c r="J173" s="25">
        <f t="array" ref="J173">SUM(IF("155"&amp;C173=KHC&amp;MH,TH))</f>
        <v>414675</v>
      </c>
      <c r="K173" s="8">
        <f t="shared" si="25"/>
        <v>0</v>
      </c>
      <c r="L173" s="8">
        <f t="shared" si="26"/>
        <v>0</v>
      </c>
      <c r="M173" s="294"/>
    </row>
    <row r="174" spans="1:13" ht="18.75" customHeight="1">
      <c r="A174" s="294" t="str">
        <f t="shared" si="23"/>
        <v>TP</v>
      </c>
      <c r="B174" s="307">
        <f t="shared" si="24"/>
        <v>23</v>
      </c>
      <c r="C174" s="298" t="s">
        <v>1015</v>
      </c>
      <c r="D174" s="306" t="s">
        <v>1428</v>
      </c>
      <c r="E174" s="8"/>
      <c r="F174" s="8"/>
      <c r="G174" s="25">
        <f t="array" ref="G174">SUM(IF("155"&amp;C174=KHN&amp;MH,SL))</f>
        <v>499</v>
      </c>
      <c r="H174" s="25">
        <f t="array" ref="H174">SUM(IF("155"&amp;C174=KHN&amp;MH,TH))</f>
        <v>3689805</v>
      </c>
      <c r="I174" s="25">
        <f t="array" ref="I174">SUM(IF("155"&amp;C174=KHC&amp;MH,SL))</f>
        <v>499</v>
      </c>
      <c r="J174" s="25">
        <f t="array" ref="J174">SUM(IF("155"&amp;C174=KHC&amp;MH,TH))</f>
        <v>3689805</v>
      </c>
      <c r="K174" s="8">
        <f t="shared" si="25"/>
        <v>0</v>
      </c>
      <c r="L174" s="8">
        <f t="shared" si="26"/>
        <v>0</v>
      </c>
      <c r="M174" s="294"/>
    </row>
    <row r="175" spans="1:13" ht="18.75" customHeight="1">
      <c r="A175" s="294" t="str">
        <f t="shared" si="23"/>
        <v>TP</v>
      </c>
      <c r="B175" s="307">
        <f t="shared" si="24"/>
        <v>24</v>
      </c>
      <c r="C175" s="40" t="s">
        <v>1295</v>
      </c>
      <c r="D175" s="306" t="s">
        <v>1428</v>
      </c>
      <c r="E175" s="8"/>
      <c r="F175" s="8"/>
      <c r="G175" s="25">
        <f t="array" ref="G175">SUM(IF("155"&amp;C175=KHN&amp;MH,SL))</f>
        <v>2</v>
      </c>
      <c r="H175" s="25">
        <f t="array" ref="H175">SUM(IF("155"&amp;C175=KHN&amp;MH,TH))</f>
        <v>7045</v>
      </c>
      <c r="I175" s="25">
        <f t="array" ref="I175">SUM(IF("155"&amp;C175=KHC&amp;MH,SL))</f>
        <v>2</v>
      </c>
      <c r="J175" s="25">
        <f t="array" ref="J175">SUM(IF("155"&amp;C175=KHC&amp;MH,TH))</f>
        <v>7045</v>
      </c>
      <c r="K175" s="8">
        <f t="shared" si="25"/>
        <v>0</v>
      </c>
      <c r="L175" s="8">
        <f t="shared" si="26"/>
        <v>0</v>
      </c>
      <c r="M175" s="294"/>
    </row>
    <row r="176" spans="1:13" ht="18.75" customHeight="1">
      <c r="A176" s="294" t="str">
        <f t="shared" si="23"/>
        <v>TP</v>
      </c>
      <c r="B176" s="307">
        <f t="shared" si="24"/>
        <v>25</v>
      </c>
      <c r="C176" s="298" t="s">
        <v>923</v>
      </c>
      <c r="D176" s="306" t="s">
        <v>1428</v>
      </c>
      <c r="E176" s="8"/>
      <c r="F176" s="8"/>
      <c r="G176" s="25">
        <f t="array" ref="G176">SUM(IF("155"&amp;C176=KHN&amp;MH,SL))</f>
        <v>1</v>
      </c>
      <c r="H176" s="25">
        <f t="array" ref="H176">SUM(IF("155"&amp;C176=KHN&amp;MH,TH))</f>
        <v>5809</v>
      </c>
      <c r="I176" s="25">
        <f t="array" ref="I176">SUM(IF("155"&amp;C176=KHC&amp;MH,SL))</f>
        <v>1</v>
      </c>
      <c r="J176" s="25">
        <f t="array" ref="J176">SUM(IF("155"&amp;C176=KHC&amp;MH,TH))</f>
        <v>5809</v>
      </c>
      <c r="K176" s="8">
        <f t="shared" si="25"/>
        <v>0</v>
      </c>
      <c r="L176" s="8">
        <f t="shared" si="26"/>
        <v>0</v>
      </c>
      <c r="M176" s="294"/>
    </row>
    <row r="177" spans="1:13" ht="18.75" customHeight="1">
      <c r="A177" s="294" t="str">
        <f t="shared" si="23"/>
        <v>TP</v>
      </c>
      <c r="B177" s="307">
        <f t="shared" si="24"/>
        <v>26</v>
      </c>
      <c r="C177" s="298" t="s">
        <v>931</v>
      </c>
      <c r="D177" s="306" t="s">
        <v>1428</v>
      </c>
      <c r="E177" s="8"/>
      <c r="F177" s="8"/>
      <c r="G177" s="25">
        <f t="array" ref="G177">SUM(IF("155"&amp;C177=KHN&amp;MH,SL))</f>
        <v>2</v>
      </c>
      <c r="H177" s="25">
        <f t="array" ref="H177">SUM(IF("155"&amp;C177=KHN&amp;MH,TH))</f>
        <v>21109</v>
      </c>
      <c r="I177" s="25">
        <f t="array" ref="I177">SUM(IF("155"&amp;C177=KHC&amp;MH,SL))</f>
        <v>2</v>
      </c>
      <c r="J177" s="25">
        <f t="array" ref="J177">SUM(IF("155"&amp;C177=KHC&amp;MH,TH))</f>
        <v>21109</v>
      </c>
      <c r="K177" s="8">
        <f t="shared" si="25"/>
        <v>0</v>
      </c>
      <c r="L177" s="8">
        <f t="shared" si="26"/>
        <v>0</v>
      </c>
      <c r="M177" s="294"/>
    </row>
    <row r="178" spans="1:13" ht="18.75" customHeight="1">
      <c r="A178" s="294" t="str">
        <f t="shared" si="23"/>
        <v>TP</v>
      </c>
      <c r="B178" s="307">
        <f t="shared" si="24"/>
        <v>27</v>
      </c>
      <c r="C178" s="40" t="s">
        <v>1304</v>
      </c>
      <c r="D178" s="306" t="s">
        <v>1428</v>
      </c>
      <c r="E178" s="8"/>
      <c r="F178" s="8"/>
      <c r="G178" s="25">
        <f t="array" ref="G178">SUM(IF("155"&amp;C178=KHN&amp;MH,SL))</f>
        <v>154</v>
      </c>
      <c r="H178" s="25">
        <f t="array" ref="H178">SUM(IF("155"&amp;C178=KHN&amp;MH,TH))</f>
        <v>1254149</v>
      </c>
      <c r="I178" s="25">
        <f t="array" ref="I178">SUM(IF("155"&amp;C178=KHC&amp;MH,SL))</f>
        <v>154</v>
      </c>
      <c r="J178" s="25">
        <f t="array" ref="J178">SUM(IF("155"&amp;C178=KHC&amp;MH,TH))</f>
        <v>1254149</v>
      </c>
      <c r="K178" s="8">
        <f t="shared" si="25"/>
        <v>0</v>
      </c>
      <c r="L178" s="8">
        <f t="shared" si="26"/>
        <v>0</v>
      </c>
      <c r="M178" s="294"/>
    </row>
    <row r="179" spans="1:13" ht="18.75" customHeight="1">
      <c r="A179" s="294" t="str">
        <f t="shared" si="23"/>
        <v>TP</v>
      </c>
      <c r="B179" s="307">
        <f t="shared" si="24"/>
        <v>28</v>
      </c>
      <c r="C179" s="298" t="s">
        <v>998</v>
      </c>
      <c r="D179" s="306" t="s">
        <v>1428</v>
      </c>
      <c r="E179" s="8"/>
      <c r="F179" s="8"/>
      <c r="G179" s="25">
        <f t="array" ref="G179">SUM(IF("155"&amp;C179=KHN&amp;MH,SL))</f>
        <v>1</v>
      </c>
      <c r="H179" s="25">
        <f t="array" ref="H179">SUM(IF("155"&amp;C179=KHN&amp;MH,TH))</f>
        <v>4447</v>
      </c>
      <c r="I179" s="25">
        <f t="array" ref="I179">SUM(IF("155"&amp;C179=KHC&amp;MH,SL))</f>
        <v>1</v>
      </c>
      <c r="J179" s="25">
        <f t="array" ref="J179">SUM(IF("155"&amp;C179=KHC&amp;MH,TH))</f>
        <v>4447</v>
      </c>
      <c r="K179" s="8">
        <f t="shared" si="25"/>
        <v>0</v>
      </c>
      <c r="L179" s="8">
        <f t="shared" si="26"/>
        <v>0</v>
      </c>
      <c r="M179" s="294"/>
    </row>
    <row r="180" spans="1:13" ht="18.75" customHeight="1">
      <c r="A180" s="294" t="str">
        <f t="shared" si="23"/>
        <v>TP</v>
      </c>
      <c r="B180" s="307">
        <f t="shared" si="24"/>
        <v>29</v>
      </c>
      <c r="C180" s="40" t="s">
        <v>1353</v>
      </c>
      <c r="D180" s="306" t="s">
        <v>1428</v>
      </c>
      <c r="E180" s="8"/>
      <c r="F180" s="8"/>
      <c r="G180" s="25">
        <f t="array" ref="G180">SUM(IF("155"&amp;C180=KHN&amp;MH,SL))</f>
        <v>5</v>
      </c>
      <c r="H180" s="25">
        <f t="array" ref="H180">SUM(IF("155"&amp;C180=KHN&amp;MH,TH))</f>
        <v>39370</v>
      </c>
      <c r="I180" s="25">
        <f t="array" ref="I180">SUM(IF("155"&amp;C180=KHC&amp;MH,SL))</f>
        <v>5</v>
      </c>
      <c r="J180" s="25">
        <f t="array" ref="J180">SUM(IF("155"&amp;C180=KHC&amp;MH,TH))</f>
        <v>39370</v>
      </c>
      <c r="K180" s="8">
        <f t="shared" si="25"/>
        <v>0</v>
      </c>
      <c r="L180" s="8">
        <f t="shared" si="26"/>
        <v>0</v>
      </c>
      <c r="M180" s="294"/>
    </row>
    <row r="181" spans="1:13" ht="18.75" customHeight="1">
      <c r="A181" s="294" t="str">
        <f t="shared" si="23"/>
        <v>TP</v>
      </c>
      <c r="B181" s="307">
        <f t="shared" si="24"/>
        <v>30</v>
      </c>
      <c r="C181" s="298" t="s">
        <v>999</v>
      </c>
      <c r="D181" s="306" t="s">
        <v>1428</v>
      </c>
      <c r="E181" s="8"/>
      <c r="F181" s="8"/>
      <c r="G181" s="25">
        <f t="array" ref="G181">SUM(IF("155"&amp;C181=KHN&amp;MH,SL))</f>
        <v>3</v>
      </c>
      <c r="H181" s="25">
        <f t="array" ref="H181">SUM(IF("155"&amp;C181=KHN&amp;MH,TH))</f>
        <v>20014</v>
      </c>
      <c r="I181" s="25">
        <f t="array" ref="I181">SUM(IF("155"&amp;C181=KHC&amp;MH,SL))</f>
        <v>3</v>
      </c>
      <c r="J181" s="25">
        <f t="array" ref="J181">SUM(IF("155"&amp;C181=KHC&amp;MH,TH))</f>
        <v>20014</v>
      </c>
      <c r="K181" s="8">
        <f t="shared" si="25"/>
        <v>0</v>
      </c>
      <c r="L181" s="8">
        <f t="shared" si="26"/>
        <v>0</v>
      </c>
      <c r="M181" s="294"/>
    </row>
    <row r="182" spans="1:13" ht="18.75" customHeight="1">
      <c r="A182" s="294" t="str">
        <f t="shared" si="23"/>
        <v>TP</v>
      </c>
      <c r="B182" s="307">
        <f t="shared" si="24"/>
        <v>31</v>
      </c>
      <c r="C182" s="298" t="s">
        <v>1033</v>
      </c>
      <c r="D182" s="306" t="s">
        <v>1428</v>
      </c>
      <c r="E182" s="8"/>
      <c r="F182" s="8"/>
      <c r="G182" s="25">
        <f t="array" ref="G182">SUM(IF("155"&amp;C182=KHN&amp;MH,SL))</f>
        <v>1</v>
      </c>
      <c r="H182" s="25">
        <f t="array" ref="H182">SUM(IF("155"&amp;C182=KHN&amp;MH,TH))</f>
        <v>6671</v>
      </c>
      <c r="I182" s="25">
        <f t="array" ref="I182">SUM(IF("155"&amp;C182=KHC&amp;MH,SL))</f>
        <v>1</v>
      </c>
      <c r="J182" s="25">
        <f t="array" ref="J182">SUM(IF("155"&amp;C182=KHC&amp;MH,TH))</f>
        <v>6671</v>
      </c>
      <c r="K182" s="8">
        <f t="shared" si="25"/>
        <v>0</v>
      </c>
      <c r="L182" s="8">
        <f t="shared" si="26"/>
        <v>0</v>
      </c>
      <c r="M182" s="294"/>
    </row>
    <row r="183" spans="1:13" ht="18.75" customHeight="1">
      <c r="A183" s="294" t="str">
        <f t="shared" ref="A183:A188" si="27">IF(B183&lt;&gt;"","TP","")</f>
        <v>TP</v>
      </c>
      <c r="B183" s="307">
        <f t="shared" ref="B183:B188" si="28">IF(C183&lt;&gt;"",B182+1,"")</f>
        <v>32</v>
      </c>
      <c r="C183" s="40" t="s">
        <v>1305</v>
      </c>
      <c r="D183" s="306" t="s">
        <v>1428</v>
      </c>
      <c r="E183" s="8"/>
      <c r="F183" s="8"/>
      <c r="G183" s="25">
        <f t="array" ref="G183">SUM(IF("155"&amp;C183=KHN&amp;MH,SL))</f>
        <v>235</v>
      </c>
      <c r="H183" s="25">
        <f t="array" ref="H183">SUM(IF("155"&amp;C183=KHN&amp;MH,TH))</f>
        <v>2252384</v>
      </c>
      <c r="I183" s="25">
        <f t="array" ref="I183">SUM(IF("155"&amp;C183=KHC&amp;MH,SL))</f>
        <v>235</v>
      </c>
      <c r="J183" s="25">
        <f t="array" ref="J183">SUM(IF("155"&amp;C183=KHC&amp;MH,TH))</f>
        <v>2252384</v>
      </c>
      <c r="K183" s="8">
        <f t="shared" si="25"/>
        <v>0</v>
      </c>
      <c r="L183" s="8">
        <f t="shared" si="26"/>
        <v>0</v>
      </c>
      <c r="M183" s="294"/>
    </row>
    <row r="184" spans="1:13" ht="18.75" customHeight="1">
      <c r="A184" s="294" t="str">
        <f t="shared" si="27"/>
        <v>TP</v>
      </c>
      <c r="B184" s="307">
        <f t="shared" si="28"/>
        <v>33</v>
      </c>
      <c r="C184" s="298" t="s">
        <v>757</v>
      </c>
      <c r="D184" s="306" t="s">
        <v>1428</v>
      </c>
      <c r="E184" s="8"/>
      <c r="F184" s="8"/>
      <c r="G184" s="25">
        <f t="array" ref="G184">SUM(IF("155"&amp;C184=KHN&amp;MH,SL))</f>
        <v>9</v>
      </c>
      <c r="H184" s="25">
        <f t="array" ref="H184">SUM(IF("155"&amp;C184=KHN&amp;MH,TH))</f>
        <v>46100</v>
      </c>
      <c r="I184" s="25">
        <f t="array" ref="I184">SUM(IF("155"&amp;C184=KHC&amp;MH,SL))</f>
        <v>9</v>
      </c>
      <c r="J184" s="25">
        <f t="array" ref="J184">SUM(IF("155"&amp;C184=KHC&amp;MH,TH))</f>
        <v>46100</v>
      </c>
      <c r="K184" s="8">
        <f t="shared" si="25"/>
        <v>0</v>
      </c>
      <c r="L184" s="8">
        <f t="shared" si="26"/>
        <v>0</v>
      </c>
      <c r="M184" s="294"/>
    </row>
    <row r="185" spans="1:13" ht="18.75" customHeight="1">
      <c r="A185" s="294" t="str">
        <f t="shared" si="27"/>
        <v>TP</v>
      </c>
      <c r="B185" s="307">
        <f t="shared" si="28"/>
        <v>34</v>
      </c>
      <c r="C185" s="298" t="s">
        <v>924</v>
      </c>
      <c r="D185" s="306" t="s">
        <v>1428</v>
      </c>
      <c r="E185" s="8"/>
      <c r="F185" s="8"/>
      <c r="G185" s="25">
        <f t="array" ref="G185">SUM(IF("155"&amp;C185=KHN&amp;MH,SL))</f>
        <v>14</v>
      </c>
      <c r="H185" s="25">
        <f t="array" ref="H185">SUM(IF("155"&amp;C185=KHN&amp;MH,TH))</f>
        <v>88262</v>
      </c>
      <c r="I185" s="25">
        <f t="array" ref="I185">SUM(IF("155"&amp;C185=KHC&amp;MH,SL))</f>
        <v>14</v>
      </c>
      <c r="J185" s="25">
        <f t="array" ref="J185">SUM(IF("155"&amp;C185=KHC&amp;MH,TH))</f>
        <v>88262</v>
      </c>
      <c r="K185" s="8">
        <f t="shared" si="25"/>
        <v>0</v>
      </c>
      <c r="L185" s="8">
        <f t="shared" si="26"/>
        <v>0</v>
      </c>
      <c r="M185" s="294"/>
    </row>
    <row r="186" spans="1:13" ht="18.75" customHeight="1">
      <c r="A186" s="294" t="str">
        <f t="shared" si="27"/>
        <v>TP</v>
      </c>
      <c r="B186" s="307">
        <f t="shared" si="28"/>
        <v>35</v>
      </c>
      <c r="C186" s="40" t="s">
        <v>1309</v>
      </c>
      <c r="D186" s="306" t="s">
        <v>1428</v>
      </c>
      <c r="E186" s="8"/>
      <c r="F186" s="8"/>
      <c r="G186" s="25">
        <f t="array" ref="G186">SUM(IF("155"&amp;C186=KHN&amp;MH,SL))</f>
        <v>28</v>
      </c>
      <c r="H186" s="25">
        <f t="array" ref="H186">SUM(IF("155"&amp;C186=KHN&amp;MH,TH))</f>
        <v>278091</v>
      </c>
      <c r="I186" s="25">
        <f t="array" ref="I186">SUM(IF("155"&amp;C186=KHC&amp;MH,SL))</f>
        <v>28</v>
      </c>
      <c r="J186" s="25">
        <f t="array" ref="J186">SUM(IF("155"&amp;C186=KHC&amp;MH,TH))</f>
        <v>278091</v>
      </c>
      <c r="K186" s="8">
        <f t="shared" si="25"/>
        <v>0</v>
      </c>
      <c r="L186" s="8">
        <f t="shared" si="26"/>
        <v>0</v>
      </c>
      <c r="M186" s="294"/>
    </row>
    <row r="187" spans="1:13" ht="18.75" customHeight="1">
      <c r="A187" s="294" t="str">
        <f t="shared" si="27"/>
        <v>TP</v>
      </c>
      <c r="B187" s="307">
        <f t="shared" si="28"/>
        <v>36</v>
      </c>
      <c r="C187" s="40" t="s">
        <v>1314</v>
      </c>
      <c r="D187" s="306" t="s">
        <v>1428</v>
      </c>
      <c r="E187" s="8"/>
      <c r="F187" s="8"/>
      <c r="G187" s="25">
        <f t="array" ref="G187">SUM(IF("155"&amp;C187=KHN&amp;MH,SL))</f>
        <v>123</v>
      </c>
      <c r="H187" s="25">
        <f t="array" ref="H187">SUM(IF("155"&amp;C187=KHN&amp;MH,TH))</f>
        <v>1219976</v>
      </c>
      <c r="I187" s="25">
        <f t="array" ref="I187">SUM(IF("155"&amp;C187=KHC&amp;MH,SL))</f>
        <v>123</v>
      </c>
      <c r="J187" s="25">
        <f t="array" ref="J187">SUM(IF("155"&amp;C187=KHC&amp;MH,TH))</f>
        <v>1219976</v>
      </c>
      <c r="K187" s="8">
        <f t="shared" si="25"/>
        <v>0</v>
      </c>
      <c r="L187" s="8">
        <f t="shared" si="26"/>
        <v>0</v>
      </c>
      <c r="M187" s="294"/>
    </row>
    <row r="188" spans="1:13" ht="18.75" customHeight="1">
      <c r="A188" s="294" t="str">
        <f t="shared" si="27"/>
        <v>TP</v>
      </c>
      <c r="B188" s="307">
        <f t="shared" si="28"/>
        <v>37</v>
      </c>
      <c r="C188" s="298" t="s">
        <v>745</v>
      </c>
      <c r="D188" s="306" t="s">
        <v>1428</v>
      </c>
      <c r="E188" s="8"/>
      <c r="F188" s="8"/>
      <c r="G188" s="25">
        <f t="array" ref="G188">SUM(IF("155"&amp;C188=KHN&amp;MH,SL))</f>
        <v>9</v>
      </c>
      <c r="H188" s="25">
        <f t="array" ref="H188">SUM(IF("155"&amp;C188=KHN&amp;MH,TH))</f>
        <v>73471</v>
      </c>
      <c r="I188" s="25">
        <f t="array" ref="I188">SUM(IF("155"&amp;C188=KHC&amp;MH,SL))</f>
        <v>9</v>
      </c>
      <c r="J188" s="25">
        <f t="array" ref="J188">SUM(IF("155"&amp;C188=KHC&amp;MH,TH))</f>
        <v>73471</v>
      </c>
      <c r="K188" s="8">
        <f t="shared" si="25"/>
        <v>0</v>
      </c>
      <c r="L188" s="8">
        <f t="shared" si="26"/>
        <v>0</v>
      </c>
      <c r="M188" s="294"/>
    </row>
    <row r="189" spans="1:13" ht="18.75" customHeight="1">
      <c r="A189" s="294" t="str">
        <f t="shared" ref="A189:A197" si="29">IF(B189&lt;&gt;"","TP","")</f>
        <v>TP</v>
      </c>
      <c r="B189" s="307">
        <f t="shared" ref="B189:B197" si="30">IF(C189&lt;&gt;"",B188+1,"")</f>
        <v>38</v>
      </c>
      <c r="C189" s="40" t="s">
        <v>1329</v>
      </c>
      <c r="D189" s="306" t="s">
        <v>1428</v>
      </c>
      <c r="E189" s="8"/>
      <c r="F189" s="8"/>
      <c r="G189" s="25">
        <f t="array" ref="G189">SUM(IF("155"&amp;C189=KHN&amp;MH,SL))</f>
        <v>171</v>
      </c>
      <c r="H189" s="25">
        <f t="array" ref="H189">SUM(IF("155"&amp;C189=KHN&amp;MH,TH))</f>
        <v>2833831</v>
      </c>
      <c r="I189" s="25">
        <f t="array" ref="I189">SUM(IF("155"&amp;C189=KHC&amp;MH,SL))</f>
        <v>171</v>
      </c>
      <c r="J189" s="25">
        <f t="array" ref="J189">SUM(IF("155"&amp;C189=KHC&amp;MH,TH))</f>
        <v>2833831</v>
      </c>
      <c r="K189" s="8">
        <f t="shared" si="25"/>
        <v>0</v>
      </c>
      <c r="L189" s="8">
        <f t="shared" si="26"/>
        <v>0</v>
      </c>
      <c r="M189" s="294"/>
    </row>
    <row r="190" spans="1:13" ht="18.75" customHeight="1">
      <c r="A190" s="294" t="str">
        <f t="shared" si="29"/>
        <v>TP</v>
      </c>
      <c r="B190" s="307">
        <f t="shared" si="30"/>
        <v>39</v>
      </c>
      <c r="C190" s="40" t="s">
        <v>1331</v>
      </c>
      <c r="D190" s="306" t="s">
        <v>1428</v>
      </c>
      <c r="E190" s="8"/>
      <c r="F190" s="8"/>
      <c r="G190" s="25">
        <f t="array" ref="G190">SUM(IF("155"&amp;C190=KHN&amp;MH,SL))</f>
        <v>201</v>
      </c>
      <c r="H190" s="25">
        <f t="array" ref="H190">SUM(IF("155"&amp;C190=KHN&amp;MH,TH))</f>
        <v>3656749</v>
      </c>
      <c r="I190" s="25">
        <f t="array" ref="I190">SUM(IF("155"&amp;C190=KHC&amp;MH,SL))</f>
        <v>201</v>
      </c>
      <c r="J190" s="25">
        <f t="array" ref="J190">SUM(IF("155"&amp;C190=KHC&amp;MH,TH))</f>
        <v>3656749</v>
      </c>
      <c r="K190" s="8">
        <f t="shared" si="25"/>
        <v>0</v>
      </c>
      <c r="L190" s="8">
        <f t="shared" si="26"/>
        <v>0</v>
      </c>
      <c r="M190" s="294"/>
    </row>
    <row r="191" spans="1:13" ht="18.75" customHeight="1">
      <c r="A191" s="294" t="str">
        <f t="shared" si="29"/>
        <v>TP</v>
      </c>
      <c r="B191" s="307">
        <f t="shared" si="30"/>
        <v>40</v>
      </c>
      <c r="C191" s="298" t="s">
        <v>996</v>
      </c>
      <c r="D191" s="306" t="s">
        <v>1428</v>
      </c>
      <c r="E191" s="8"/>
      <c r="F191" s="8"/>
      <c r="G191" s="25">
        <f t="array" ref="G191">SUM(IF("155"&amp;C191=KHN&amp;MH,SL))</f>
        <v>164</v>
      </c>
      <c r="H191" s="25">
        <f t="array" ref="H191">SUM(IF("155"&amp;C191=KHN&amp;MH,TH))</f>
        <v>1212681</v>
      </c>
      <c r="I191" s="25">
        <f t="array" ref="I191">SUM(IF("155"&amp;C191=KHC&amp;MH,SL))</f>
        <v>164</v>
      </c>
      <c r="J191" s="25">
        <f t="array" ref="J191">SUM(IF("155"&amp;C191=KHC&amp;MH,TH))</f>
        <v>1212681</v>
      </c>
      <c r="K191" s="8">
        <f t="shared" si="25"/>
        <v>0</v>
      </c>
      <c r="L191" s="8">
        <f t="shared" si="26"/>
        <v>0</v>
      </c>
      <c r="M191" s="294"/>
    </row>
    <row r="192" spans="1:13" ht="18.75" customHeight="1">
      <c r="A192" s="294" t="str">
        <f t="shared" si="29"/>
        <v>TP</v>
      </c>
      <c r="B192" s="307">
        <f t="shared" si="30"/>
        <v>41</v>
      </c>
      <c r="C192" s="298" t="s">
        <v>995</v>
      </c>
      <c r="D192" s="306" t="s">
        <v>1428</v>
      </c>
      <c r="E192" s="8"/>
      <c r="F192" s="8"/>
      <c r="G192" s="25">
        <f t="array" ref="G192">SUM(IF("155"&amp;C192=KHN&amp;MH,SL))</f>
        <v>660</v>
      </c>
      <c r="H192" s="25">
        <f t="array" ref="H192">SUM(IF("155"&amp;C192=KHN&amp;MH,TH))</f>
        <v>5001998</v>
      </c>
      <c r="I192" s="25">
        <f t="array" ref="I192">SUM(IF("155"&amp;C192=KHC&amp;MH,SL))</f>
        <v>660</v>
      </c>
      <c r="J192" s="25">
        <f t="array" ref="J192">SUM(IF("155"&amp;C192=KHC&amp;MH,TH))</f>
        <v>5001998</v>
      </c>
      <c r="K192" s="8">
        <f t="shared" si="25"/>
        <v>0</v>
      </c>
      <c r="L192" s="8">
        <f t="shared" si="26"/>
        <v>0</v>
      </c>
      <c r="M192" s="294"/>
    </row>
    <row r="193" spans="1:13" ht="18.75" customHeight="1">
      <c r="A193" s="294" t="str">
        <f t="shared" si="29"/>
        <v>TP</v>
      </c>
      <c r="B193" s="307">
        <f t="shared" si="30"/>
        <v>42</v>
      </c>
      <c r="C193" s="40" t="s">
        <v>1376</v>
      </c>
      <c r="D193" s="306" t="s">
        <v>1428</v>
      </c>
      <c r="E193" s="8"/>
      <c r="F193" s="8"/>
      <c r="G193" s="25">
        <f t="array" ref="G193">SUM(IF("155"&amp;C193=KHN&amp;MH,SL))</f>
        <v>261</v>
      </c>
      <c r="H193" s="25">
        <f t="array" ref="H193">SUM(IF("155"&amp;C193=KHN&amp;MH,TH))</f>
        <v>2588730</v>
      </c>
      <c r="I193" s="25">
        <f t="array" ref="I193">SUM(IF("155"&amp;C193=KHC&amp;MH,SL))</f>
        <v>261</v>
      </c>
      <c r="J193" s="25">
        <f t="array" ref="J193">SUM(IF("155"&amp;C193=KHC&amp;MH,TH))</f>
        <v>2588730</v>
      </c>
      <c r="K193" s="8">
        <f t="shared" si="25"/>
        <v>0</v>
      </c>
      <c r="L193" s="8">
        <f t="shared" si="26"/>
        <v>0</v>
      </c>
      <c r="M193" s="294"/>
    </row>
    <row r="194" spans="1:13" ht="18.75" customHeight="1">
      <c r="A194" s="294" t="str">
        <f t="shared" si="29"/>
        <v>TP</v>
      </c>
      <c r="B194" s="307">
        <f t="shared" si="30"/>
        <v>43</v>
      </c>
      <c r="C194" s="40" t="s">
        <v>1333</v>
      </c>
      <c r="D194" s="306" t="s">
        <v>1428</v>
      </c>
      <c r="E194" s="8"/>
      <c r="F194" s="8"/>
      <c r="G194" s="25">
        <f t="array" ref="G194">SUM(IF("155"&amp;C194=KHN&amp;MH,SL))</f>
        <v>412</v>
      </c>
      <c r="H194" s="25">
        <f t="array" ref="H194">SUM(IF("155"&amp;C194=KHN&amp;MH,TH))</f>
        <v>7042413</v>
      </c>
      <c r="I194" s="25">
        <f t="array" ref="I194">SUM(IF("155"&amp;C194=KHC&amp;MH,SL))</f>
        <v>412</v>
      </c>
      <c r="J194" s="25">
        <f t="array" ref="J194">SUM(IF("155"&amp;C194=KHC&amp;MH,TH))</f>
        <v>7042413</v>
      </c>
      <c r="K194" s="8">
        <f t="shared" si="25"/>
        <v>0</v>
      </c>
      <c r="L194" s="8">
        <f t="shared" si="26"/>
        <v>0</v>
      </c>
      <c r="M194" s="294"/>
    </row>
    <row r="195" spans="1:13" ht="18.75" customHeight="1">
      <c r="A195" s="294" t="str">
        <f t="shared" si="29"/>
        <v>TP</v>
      </c>
      <c r="B195" s="307">
        <f t="shared" si="30"/>
        <v>44</v>
      </c>
      <c r="C195" s="298" t="s">
        <v>933</v>
      </c>
      <c r="D195" s="306" t="s">
        <v>1428</v>
      </c>
      <c r="E195" s="8"/>
      <c r="F195" s="8"/>
      <c r="G195" s="25">
        <f t="array" ref="G195">SUM(IF("155"&amp;C195=KHN&amp;MH,SL))</f>
        <v>169</v>
      </c>
      <c r="H195" s="25">
        <f t="array" ref="H195">SUM(IF("155"&amp;C195=KHN&amp;MH,TH))</f>
        <v>1248152</v>
      </c>
      <c r="I195" s="25">
        <f t="array" ref="I195">SUM(IF("155"&amp;C195=KHC&amp;MH,SL))</f>
        <v>169</v>
      </c>
      <c r="J195" s="25">
        <f t="array" ref="J195">SUM(IF("155"&amp;C195=KHC&amp;MH,TH))</f>
        <v>1248152</v>
      </c>
      <c r="K195" s="8">
        <f t="shared" si="25"/>
        <v>0</v>
      </c>
      <c r="L195" s="8">
        <f t="shared" si="26"/>
        <v>0</v>
      </c>
      <c r="M195" s="294"/>
    </row>
    <row r="196" spans="1:13" ht="18.75" customHeight="1">
      <c r="A196" s="294" t="str">
        <f t="shared" si="29"/>
        <v>TP</v>
      </c>
      <c r="B196" s="307">
        <f t="shared" si="30"/>
        <v>45</v>
      </c>
      <c r="C196" s="298" t="s">
        <v>1031</v>
      </c>
      <c r="D196" s="306" t="s">
        <v>1428</v>
      </c>
      <c r="E196" s="8"/>
      <c r="F196" s="8"/>
      <c r="G196" s="25">
        <f t="array" ref="G196">SUM(IF("155"&amp;C196=KHN&amp;MH,SL))</f>
        <v>3</v>
      </c>
      <c r="H196" s="25">
        <f t="array" ref="H196">SUM(IF("155"&amp;C196=KHN&amp;MH,TH))</f>
        <v>19090</v>
      </c>
      <c r="I196" s="25">
        <f t="array" ref="I196">SUM(IF("155"&amp;C196=KHC&amp;MH,SL))</f>
        <v>3</v>
      </c>
      <c r="J196" s="25">
        <f t="array" ref="J196">SUM(IF("155"&amp;C196=KHC&amp;MH,TH))</f>
        <v>19090</v>
      </c>
      <c r="K196" s="8">
        <f t="shared" si="25"/>
        <v>0</v>
      </c>
      <c r="L196" s="8">
        <f t="shared" si="26"/>
        <v>0</v>
      </c>
      <c r="M196" s="294"/>
    </row>
    <row r="197" spans="1:13" ht="18.75" customHeight="1">
      <c r="A197" s="294" t="str">
        <f t="shared" si="29"/>
        <v>TP</v>
      </c>
      <c r="B197" s="307">
        <f t="shared" si="30"/>
        <v>46</v>
      </c>
      <c r="C197" s="298" t="s">
        <v>903</v>
      </c>
      <c r="D197" s="306" t="s">
        <v>1428</v>
      </c>
      <c r="E197" s="8"/>
      <c r="F197" s="8"/>
      <c r="G197" s="25">
        <f t="array" ref="G197">SUM(IF("155"&amp;C197=KHN&amp;MH,SL))</f>
        <v>224</v>
      </c>
      <c r="H197" s="25">
        <f t="array" ref="H197">SUM(IF("155"&amp;C197=KHN&amp;MH,TH))</f>
        <v>2076457</v>
      </c>
      <c r="I197" s="25">
        <f t="array" ref="I197">SUM(IF("155"&amp;C197=KHC&amp;MH,SL))</f>
        <v>224</v>
      </c>
      <c r="J197" s="25">
        <f t="array" ref="J197">SUM(IF("155"&amp;C197=KHC&amp;MH,TH))</f>
        <v>2076457</v>
      </c>
      <c r="K197" s="8">
        <f t="shared" si="25"/>
        <v>0</v>
      </c>
      <c r="L197" s="8">
        <f t="shared" si="26"/>
        <v>0</v>
      </c>
      <c r="M197" s="294"/>
    </row>
    <row r="198" spans="1:13" ht="18.75" customHeight="1">
      <c r="A198" s="294" t="str">
        <f t="shared" ref="A198:A207" si="31">IF(B198&lt;&gt;"","TP","")</f>
        <v>TP</v>
      </c>
      <c r="B198" s="307">
        <f t="shared" ref="B198:B202" si="32">IF(C198&lt;&gt;"",B197+1,"")</f>
        <v>47</v>
      </c>
      <c r="C198" s="298" t="s">
        <v>932</v>
      </c>
      <c r="D198" s="306" t="s">
        <v>1428</v>
      </c>
      <c r="E198" s="8"/>
      <c r="F198" s="8"/>
      <c r="G198" s="25">
        <f t="array" ref="G198">SUM(IF("155"&amp;C198=KHN&amp;MH,SL))</f>
        <v>2057</v>
      </c>
      <c r="H198" s="25">
        <f t="array" ref="H198">SUM(IF("155"&amp;C198=KHN&amp;MH,TH))</f>
        <v>18007484</v>
      </c>
      <c r="I198" s="25">
        <f t="array" ref="I198">SUM(IF("155"&amp;C198=KHC&amp;MH,SL))</f>
        <v>2057</v>
      </c>
      <c r="J198" s="25">
        <f t="array" ref="J198">SUM(IF("155"&amp;C198=KHC&amp;MH,TH))</f>
        <v>18007484</v>
      </c>
      <c r="K198" s="8">
        <f t="shared" si="25"/>
        <v>0</v>
      </c>
      <c r="L198" s="8">
        <f t="shared" si="26"/>
        <v>0</v>
      </c>
      <c r="M198" s="294"/>
    </row>
    <row r="199" spans="1:13" ht="18" customHeight="1">
      <c r="A199" s="294" t="str">
        <f t="shared" si="31"/>
        <v>TP</v>
      </c>
      <c r="B199" s="307">
        <f t="shared" si="32"/>
        <v>48</v>
      </c>
      <c r="C199" s="40" t="s">
        <v>1297</v>
      </c>
      <c r="D199" s="306" t="s">
        <v>1428</v>
      </c>
      <c r="E199" s="8"/>
      <c r="F199" s="8"/>
      <c r="G199" s="25">
        <f t="array" ref="G199">SUM(IF("155"&amp;C199=KHN&amp;MH,SL))</f>
        <v>10</v>
      </c>
      <c r="H199" s="25">
        <f t="array" ref="H199">SUM(IF("155"&amp;C199=KHN&amp;MH,TH))</f>
        <v>85149</v>
      </c>
      <c r="I199" s="25">
        <f t="array" ref="I199">SUM(IF("155"&amp;C199=KHC&amp;MH,SL))</f>
        <v>10</v>
      </c>
      <c r="J199" s="25">
        <f t="array" ref="J199">SUM(IF("155"&amp;C199=KHC&amp;MH,TH))</f>
        <v>85149</v>
      </c>
      <c r="K199" s="8">
        <f t="shared" si="25"/>
        <v>0</v>
      </c>
      <c r="L199" s="8">
        <f t="shared" si="26"/>
        <v>0</v>
      </c>
      <c r="M199" s="294"/>
    </row>
    <row r="200" spans="1:13" ht="18" customHeight="1">
      <c r="A200" s="294" t="str">
        <f t="shared" si="31"/>
        <v>TP</v>
      </c>
      <c r="B200" s="307">
        <f t="shared" si="32"/>
        <v>49</v>
      </c>
      <c r="C200" s="40" t="s">
        <v>1313</v>
      </c>
      <c r="D200" s="306" t="s">
        <v>1428</v>
      </c>
      <c r="E200" s="8"/>
      <c r="F200" s="8"/>
      <c r="G200" s="25">
        <f t="array" ref="G200">SUM(IF("155"&amp;C200=KHN&amp;MH,SL))</f>
        <v>274</v>
      </c>
      <c r="H200" s="25">
        <f t="array" ref="H200">SUM(IF("155"&amp;C200=KHN&amp;MH,TH))</f>
        <v>2717670</v>
      </c>
      <c r="I200" s="25">
        <f t="array" ref="I200">SUM(IF("155"&amp;C200=KHC&amp;MH,SL))</f>
        <v>274</v>
      </c>
      <c r="J200" s="25">
        <f t="array" ref="J200">SUM(IF("155"&amp;C200=KHC&amp;MH,TH))</f>
        <v>2717670</v>
      </c>
      <c r="K200" s="8">
        <f t="shared" si="25"/>
        <v>0</v>
      </c>
      <c r="L200" s="8">
        <f t="shared" si="26"/>
        <v>0</v>
      </c>
      <c r="M200" s="294"/>
    </row>
    <row r="201" spans="1:13" ht="18.75" customHeight="1">
      <c r="A201" s="294" t="str">
        <f t="shared" si="31"/>
        <v>TP</v>
      </c>
      <c r="B201" s="307">
        <f t="shared" si="32"/>
        <v>50</v>
      </c>
      <c r="C201" s="298" t="s">
        <v>904</v>
      </c>
      <c r="D201" s="306" t="s">
        <v>1428</v>
      </c>
      <c r="E201" s="8"/>
      <c r="F201" s="8"/>
      <c r="G201" s="25">
        <f t="array" ref="G201">SUM(IF("155"&amp;C201=KHN&amp;MH,SL))</f>
        <v>882</v>
      </c>
      <c r="H201" s="25">
        <f t="array" ref="H201">SUM(IF("155"&amp;C201=KHN&amp;MH,TH))</f>
        <v>11786890</v>
      </c>
      <c r="I201" s="25">
        <f t="array" ref="I201">SUM(IF("155"&amp;C201=KHC&amp;MH,SL))</f>
        <v>882</v>
      </c>
      <c r="J201" s="25">
        <f t="array" ref="J201">SUM(IF("155"&amp;C201=KHC&amp;MH,TH))</f>
        <v>11786890</v>
      </c>
      <c r="K201" s="8">
        <f t="shared" si="25"/>
        <v>0</v>
      </c>
      <c r="L201" s="8">
        <f t="shared" si="26"/>
        <v>0</v>
      </c>
      <c r="M201" s="294"/>
    </row>
    <row r="202" spans="1:13" ht="18.75" customHeight="1">
      <c r="A202" s="294" t="str">
        <f t="shared" si="31"/>
        <v>TP</v>
      </c>
      <c r="B202" s="307">
        <f t="shared" si="32"/>
        <v>51</v>
      </c>
      <c r="C202" s="192" t="s">
        <v>1265</v>
      </c>
      <c r="D202" s="306" t="s">
        <v>1428</v>
      </c>
      <c r="E202" s="8"/>
      <c r="F202" s="8"/>
      <c r="G202" s="25">
        <f t="array" ref="G202">SUM(IF("155"&amp;C202=KHN&amp;MH,SL))</f>
        <v>300</v>
      </c>
      <c r="H202" s="25">
        <f t="array" ref="H202">SUM(IF("155"&amp;C202=KHN&amp;MH,TH))</f>
        <v>2498550</v>
      </c>
      <c r="I202" s="25">
        <f t="array" ref="I202">SUM(IF("155"&amp;C202=KHC&amp;MH,SL))</f>
        <v>300</v>
      </c>
      <c r="J202" s="25">
        <f t="array" ref="J202">SUM(IF("155"&amp;C202=KHC&amp;MH,TH))</f>
        <v>2498550</v>
      </c>
      <c r="K202" s="8">
        <f t="shared" si="25"/>
        <v>0</v>
      </c>
      <c r="L202" s="8">
        <f t="shared" si="26"/>
        <v>0</v>
      </c>
      <c r="M202" s="294"/>
    </row>
    <row r="203" spans="1:13" ht="18.75" customHeight="1">
      <c r="A203" s="294" t="str">
        <f t="shared" si="31"/>
        <v>TP</v>
      </c>
      <c r="B203" s="307">
        <f t="shared" ref="B203:B207" si="33">IF(C203&lt;&gt;"",B202+1,"")</f>
        <v>52</v>
      </c>
      <c r="C203" s="192" t="s">
        <v>1258</v>
      </c>
      <c r="D203" s="306" t="s">
        <v>1428</v>
      </c>
      <c r="E203" s="8"/>
      <c r="F203" s="8"/>
      <c r="G203" s="25">
        <f t="array" ref="G203">SUM(IF("155"&amp;C203=KHN&amp;MH,SL))</f>
        <v>275</v>
      </c>
      <c r="H203" s="25">
        <f t="array" ref="H203">SUM(IF("155"&amp;C203=KHN&amp;MH,TH))</f>
        <v>2177185</v>
      </c>
      <c r="I203" s="25">
        <f t="array" ref="I203">SUM(IF("155"&amp;C203=KHC&amp;MH,SL))</f>
        <v>275</v>
      </c>
      <c r="J203" s="25">
        <f t="array" ref="J203">SUM(IF("155"&amp;C203=KHC&amp;MH,TH))</f>
        <v>2177185</v>
      </c>
      <c r="K203" s="8">
        <f t="shared" si="25"/>
        <v>0</v>
      </c>
      <c r="L203" s="8">
        <f t="shared" si="26"/>
        <v>0</v>
      </c>
      <c r="M203" s="294"/>
    </row>
    <row r="204" spans="1:13" ht="18.75" customHeight="1">
      <c r="A204" s="294" t="str">
        <f t="shared" si="31"/>
        <v>TP</v>
      </c>
      <c r="B204" s="307">
        <f t="shared" si="33"/>
        <v>53</v>
      </c>
      <c r="C204" s="192" t="s">
        <v>1257</v>
      </c>
      <c r="D204" s="306" t="s">
        <v>1428</v>
      </c>
      <c r="E204" s="8"/>
      <c r="F204" s="8"/>
      <c r="G204" s="25">
        <f t="array" ref="G204">SUM(IF("155"&amp;C204=KHN&amp;MH,SL))</f>
        <v>144</v>
      </c>
      <c r="H204" s="25">
        <f t="array" ref="H204">SUM(IF("155"&amp;C204=KHN&amp;MH,TH))</f>
        <v>1277483</v>
      </c>
      <c r="I204" s="25">
        <f t="array" ref="I204">SUM(IF("155"&amp;C204=KHC&amp;MH,SL))</f>
        <v>144</v>
      </c>
      <c r="J204" s="25">
        <f t="array" ref="J204">SUM(IF("155"&amp;C204=KHC&amp;MH,TH))</f>
        <v>1277483</v>
      </c>
      <c r="K204" s="8">
        <f t="shared" si="25"/>
        <v>0</v>
      </c>
      <c r="L204" s="8">
        <f t="shared" si="26"/>
        <v>0</v>
      </c>
      <c r="M204" s="294"/>
    </row>
    <row r="205" spans="1:13" ht="18.75" customHeight="1">
      <c r="A205" s="294" t="str">
        <f t="shared" si="31"/>
        <v>TP</v>
      </c>
      <c r="B205" s="307">
        <f t="shared" si="33"/>
        <v>54</v>
      </c>
      <c r="C205" s="40" t="s">
        <v>1332</v>
      </c>
      <c r="D205" s="306" t="s">
        <v>1428</v>
      </c>
      <c r="E205" s="8"/>
      <c r="F205" s="8"/>
      <c r="G205" s="25">
        <f t="array" ref="G205">SUM(IF("155"&amp;C205=KHN&amp;MH,SL))</f>
        <v>171</v>
      </c>
      <c r="H205" s="25">
        <f t="array" ref="H205">SUM(IF("155"&amp;C205=KHN&amp;MH,TH))</f>
        <v>3145521</v>
      </c>
      <c r="I205" s="25">
        <f t="array" ref="I205">SUM(IF("155"&amp;C205=KHC&amp;MH,SL))</f>
        <v>171</v>
      </c>
      <c r="J205" s="25">
        <f t="array" ref="J205">SUM(IF("155"&amp;C205=KHC&amp;MH,TH))</f>
        <v>3145521</v>
      </c>
      <c r="K205" s="8">
        <f t="shared" si="25"/>
        <v>0</v>
      </c>
      <c r="L205" s="8">
        <f t="shared" si="26"/>
        <v>0</v>
      </c>
      <c r="M205" s="294"/>
    </row>
    <row r="206" spans="1:13" ht="18.75" customHeight="1">
      <c r="A206" s="294" t="str">
        <f t="shared" si="31"/>
        <v>TP</v>
      </c>
      <c r="B206" s="307">
        <f t="shared" si="33"/>
        <v>55</v>
      </c>
      <c r="C206" s="298" t="s">
        <v>758</v>
      </c>
      <c r="D206" s="306" t="s">
        <v>1428</v>
      </c>
      <c r="E206" s="8"/>
      <c r="F206" s="8"/>
      <c r="G206" s="25">
        <f t="array" ref="G206">SUM(IF("155"&amp;C206=KHN&amp;MH,SL))</f>
        <v>20</v>
      </c>
      <c r="H206" s="25">
        <f t="array" ref="H206">SUM(IF("155"&amp;C206=KHN&amp;MH,TH))</f>
        <v>130139</v>
      </c>
      <c r="I206" s="25">
        <f t="array" ref="I206">SUM(IF("155"&amp;C206=KHC&amp;MH,SL))</f>
        <v>20</v>
      </c>
      <c r="J206" s="25">
        <f t="array" ref="J206">SUM(IF("155"&amp;C206=KHC&amp;MH,TH))</f>
        <v>130139</v>
      </c>
      <c r="K206" s="8">
        <f t="shared" si="25"/>
        <v>0</v>
      </c>
      <c r="L206" s="8">
        <f t="shared" si="26"/>
        <v>0</v>
      </c>
      <c r="M206" s="294"/>
    </row>
    <row r="207" spans="1:13" ht="18.75" customHeight="1">
      <c r="A207" s="294" t="str">
        <f t="shared" si="31"/>
        <v>TP</v>
      </c>
      <c r="B207" s="307">
        <f t="shared" si="33"/>
        <v>56</v>
      </c>
      <c r="C207" s="40" t="s">
        <v>1388</v>
      </c>
      <c r="D207" s="306" t="s">
        <v>1428</v>
      </c>
      <c r="E207" s="8"/>
      <c r="F207" s="8"/>
      <c r="G207" s="25">
        <f t="array" ref="G207">SUM(IF("155"&amp;C207=KHN&amp;MH,SL))</f>
        <v>1</v>
      </c>
      <c r="H207" s="25">
        <f t="array" ref="H207">SUM(IF("155"&amp;C207=KHN&amp;MH,TH))</f>
        <v>9918</v>
      </c>
      <c r="I207" s="25">
        <f t="array" ref="I207">SUM(IF("155"&amp;C207=KHC&amp;MH,SL))</f>
        <v>1</v>
      </c>
      <c r="J207" s="25">
        <f t="array" ref="J207">SUM(IF("155"&amp;C207=KHC&amp;MH,TH))</f>
        <v>9918</v>
      </c>
      <c r="K207" s="8">
        <f t="shared" si="25"/>
        <v>0</v>
      </c>
      <c r="L207" s="8">
        <f t="shared" si="26"/>
        <v>0</v>
      </c>
      <c r="M207" s="294"/>
    </row>
    <row r="208" spans="1:13" ht="18.75" customHeight="1">
      <c r="A208" s="294" t="str">
        <f>IF(B208&lt;&gt;"","TP","")</f>
        <v>TP</v>
      </c>
      <c r="B208" s="307">
        <f>IF(C208&lt;&gt;"",B207+1,"")</f>
        <v>57</v>
      </c>
      <c r="C208" s="298" t="s">
        <v>748</v>
      </c>
      <c r="D208" s="306" t="s">
        <v>1428</v>
      </c>
      <c r="E208" s="8"/>
      <c r="F208" s="8"/>
      <c r="G208" s="25">
        <f t="array" ref="G208">SUM(IF("155"&amp;C208=KHN&amp;MH,SL))</f>
        <v>371</v>
      </c>
      <c r="H208" s="25">
        <f t="array" ref="H208">SUM(IF("155"&amp;C208=KHN&amp;MH,TH))</f>
        <v>2900341</v>
      </c>
      <c r="I208" s="25">
        <f t="array" ref="I208">SUM(IF("155"&amp;C208=KHC&amp;MH,SL))</f>
        <v>371</v>
      </c>
      <c r="J208" s="25">
        <f t="array" ref="J208">SUM(IF("155"&amp;C208=KHC&amp;MH,TH))</f>
        <v>2900341</v>
      </c>
      <c r="K208" s="8">
        <f t="shared" si="25"/>
        <v>0</v>
      </c>
      <c r="L208" s="8">
        <f t="shared" si="26"/>
        <v>0</v>
      </c>
      <c r="M208" s="294"/>
    </row>
    <row r="209" spans="1:13" ht="18.75" customHeight="1">
      <c r="A209" s="294" t="str">
        <f>IF(B209&lt;&gt;"","TP","")</f>
        <v>TP</v>
      </c>
      <c r="B209" s="307">
        <f>IF(C209&lt;&gt;"",B208+1,"")</f>
        <v>58</v>
      </c>
      <c r="C209" s="298" t="s">
        <v>1004</v>
      </c>
      <c r="D209" s="306" t="s">
        <v>1428</v>
      </c>
      <c r="E209" s="8"/>
      <c r="F209" s="8"/>
      <c r="G209" s="25">
        <f t="array" ref="G209">SUM(IF("155"&amp;C209=KHN&amp;MH,SL))</f>
        <v>2</v>
      </c>
      <c r="H209" s="25">
        <f t="array" ref="H209">SUM(IF("155"&amp;C209=KHN&amp;MH,TH))</f>
        <v>20748</v>
      </c>
      <c r="I209" s="25">
        <f t="array" ref="I209">SUM(IF("155"&amp;C209=KHC&amp;MH,SL))</f>
        <v>2</v>
      </c>
      <c r="J209" s="25">
        <f t="array" ref="J209">SUM(IF("155"&amp;C209=KHC&amp;MH,TH))</f>
        <v>20748</v>
      </c>
      <c r="K209" s="8">
        <f t="shared" si="25"/>
        <v>0</v>
      </c>
      <c r="L209" s="8">
        <f t="shared" si="26"/>
        <v>0</v>
      </c>
      <c r="M209" s="294"/>
    </row>
    <row r="210" spans="1:13" ht="18.75" customHeight="1">
      <c r="A210" s="294" t="str">
        <f>IF(B210&lt;&gt;"","TP","")</f>
        <v>TP</v>
      </c>
      <c r="B210" s="307">
        <f>IF(C210&lt;&gt;"",B209+1,"")</f>
        <v>59</v>
      </c>
      <c r="C210" s="40" t="s">
        <v>1389</v>
      </c>
      <c r="D210" s="306" t="s">
        <v>1428</v>
      </c>
      <c r="E210" s="8"/>
      <c r="F210" s="8"/>
      <c r="G210" s="25">
        <f t="array" ref="G210">SUM(IF("155"&amp;C210=KHN&amp;MH,SL))</f>
        <v>12</v>
      </c>
      <c r="H210" s="25">
        <f t="array" ref="H210">SUM(IF("155"&amp;C210=KHN&amp;MH,TH))</f>
        <v>147093</v>
      </c>
      <c r="I210" s="25">
        <f t="array" ref="I210">SUM(IF("155"&amp;C210=KHC&amp;MH,SL))</f>
        <v>12</v>
      </c>
      <c r="J210" s="25">
        <f t="array" ref="J210">SUM(IF("155"&amp;C210=KHC&amp;MH,TH))</f>
        <v>147093</v>
      </c>
      <c r="K210" s="8">
        <f t="shared" si="25"/>
        <v>0</v>
      </c>
      <c r="L210" s="8">
        <f t="shared" si="26"/>
        <v>0</v>
      </c>
      <c r="M210" s="294"/>
    </row>
    <row r="211" spans="1:13" ht="18.75" customHeight="1">
      <c r="A211" s="294" t="str">
        <f>IF(B211&lt;&gt;"","TP","")</f>
        <v>TP</v>
      </c>
      <c r="B211" s="307">
        <f>IF(C211&lt;&gt;"",B210+1,"")</f>
        <v>60</v>
      </c>
      <c r="C211" s="298" t="s">
        <v>1032</v>
      </c>
      <c r="D211" s="306" t="s">
        <v>1428</v>
      </c>
      <c r="E211" s="8"/>
      <c r="F211" s="8"/>
      <c r="G211" s="25">
        <f t="array" ref="G211">SUM(IF("155"&amp;C211=KHN&amp;MH,SL))</f>
        <v>1</v>
      </c>
      <c r="H211" s="25">
        <f t="array" ref="H211">SUM(IF("155"&amp;C211=KHN&amp;MH,TH))</f>
        <v>10374</v>
      </c>
      <c r="I211" s="25">
        <f t="array" ref="I211">SUM(IF("155"&amp;C211=KHC&amp;MH,SL))</f>
        <v>1</v>
      </c>
      <c r="J211" s="25">
        <f t="array" ref="J211">SUM(IF("155"&amp;C211=KHC&amp;MH,TH))</f>
        <v>10374</v>
      </c>
      <c r="K211" s="8">
        <f t="shared" si="25"/>
        <v>0</v>
      </c>
      <c r="L211" s="8">
        <f t="shared" si="26"/>
        <v>0</v>
      </c>
      <c r="M211" s="294"/>
    </row>
    <row r="212" spans="1:13" ht="18.75" customHeight="1">
      <c r="A212" s="294" t="str">
        <f>IF(B212&lt;&gt;"","TP","")</f>
        <v>TP</v>
      </c>
      <c r="B212" s="307">
        <f>IF(C212&lt;&gt;"",B211+1,"")</f>
        <v>61</v>
      </c>
      <c r="C212" s="298" t="s">
        <v>1035</v>
      </c>
      <c r="D212" s="306" t="s">
        <v>1428</v>
      </c>
      <c r="E212" s="8"/>
      <c r="F212" s="8"/>
      <c r="G212" s="25">
        <f t="array" ref="G212">SUM(IF("155"&amp;C212=KHN&amp;MH,SL))</f>
        <v>250</v>
      </c>
      <c r="H212" s="25">
        <f t="array" ref="H212">SUM(IF("155"&amp;C212=KHN&amp;MH,TH))</f>
        <v>3010475</v>
      </c>
      <c r="I212" s="25">
        <f t="array" ref="I212">SUM(IF("155"&amp;C212=KHC&amp;MH,SL))</f>
        <v>250</v>
      </c>
      <c r="J212" s="25">
        <f t="array" ref="J212">SUM(IF("155"&amp;C212=KHC&amp;MH,TH))</f>
        <v>3010475</v>
      </c>
      <c r="K212" s="8">
        <f t="shared" si="25"/>
        <v>0</v>
      </c>
      <c r="L212" s="8">
        <f t="shared" si="26"/>
        <v>0</v>
      </c>
      <c r="M212" s="294"/>
    </row>
    <row r="213" spans="1:13" ht="18.75" customHeight="1">
      <c r="A213" s="294" t="str">
        <f t="shared" ref="A213:A218" si="34">IF(B213&lt;&gt;"","TP","")</f>
        <v>TP</v>
      </c>
      <c r="B213" s="307">
        <f t="shared" ref="B213:B218" si="35">IF(C213&lt;&gt;"",B212+1,"")</f>
        <v>62</v>
      </c>
      <c r="C213" s="298" t="s">
        <v>1037</v>
      </c>
      <c r="D213" s="306" t="s">
        <v>1428</v>
      </c>
      <c r="E213" s="8"/>
      <c r="F213" s="8"/>
      <c r="G213" s="25">
        <f t="array" ref="G213">SUM(IF("155"&amp;C213=KHN&amp;MH,SL))</f>
        <v>655</v>
      </c>
      <c r="H213" s="25">
        <f t="array" ref="H213">SUM(IF("155"&amp;C213=KHN&amp;MH,TH))</f>
        <v>9070638</v>
      </c>
      <c r="I213" s="25">
        <f t="array" ref="I213">SUM(IF("155"&amp;C213=KHC&amp;MH,SL))</f>
        <v>655</v>
      </c>
      <c r="J213" s="25">
        <f t="array" ref="J213">SUM(IF("155"&amp;C213=KHC&amp;MH,TH))</f>
        <v>9070638</v>
      </c>
      <c r="K213" s="8">
        <f t="shared" si="25"/>
        <v>0</v>
      </c>
      <c r="L213" s="8">
        <f t="shared" si="26"/>
        <v>0</v>
      </c>
      <c r="M213" s="294"/>
    </row>
    <row r="214" spans="1:13" ht="18.75" customHeight="1">
      <c r="A214" s="294" t="str">
        <f t="shared" si="34"/>
        <v>TP</v>
      </c>
      <c r="B214" s="307">
        <f t="shared" si="35"/>
        <v>63</v>
      </c>
      <c r="C214" s="40" t="s">
        <v>1289</v>
      </c>
      <c r="D214" s="306" t="s">
        <v>1428</v>
      </c>
      <c r="E214" s="8"/>
      <c r="F214" s="8"/>
      <c r="G214" s="25">
        <f t="array" ref="G214">SUM(IF("155"&amp;C214=KHN&amp;MH,SL))</f>
        <v>19</v>
      </c>
      <c r="H214" s="25">
        <f t="array" ref="H214">SUM(IF("155"&amp;C214=KHN&amp;MH,TH))</f>
        <v>221912</v>
      </c>
      <c r="I214" s="25">
        <f t="array" ref="I214">SUM(IF("155"&amp;C214=KHC&amp;MH,SL))</f>
        <v>19</v>
      </c>
      <c r="J214" s="25">
        <f t="array" ref="J214">SUM(IF("155"&amp;C214=KHC&amp;MH,TH))</f>
        <v>221912</v>
      </c>
      <c r="K214" s="8">
        <f t="shared" si="25"/>
        <v>0</v>
      </c>
      <c r="L214" s="8">
        <f t="shared" si="26"/>
        <v>0</v>
      </c>
      <c r="M214" s="294"/>
    </row>
    <row r="215" spans="1:13" ht="18.75" customHeight="1">
      <c r="A215" s="294" t="str">
        <f t="shared" si="34"/>
        <v>TP</v>
      </c>
      <c r="B215" s="307">
        <f t="shared" si="35"/>
        <v>64</v>
      </c>
      <c r="C215" s="192" t="s">
        <v>1260</v>
      </c>
      <c r="D215" s="306" t="s">
        <v>1428</v>
      </c>
      <c r="E215" s="8"/>
      <c r="F215" s="8"/>
      <c r="G215" s="25">
        <f t="array" ref="G215">SUM(IF("155"&amp;C215=KHN&amp;MH,SL))</f>
        <v>462</v>
      </c>
      <c r="H215" s="25">
        <f t="array" ref="H215">SUM(IF("155"&amp;C215=KHN&amp;MH,TH))</f>
        <v>4954096</v>
      </c>
      <c r="I215" s="25">
        <f t="array" ref="I215">SUM(IF("155"&amp;C215=KHC&amp;MH,SL))</f>
        <v>462</v>
      </c>
      <c r="J215" s="25">
        <f t="array" ref="J215">SUM(IF("155"&amp;C215=KHC&amp;MH,TH))</f>
        <v>4954096</v>
      </c>
      <c r="K215" s="8">
        <f t="shared" si="25"/>
        <v>0</v>
      </c>
      <c r="L215" s="8">
        <f t="shared" si="26"/>
        <v>0</v>
      </c>
      <c r="M215" s="294"/>
    </row>
    <row r="216" spans="1:13" ht="18.75" customHeight="1">
      <c r="A216" s="294" t="str">
        <f t="shared" si="34"/>
        <v>TP</v>
      </c>
      <c r="B216" s="307">
        <f t="shared" si="35"/>
        <v>65</v>
      </c>
      <c r="C216" s="40" t="s">
        <v>1311</v>
      </c>
      <c r="D216" s="306" t="s">
        <v>1428</v>
      </c>
      <c r="E216" s="8"/>
      <c r="F216" s="8"/>
      <c r="G216" s="25">
        <f t="array" ref="G216">SUM(IF("155"&amp;C216=KHN&amp;MH,SL))</f>
        <v>2</v>
      </c>
      <c r="H216" s="25">
        <f t="array" ref="H216">SUM(IF("155"&amp;C216=KHN&amp;MH,TH))</f>
        <v>16550</v>
      </c>
      <c r="I216" s="25">
        <f t="array" ref="I216">SUM(IF("155"&amp;C216=KHC&amp;MH,SL))</f>
        <v>2</v>
      </c>
      <c r="J216" s="25">
        <f t="array" ref="J216">SUM(IF("155"&amp;C216=KHC&amp;MH,TH))</f>
        <v>16550</v>
      </c>
      <c r="K216" s="8">
        <f t="shared" ref="K216:K279" si="36">E216+G216-I216</f>
        <v>0</v>
      </c>
      <c r="L216" s="8">
        <f t="shared" ref="L216:L279" si="37">F216+H216-J216</f>
        <v>0</v>
      </c>
      <c r="M216" s="294"/>
    </row>
    <row r="217" spans="1:13" ht="19.5" customHeight="1">
      <c r="A217" s="294" t="str">
        <f t="shared" si="34"/>
        <v>TP</v>
      </c>
      <c r="B217" s="307">
        <f t="shared" si="35"/>
        <v>66</v>
      </c>
      <c r="C217" s="298" t="s">
        <v>744</v>
      </c>
      <c r="D217" s="306" t="s">
        <v>1428</v>
      </c>
      <c r="E217" s="8"/>
      <c r="F217" s="8"/>
      <c r="G217" s="25">
        <f t="array" ref="G217">SUM(IF("155"&amp;C217=KHN&amp;MH,SL))</f>
        <v>134</v>
      </c>
      <c r="H217" s="25">
        <f t="array" ref="H217">SUM(IF("155"&amp;C217=KHN&amp;MH,TH))</f>
        <v>1800851</v>
      </c>
      <c r="I217" s="25">
        <f t="array" ref="I217">SUM(IF("155"&amp;C217=KHC&amp;MH,SL))</f>
        <v>134</v>
      </c>
      <c r="J217" s="25">
        <f t="array" ref="J217">SUM(IF("155"&amp;C217=KHC&amp;MH,TH))</f>
        <v>1800851</v>
      </c>
      <c r="K217" s="8">
        <f t="shared" si="36"/>
        <v>0</v>
      </c>
      <c r="L217" s="8">
        <f t="shared" si="37"/>
        <v>0</v>
      </c>
      <c r="M217" s="294"/>
    </row>
    <row r="218" spans="1:13" ht="19.5" customHeight="1">
      <c r="A218" s="294" t="str">
        <f t="shared" si="34"/>
        <v>TP</v>
      </c>
      <c r="B218" s="307">
        <f t="shared" si="35"/>
        <v>67</v>
      </c>
      <c r="C218" s="40" t="s">
        <v>1354</v>
      </c>
      <c r="D218" s="306" t="s">
        <v>1428</v>
      </c>
      <c r="E218" s="8"/>
      <c r="F218" s="8"/>
      <c r="G218" s="25">
        <f t="array" ref="G218">SUM(IF("155"&amp;C218=KHN&amp;MH,SL))</f>
        <v>147</v>
      </c>
      <c r="H218" s="25">
        <f t="array" ref="H218">SUM(IF("155"&amp;C218=KHN&amp;MH,TH))</f>
        <v>2168765</v>
      </c>
      <c r="I218" s="25">
        <f t="array" ref="I218">SUM(IF("155"&amp;C218=KHC&amp;MH,SL))</f>
        <v>147</v>
      </c>
      <c r="J218" s="25">
        <f t="array" ref="J218">SUM(IF("155"&amp;C218=KHC&amp;MH,TH))</f>
        <v>2168765</v>
      </c>
      <c r="K218" s="8">
        <f t="shared" si="36"/>
        <v>0</v>
      </c>
      <c r="L218" s="8">
        <f t="shared" si="37"/>
        <v>0</v>
      </c>
      <c r="M218" s="294"/>
    </row>
    <row r="219" spans="1:13" ht="19.5" customHeight="1">
      <c r="A219" s="294" t="str">
        <f t="shared" ref="A219:A227" si="38">IF(B219&lt;&gt;"","TP","")</f>
        <v>TP</v>
      </c>
      <c r="B219" s="307">
        <f t="shared" ref="B219:B227" si="39">IF(C219&lt;&gt;"",B218+1,"")</f>
        <v>68</v>
      </c>
      <c r="C219" s="40" t="s">
        <v>1398</v>
      </c>
      <c r="D219" s="306" t="s">
        <v>1428</v>
      </c>
      <c r="E219" s="8"/>
      <c r="F219" s="8"/>
      <c r="G219" s="25">
        <f t="array" ref="G219">SUM(IF("155"&amp;C219=KHN&amp;MH,SL))</f>
        <v>1</v>
      </c>
      <c r="H219" s="25">
        <f t="array" ref="H219">SUM(IF("155"&amp;C219=KHN&amp;MH,TH))</f>
        <v>16742</v>
      </c>
      <c r="I219" s="25">
        <f t="array" ref="I219">SUM(IF("155"&amp;C219=KHC&amp;MH,SL))</f>
        <v>1</v>
      </c>
      <c r="J219" s="25">
        <f t="array" ref="J219">SUM(IF("155"&amp;C219=KHC&amp;MH,TH))</f>
        <v>16742</v>
      </c>
      <c r="K219" s="8">
        <f t="shared" si="36"/>
        <v>0</v>
      </c>
      <c r="L219" s="8">
        <f t="shared" si="37"/>
        <v>0</v>
      </c>
      <c r="M219" s="294"/>
    </row>
    <row r="220" spans="1:13" ht="19.5" customHeight="1">
      <c r="A220" s="294" t="str">
        <f t="shared" si="38"/>
        <v>TP</v>
      </c>
      <c r="B220" s="307">
        <f t="shared" si="39"/>
        <v>69</v>
      </c>
      <c r="C220" s="40" t="s">
        <v>1334</v>
      </c>
      <c r="D220" s="306" t="s">
        <v>1428</v>
      </c>
      <c r="E220" s="8"/>
      <c r="F220" s="8"/>
      <c r="G220" s="25">
        <f t="array" ref="G220">SUM(IF("155"&amp;C220=KHN&amp;MH,SL))</f>
        <v>251</v>
      </c>
      <c r="H220" s="25">
        <f t="array" ref="H220">SUM(IF("155"&amp;C220=KHN&amp;MH,TH))</f>
        <v>4408950</v>
      </c>
      <c r="I220" s="25">
        <f t="array" ref="I220">SUM(IF("155"&amp;C220=KHC&amp;MH,SL))</f>
        <v>251</v>
      </c>
      <c r="J220" s="25">
        <f t="array" ref="J220">SUM(IF("155"&amp;C220=KHC&amp;MH,TH))</f>
        <v>4408950</v>
      </c>
      <c r="K220" s="8">
        <f t="shared" si="36"/>
        <v>0</v>
      </c>
      <c r="L220" s="8">
        <f t="shared" si="37"/>
        <v>0</v>
      </c>
      <c r="M220" s="294"/>
    </row>
    <row r="221" spans="1:13" ht="19.5" customHeight="1">
      <c r="A221" s="294" t="str">
        <f t="shared" si="38"/>
        <v>TP</v>
      </c>
      <c r="B221" s="307">
        <f t="shared" si="39"/>
        <v>70</v>
      </c>
      <c r="C221" s="40" t="s">
        <v>1335</v>
      </c>
      <c r="D221" s="306" t="s">
        <v>1428</v>
      </c>
      <c r="E221" s="8"/>
      <c r="F221" s="8"/>
      <c r="G221" s="25">
        <f t="array" ref="G221">SUM(IF("155"&amp;C221=KHN&amp;MH,SL))</f>
        <v>211</v>
      </c>
      <c r="H221" s="25">
        <f t="array" ref="H221">SUM(IF("155"&amp;C221=KHN&amp;MH,TH))</f>
        <v>3706870</v>
      </c>
      <c r="I221" s="25">
        <f t="array" ref="I221">SUM(IF("155"&amp;C221=KHC&amp;MH,SL))</f>
        <v>211</v>
      </c>
      <c r="J221" s="25">
        <f t="array" ref="J221">SUM(IF("155"&amp;C221=KHC&amp;MH,TH))</f>
        <v>3706870</v>
      </c>
      <c r="K221" s="8">
        <f t="shared" si="36"/>
        <v>0</v>
      </c>
      <c r="L221" s="8">
        <f t="shared" si="37"/>
        <v>0</v>
      </c>
      <c r="M221" s="294"/>
    </row>
    <row r="222" spans="1:13" ht="19.5" customHeight="1">
      <c r="A222" s="294" t="str">
        <f t="shared" si="38"/>
        <v>TP</v>
      </c>
      <c r="B222" s="307">
        <f t="shared" si="39"/>
        <v>71</v>
      </c>
      <c r="C222" s="40" t="s">
        <v>1402</v>
      </c>
      <c r="D222" s="306" t="s">
        <v>1428</v>
      </c>
      <c r="E222" s="8"/>
      <c r="F222" s="8"/>
      <c r="G222" s="25">
        <f t="array" ref="G222">SUM(IF("155"&amp;C222=KHN&amp;MH,SL))</f>
        <v>12</v>
      </c>
      <c r="H222" s="25">
        <f t="array" ref="H222">SUM(IF("155"&amp;C222=KHN&amp;MH,TH))</f>
        <v>212850</v>
      </c>
      <c r="I222" s="25">
        <f t="array" ref="I222">SUM(IF("155"&amp;C222=KHC&amp;MH,SL))</f>
        <v>12</v>
      </c>
      <c r="J222" s="25">
        <f t="array" ref="J222">SUM(IF("155"&amp;C222=KHC&amp;MH,TH))</f>
        <v>212850</v>
      </c>
      <c r="K222" s="8">
        <f t="shared" si="36"/>
        <v>0</v>
      </c>
      <c r="L222" s="8">
        <f t="shared" si="37"/>
        <v>0</v>
      </c>
      <c r="M222" s="294"/>
    </row>
    <row r="223" spans="1:13" ht="19.5" customHeight="1">
      <c r="A223" s="294" t="str">
        <f t="shared" si="38"/>
        <v>TP</v>
      </c>
      <c r="B223" s="307">
        <f t="shared" si="39"/>
        <v>72</v>
      </c>
      <c r="C223" s="40" t="s">
        <v>1394</v>
      </c>
      <c r="D223" s="306" t="s">
        <v>1428</v>
      </c>
      <c r="E223" s="8"/>
      <c r="F223" s="8"/>
      <c r="G223" s="25">
        <f t="array" ref="G223">SUM(IF("155"&amp;C223=KHN&amp;MH,SL))</f>
        <v>3</v>
      </c>
      <c r="H223" s="25">
        <f t="array" ref="H223">SUM(IF("155"&amp;C223=KHN&amp;MH,TH))</f>
        <v>29756</v>
      </c>
      <c r="I223" s="25">
        <f t="array" ref="I223">SUM(IF("155"&amp;C223=KHC&amp;MH,SL))</f>
        <v>3</v>
      </c>
      <c r="J223" s="25">
        <f t="array" ref="J223">SUM(IF("155"&amp;C223=KHC&amp;MH,TH))</f>
        <v>29756</v>
      </c>
      <c r="K223" s="8">
        <f t="shared" si="36"/>
        <v>0</v>
      </c>
      <c r="L223" s="8">
        <f t="shared" si="37"/>
        <v>0</v>
      </c>
      <c r="M223" s="294"/>
    </row>
    <row r="224" spans="1:13" ht="19.5" customHeight="1">
      <c r="A224" s="294" t="str">
        <f t="shared" si="38"/>
        <v>TP</v>
      </c>
      <c r="B224" s="307">
        <f t="shared" si="39"/>
        <v>73</v>
      </c>
      <c r="C224" s="298" t="s">
        <v>754</v>
      </c>
      <c r="D224" s="306" t="s">
        <v>1428</v>
      </c>
      <c r="E224" s="8"/>
      <c r="F224" s="8"/>
      <c r="G224" s="25">
        <f t="array" ref="G224">SUM(IF("155"&amp;C224=KHN&amp;MH,SL))</f>
        <v>3</v>
      </c>
      <c r="H224" s="25">
        <f t="array" ref="H224">SUM(IF("155"&amp;C224=KHN&amp;MH,TH))</f>
        <v>30339</v>
      </c>
      <c r="I224" s="25">
        <f t="array" ref="I224">SUM(IF("155"&amp;C224=KHC&amp;MH,SL))</f>
        <v>3</v>
      </c>
      <c r="J224" s="25">
        <f t="array" ref="J224">SUM(IF("155"&amp;C224=KHC&amp;MH,TH))</f>
        <v>30339</v>
      </c>
      <c r="K224" s="8">
        <f t="shared" si="36"/>
        <v>0</v>
      </c>
      <c r="L224" s="8">
        <f t="shared" si="37"/>
        <v>0</v>
      </c>
      <c r="M224" s="294"/>
    </row>
    <row r="225" spans="1:13" ht="19.5" customHeight="1">
      <c r="A225" s="294" t="str">
        <f t="shared" si="38"/>
        <v>TP</v>
      </c>
      <c r="B225" s="307">
        <f t="shared" si="39"/>
        <v>74</v>
      </c>
      <c r="C225" s="298" t="s">
        <v>922</v>
      </c>
      <c r="D225" s="306" t="s">
        <v>1428</v>
      </c>
      <c r="E225" s="8"/>
      <c r="F225" s="8"/>
      <c r="G225" s="25">
        <f t="array" ref="G225">SUM(IF("155"&amp;C225=KHN&amp;MH,SL))</f>
        <v>508</v>
      </c>
      <c r="H225" s="25">
        <f t="array" ref="H225">SUM(IF("155"&amp;C225=KHN&amp;MH,TH))</f>
        <v>3758385</v>
      </c>
      <c r="I225" s="25">
        <f t="array" ref="I225">SUM(IF("155"&amp;C225=KHC&amp;MH,SL))</f>
        <v>508</v>
      </c>
      <c r="J225" s="25">
        <f t="array" ref="J225">SUM(IF("155"&amp;C225=KHC&amp;MH,TH))</f>
        <v>3758385</v>
      </c>
      <c r="K225" s="8">
        <f t="shared" si="36"/>
        <v>0</v>
      </c>
      <c r="L225" s="8">
        <f t="shared" si="37"/>
        <v>0</v>
      </c>
      <c r="M225" s="294"/>
    </row>
    <row r="226" spans="1:13" ht="19.5" customHeight="1">
      <c r="A226" s="294" t="str">
        <f t="shared" si="38"/>
        <v>TP</v>
      </c>
      <c r="B226" s="307">
        <f t="shared" si="39"/>
        <v>75</v>
      </c>
      <c r="C226" s="298" t="s">
        <v>905</v>
      </c>
      <c r="D226" s="306" t="s">
        <v>1428</v>
      </c>
      <c r="E226" s="8"/>
      <c r="F226" s="8"/>
      <c r="G226" s="25">
        <f t="array" ref="G226">SUM(IF("155"&amp;C226=KHN&amp;MH,SL))</f>
        <v>40</v>
      </c>
      <c r="H226" s="25">
        <f t="array" ref="H226">SUM(IF("155"&amp;C226=KHN&amp;MH,TH))</f>
        <v>583581</v>
      </c>
      <c r="I226" s="25">
        <f t="array" ref="I226">SUM(IF("155"&amp;C226=KHC&amp;MH,SL))</f>
        <v>40</v>
      </c>
      <c r="J226" s="25">
        <f t="array" ref="J226">SUM(IF("155"&amp;C226=KHC&amp;MH,TH))</f>
        <v>583581</v>
      </c>
      <c r="K226" s="8">
        <f t="shared" si="36"/>
        <v>0</v>
      </c>
      <c r="L226" s="8">
        <f t="shared" si="37"/>
        <v>0</v>
      </c>
      <c r="M226" s="294"/>
    </row>
    <row r="227" spans="1:13" ht="19.5" customHeight="1">
      <c r="A227" s="294" t="str">
        <f t="shared" si="38"/>
        <v>TP</v>
      </c>
      <c r="B227" s="307">
        <f t="shared" si="39"/>
        <v>76</v>
      </c>
      <c r="C227" s="40" t="s">
        <v>1396</v>
      </c>
      <c r="D227" s="306" t="s">
        <v>1428</v>
      </c>
      <c r="E227" s="8"/>
      <c r="F227" s="8"/>
      <c r="G227" s="25">
        <f t="array" ref="G227">SUM(IF("155"&amp;C227=KHN&amp;MH,SL))</f>
        <v>1</v>
      </c>
      <c r="H227" s="25">
        <f t="array" ref="H227">SUM(IF("155"&amp;C227=KHN&amp;MH,TH))</f>
        <v>14754</v>
      </c>
      <c r="I227" s="25">
        <f t="array" ref="I227">SUM(IF("155"&amp;C227=KHC&amp;MH,SL))</f>
        <v>1</v>
      </c>
      <c r="J227" s="25">
        <f t="array" ref="J227">SUM(IF("155"&amp;C227=KHC&amp;MH,TH))</f>
        <v>14754</v>
      </c>
      <c r="K227" s="8">
        <f t="shared" si="36"/>
        <v>0</v>
      </c>
      <c r="L227" s="8">
        <f t="shared" si="37"/>
        <v>0</v>
      </c>
      <c r="M227" s="294"/>
    </row>
    <row r="228" spans="1:13" ht="19.5" customHeight="1">
      <c r="A228" s="294" t="str">
        <f t="shared" ref="A228:A239" si="40">IF(B228&lt;&gt;"","TP","")</f>
        <v>TP</v>
      </c>
      <c r="B228" s="307">
        <f t="shared" ref="B228:B239" si="41">IF(C228&lt;&gt;"",B227+1,"")</f>
        <v>77</v>
      </c>
      <c r="C228" s="298" t="s">
        <v>755</v>
      </c>
      <c r="D228" s="306" t="s">
        <v>1428</v>
      </c>
      <c r="E228" s="8"/>
      <c r="F228" s="8"/>
      <c r="G228" s="25">
        <f t="array" ref="G228">SUM(IF("155"&amp;C228=KHN&amp;MH,SL))</f>
        <v>316</v>
      </c>
      <c r="H228" s="25">
        <f t="array" ref="H228">SUM(IF("155"&amp;C228=KHN&amp;MH,TH))</f>
        <v>2980586</v>
      </c>
      <c r="I228" s="25">
        <f t="array" ref="I228">SUM(IF("155"&amp;C228=KHC&amp;MH,SL))</f>
        <v>316</v>
      </c>
      <c r="J228" s="25">
        <f t="array" ref="J228">SUM(IF("155"&amp;C228=KHC&amp;MH,TH))</f>
        <v>2980586</v>
      </c>
      <c r="K228" s="8">
        <f t="shared" si="36"/>
        <v>0</v>
      </c>
      <c r="L228" s="8">
        <f t="shared" si="37"/>
        <v>0</v>
      </c>
      <c r="M228" s="294"/>
    </row>
    <row r="229" spans="1:13" ht="19.5" customHeight="1">
      <c r="A229" s="294" t="str">
        <f t="shared" si="40"/>
        <v>TP</v>
      </c>
      <c r="B229" s="307">
        <f t="shared" si="41"/>
        <v>78</v>
      </c>
      <c r="C229" s="40" t="s">
        <v>1387</v>
      </c>
      <c r="D229" s="306" t="s">
        <v>1428</v>
      </c>
      <c r="E229" s="8"/>
      <c r="F229" s="8"/>
      <c r="G229" s="25">
        <f t="array" ref="G229">SUM(IF("155"&amp;C229=KHN&amp;MH,SL))</f>
        <v>77</v>
      </c>
      <c r="H229" s="25">
        <f t="array" ref="H229">SUM(IF("155"&amp;C229=KHN&amp;MH,TH))</f>
        <v>1138008</v>
      </c>
      <c r="I229" s="25">
        <f t="array" ref="I229">SUM(IF("155"&amp;C229=KHC&amp;MH,SL))</f>
        <v>77</v>
      </c>
      <c r="J229" s="25">
        <f t="array" ref="J229">SUM(IF("155"&amp;C229=KHC&amp;MH,TH))</f>
        <v>1138008</v>
      </c>
      <c r="K229" s="8">
        <f t="shared" si="36"/>
        <v>0</v>
      </c>
      <c r="L229" s="8">
        <f t="shared" si="37"/>
        <v>0</v>
      </c>
      <c r="M229" s="294"/>
    </row>
    <row r="230" spans="1:13" ht="19.5" customHeight="1">
      <c r="A230" s="294" t="str">
        <f t="shared" si="40"/>
        <v>TP</v>
      </c>
      <c r="B230" s="307">
        <f t="shared" si="41"/>
        <v>79</v>
      </c>
      <c r="C230" s="298" t="s">
        <v>1012</v>
      </c>
      <c r="D230" s="306" t="s">
        <v>1428</v>
      </c>
      <c r="E230" s="8"/>
      <c r="F230" s="8"/>
      <c r="G230" s="25">
        <f t="array" ref="G230">SUM(IF("155"&amp;C230=KHN&amp;MH,SL))</f>
        <v>108</v>
      </c>
      <c r="H230" s="25">
        <f t="array" ref="H230">SUM(IF("155"&amp;C230=KHN&amp;MH,TH))</f>
        <v>1575199</v>
      </c>
      <c r="I230" s="25">
        <f t="array" ref="I230">SUM(IF("155"&amp;C230=KHC&amp;MH,SL))</f>
        <v>108</v>
      </c>
      <c r="J230" s="25">
        <f t="array" ref="J230">SUM(IF("155"&amp;C230=KHC&amp;MH,TH))</f>
        <v>1575199</v>
      </c>
      <c r="K230" s="8">
        <f t="shared" si="36"/>
        <v>0</v>
      </c>
      <c r="L230" s="8">
        <f t="shared" si="37"/>
        <v>0</v>
      </c>
      <c r="M230" s="294"/>
    </row>
    <row r="231" spans="1:13" ht="19.5" customHeight="1">
      <c r="A231" s="294" t="str">
        <f t="shared" si="40"/>
        <v>TP</v>
      </c>
      <c r="B231" s="307">
        <f t="shared" si="41"/>
        <v>80</v>
      </c>
      <c r="C231" s="298" t="s">
        <v>749</v>
      </c>
      <c r="D231" s="306" t="s">
        <v>1428</v>
      </c>
      <c r="E231" s="8"/>
      <c r="F231" s="8"/>
      <c r="G231" s="25">
        <f t="array" ref="G231">SUM(IF("155"&amp;C231=KHN&amp;MH,SL))</f>
        <v>187</v>
      </c>
      <c r="H231" s="25">
        <f t="array" ref="H231">SUM(IF("155"&amp;C231=KHN&amp;MH,TH))</f>
        <v>1927019</v>
      </c>
      <c r="I231" s="25">
        <f t="array" ref="I231">SUM(IF("155"&amp;C231=KHC&amp;MH,SL))</f>
        <v>187</v>
      </c>
      <c r="J231" s="25">
        <f t="array" ref="J231">SUM(IF("155"&amp;C231=KHC&amp;MH,TH))</f>
        <v>1927019</v>
      </c>
      <c r="K231" s="8">
        <f t="shared" si="36"/>
        <v>0</v>
      </c>
      <c r="L231" s="8">
        <f t="shared" si="37"/>
        <v>0</v>
      </c>
      <c r="M231" s="294"/>
    </row>
    <row r="232" spans="1:13" ht="19.5" customHeight="1">
      <c r="A232" s="294" t="str">
        <f t="shared" si="40"/>
        <v>TP</v>
      </c>
      <c r="B232" s="307">
        <f t="shared" si="41"/>
        <v>81</v>
      </c>
      <c r="C232" s="298" t="s">
        <v>1010</v>
      </c>
      <c r="D232" s="306" t="s">
        <v>1428</v>
      </c>
      <c r="E232" s="8"/>
      <c r="F232" s="8"/>
      <c r="G232" s="25">
        <f t="array" ref="G232">SUM(IF("155"&amp;C232=KHN&amp;MH,SL))</f>
        <v>103</v>
      </c>
      <c r="H232" s="25">
        <f t="array" ref="H232">SUM(IF("155"&amp;C232=KHN&amp;MH,TH))</f>
        <v>1087992</v>
      </c>
      <c r="I232" s="25">
        <f t="array" ref="I232">SUM(IF("155"&amp;C232=KHC&amp;MH,SL))</f>
        <v>103</v>
      </c>
      <c r="J232" s="25">
        <f t="array" ref="J232">SUM(IF("155"&amp;C232=KHC&amp;MH,TH))</f>
        <v>1087992</v>
      </c>
      <c r="K232" s="8">
        <f t="shared" si="36"/>
        <v>0</v>
      </c>
      <c r="L232" s="8">
        <f t="shared" si="37"/>
        <v>0</v>
      </c>
      <c r="M232" s="294"/>
    </row>
    <row r="233" spans="1:13" ht="19.5" customHeight="1">
      <c r="A233" s="294" t="str">
        <f t="shared" si="40"/>
        <v>TP</v>
      </c>
      <c r="B233" s="307">
        <f t="shared" si="41"/>
        <v>82</v>
      </c>
      <c r="C233" s="40" t="s">
        <v>1391</v>
      </c>
      <c r="D233" s="306" t="s">
        <v>1428</v>
      </c>
      <c r="E233" s="8"/>
      <c r="F233" s="8"/>
      <c r="G233" s="25">
        <f t="array" ref="G233">SUM(IF("155"&amp;C233=KHN&amp;MH,SL))</f>
        <v>9</v>
      </c>
      <c r="H233" s="25">
        <f t="array" ref="H233">SUM(IF("155"&amp;C233=KHN&amp;MH,TH))</f>
        <v>150672</v>
      </c>
      <c r="I233" s="25">
        <f t="array" ref="I233">SUM(IF("155"&amp;C233=KHC&amp;MH,SL))</f>
        <v>9</v>
      </c>
      <c r="J233" s="25">
        <f t="array" ref="J233">SUM(IF("155"&amp;C233=KHC&amp;MH,TH))</f>
        <v>150672</v>
      </c>
      <c r="K233" s="8">
        <f t="shared" si="36"/>
        <v>0</v>
      </c>
      <c r="L233" s="8">
        <f t="shared" si="37"/>
        <v>0</v>
      </c>
      <c r="M233" s="294"/>
    </row>
    <row r="234" spans="1:13" ht="19.5" customHeight="1">
      <c r="A234" s="294" t="str">
        <f t="shared" si="40"/>
        <v>TP</v>
      </c>
      <c r="B234" s="307">
        <f t="shared" si="41"/>
        <v>83</v>
      </c>
      <c r="C234" s="40" t="s">
        <v>1291</v>
      </c>
      <c r="D234" s="306" t="s">
        <v>1428</v>
      </c>
      <c r="E234" s="8"/>
      <c r="F234" s="8"/>
      <c r="G234" s="25">
        <f t="array" ref="G234">SUM(IF("155"&amp;C234=KHN&amp;MH,SL))</f>
        <v>6</v>
      </c>
      <c r="H234" s="25">
        <f t="array" ref="H234">SUM(IF("155"&amp;C234=KHN&amp;MH,TH))</f>
        <v>92420</v>
      </c>
      <c r="I234" s="25">
        <f t="array" ref="I234">SUM(IF("155"&amp;C234=KHC&amp;MH,SL))</f>
        <v>6</v>
      </c>
      <c r="J234" s="25">
        <f t="array" ref="J234">SUM(IF("155"&amp;C234=KHC&amp;MH,TH))</f>
        <v>92420</v>
      </c>
      <c r="K234" s="8">
        <f t="shared" si="36"/>
        <v>0</v>
      </c>
      <c r="L234" s="8">
        <f t="shared" si="37"/>
        <v>0</v>
      </c>
      <c r="M234" s="294"/>
    </row>
    <row r="235" spans="1:13" ht="19.5" customHeight="1">
      <c r="A235" s="294" t="str">
        <f t="shared" si="40"/>
        <v>TP</v>
      </c>
      <c r="B235" s="307">
        <f t="shared" si="41"/>
        <v>84</v>
      </c>
      <c r="C235" s="298" t="s">
        <v>926</v>
      </c>
      <c r="D235" s="306" t="s">
        <v>1428</v>
      </c>
      <c r="E235" s="8"/>
      <c r="F235" s="8"/>
      <c r="G235" s="25">
        <f t="array" ref="G235">SUM(IF("155"&amp;C235=KHN&amp;MH,SL))</f>
        <v>1112</v>
      </c>
      <c r="H235" s="25">
        <f t="array" ref="H235">SUM(IF("155"&amp;C235=KHN&amp;MH,TH))</f>
        <v>8935319</v>
      </c>
      <c r="I235" s="25">
        <f t="array" ref="I235">SUM(IF("155"&amp;C235=KHC&amp;MH,SL))</f>
        <v>1112</v>
      </c>
      <c r="J235" s="25">
        <f t="array" ref="J235">SUM(IF("155"&amp;C235=KHC&amp;MH,TH))</f>
        <v>8935319</v>
      </c>
      <c r="K235" s="8">
        <f t="shared" si="36"/>
        <v>0</v>
      </c>
      <c r="L235" s="8">
        <f t="shared" si="37"/>
        <v>0</v>
      </c>
      <c r="M235" s="294"/>
    </row>
    <row r="236" spans="1:13" ht="19.5" customHeight="1">
      <c r="A236" s="294" t="str">
        <f t="shared" si="40"/>
        <v>TP</v>
      </c>
      <c r="B236" s="307">
        <f t="shared" si="41"/>
        <v>85</v>
      </c>
      <c r="C236" s="298" t="s">
        <v>928</v>
      </c>
      <c r="D236" s="306" t="s">
        <v>1428</v>
      </c>
      <c r="E236" s="8"/>
      <c r="F236" s="8"/>
      <c r="G236" s="25">
        <f t="array" ref="G236">SUM(IF("155"&amp;C236=KHN&amp;MH,SL))</f>
        <v>2</v>
      </c>
      <c r="H236" s="25">
        <f t="array" ref="H236">SUM(IF("155"&amp;C236=KHN&amp;MH,TH))</f>
        <v>19181</v>
      </c>
      <c r="I236" s="25">
        <f t="array" ref="I236">SUM(IF("155"&amp;C236=KHC&amp;MH,SL))</f>
        <v>2</v>
      </c>
      <c r="J236" s="25">
        <f t="array" ref="J236">SUM(IF("155"&amp;C236=KHC&amp;MH,TH))</f>
        <v>19181</v>
      </c>
      <c r="K236" s="8">
        <f t="shared" si="36"/>
        <v>0</v>
      </c>
      <c r="L236" s="8">
        <f t="shared" si="37"/>
        <v>0</v>
      </c>
      <c r="M236" s="294"/>
    </row>
    <row r="237" spans="1:13" ht="19.5" customHeight="1">
      <c r="A237" s="294" t="str">
        <f t="shared" si="40"/>
        <v>TP</v>
      </c>
      <c r="B237" s="307">
        <f t="shared" si="41"/>
        <v>86</v>
      </c>
      <c r="C237" s="298" t="s">
        <v>746</v>
      </c>
      <c r="D237" s="306" t="s">
        <v>1428</v>
      </c>
      <c r="E237" s="8"/>
      <c r="F237" s="8"/>
      <c r="G237" s="25">
        <f t="array" ref="G237">SUM(IF("155"&amp;C237=KHN&amp;MH,SL))</f>
        <v>2656</v>
      </c>
      <c r="H237" s="25">
        <f t="array" ref="H237">SUM(IF("155"&amp;C237=KHN&amp;MH,TH))</f>
        <v>22960320</v>
      </c>
      <c r="I237" s="25">
        <f t="array" ref="I237">SUM(IF("155"&amp;C237=KHC&amp;MH,SL))</f>
        <v>2656</v>
      </c>
      <c r="J237" s="25">
        <f t="array" ref="J237">SUM(IF("155"&amp;C237=KHC&amp;MH,TH))</f>
        <v>22960320</v>
      </c>
      <c r="K237" s="8">
        <f t="shared" si="36"/>
        <v>0</v>
      </c>
      <c r="L237" s="8">
        <f t="shared" si="37"/>
        <v>0</v>
      </c>
      <c r="M237" s="294"/>
    </row>
    <row r="238" spans="1:13" ht="19.5" customHeight="1">
      <c r="A238" s="294" t="str">
        <f t="shared" si="40"/>
        <v>TP</v>
      </c>
      <c r="B238" s="307">
        <f t="shared" si="41"/>
        <v>87</v>
      </c>
      <c r="C238" s="40" t="s">
        <v>1355</v>
      </c>
      <c r="D238" s="306" t="s">
        <v>1428</v>
      </c>
      <c r="E238" s="8"/>
      <c r="F238" s="8"/>
      <c r="G238" s="25">
        <f t="array" ref="G238">SUM(IF("155"&amp;C238=KHN&amp;MH,SL))</f>
        <v>52</v>
      </c>
      <c r="H238" s="25">
        <f t="array" ref="H238">SUM(IF("155"&amp;C238=KHN&amp;MH,TH))</f>
        <v>767181</v>
      </c>
      <c r="I238" s="25">
        <f t="array" ref="I238">SUM(IF("155"&amp;C238=KHC&amp;MH,SL))</f>
        <v>52</v>
      </c>
      <c r="J238" s="25">
        <f t="array" ref="J238">SUM(IF("155"&amp;C238=KHC&amp;MH,TH))</f>
        <v>767181</v>
      </c>
      <c r="K238" s="8">
        <f t="shared" si="36"/>
        <v>0</v>
      </c>
      <c r="L238" s="8">
        <f t="shared" si="37"/>
        <v>0</v>
      </c>
      <c r="M238" s="294"/>
    </row>
    <row r="239" spans="1:13" ht="19.5" customHeight="1">
      <c r="A239" s="294" t="str">
        <f t="shared" si="40"/>
        <v>TP</v>
      </c>
      <c r="B239" s="307">
        <f t="shared" si="41"/>
        <v>88</v>
      </c>
      <c r="C239" s="192" t="s">
        <v>1266</v>
      </c>
      <c r="D239" s="306" t="s">
        <v>1428</v>
      </c>
      <c r="E239" s="8"/>
      <c r="F239" s="8"/>
      <c r="G239" s="25">
        <f t="array" ref="G239">SUM(IF("155"&amp;C239=KHN&amp;MH,SL))</f>
        <v>233</v>
      </c>
      <c r="H239" s="25">
        <f t="array" ref="H239">SUM(IF("155"&amp;C239=KHN&amp;MH,TH))</f>
        <v>2498211</v>
      </c>
      <c r="I239" s="25">
        <f t="array" ref="I239">SUM(IF("155"&amp;C239=KHC&amp;MH,SL))</f>
        <v>233</v>
      </c>
      <c r="J239" s="25">
        <f t="array" ref="J239">SUM(IF("155"&amp;C239=KHC&amp;MH,TH))</f>
        <v>2498211</v>
      </c>
      <c r="K239" s="8">
        <f t="shared" si="36"/>
        <v>0</v>
      </c>
      <c r="L239" s="8">
        <f t="shared" si="37"/>
        <v>0</v>
      </c>
      <c r="M239" s="294"/>
    </row>
    <row r="240" spans="1:13" ht="19.5" customHeight="1">
      <c r="A240" s="294" t="str">
        <f t="shared" ref="A240:A256" si="42">IF(B240&lt;&gt;"","TP","")</f>
        <v>TP</v>
      </c>
      <c r="B240" s="307">
        <f t="shared" ref="B240:B256" si="43">IF(C240&lt;&gt;"",B239+1,"")</f>
        <v>89</v>
      </c>
      <c r="C240" s="40" t="s">
        <v>1302</v>
      </c>
      <c r="D240" s="306" t="s">
        <v>1428</v>
      </c>
      <c r="E240" s="8"/>
      <c r="F240" s="8"/>
      <c r="G240" s="25">
        <f t="array" ref="G240">SUM(IF("155"&amp;C240=KHN&amp;MH,SL))</f>
        <v>61</v>
      </c>
      <c r="H240" s="25">
        <f t="array" ref="H240">SUM(IF("155"&amp;C240=KHN&amp;MH,TH))</f>
        <v>582519</v>
      </c>
      <c r="I240" s="25">
        <f t="array" ref="I240">SUM(IF("155"&amp;C240=KHC&amp;MH,SL))</f>
        <v>61</v>
      </c>
      <c r="J240" s="25">
        <f t="array" ref="J240">SUM(IF("155"&amp;C240=KHC&amp;MH,TH))</f>
        <v>582519</v>
      </c>
      <c r="K240" s="8">
        <f t="shared" si="36"/>
        <v>0</v>
      </c>
      <c r="L240" s="8">
        <f t="shared" si="37"/>
        <v>0</v>
      </c>
      <c r="M240" s="294"/>
    </row>
    <row r="241" spans="1:13" ht="19.5" customHeight="1">
      <c r="A241" s="294" t="str">
        <f t="shared" si="42"/>
        <v>TP</v>
      </c>
      <c r="B241" s="307">
        <f t="shared" si="43"/>
        <v>90</v>
      </c>
      <c r="C241" s="40" t="s">
        <v>1300</v>
      </c>
      <c r="D241" s="306" t="s">
        <v>1428</v>
      </c>
      <c r="E241" s="8"/>
      <c r="F241" s="8"/>
      <c r="G241" s="25">
        <f t="array" ref="G241">SUM(IF("155"&amp;C241=KHN&amp;MH,SL))</f>
        <v>63</v>
      </c>
      <c r="H241" s="25">
        <f t="array" ref="H241">SUM(IF("155"&amp;C241=KHN&amp;MH,TH))</f>
        <v>679675</v>
      </c>
      <c r="I241" s="25">
        <f t="array" ref="I241">SUM(IF("155"&amp;C241=KHC&amp;MH,SL))</f>
        <v>63</v>
      </c>
      <c r="J241" s="25">
        <f t="array" ref="J241">SUM(IF("155"&amp;C241=KHC&amp;MH,TH))</f>
        <v>679675</v>
      </c>
      <c r="K241" s="8">
        <f t="shared" si="36"/>
        <v>0</v>
      </c>
      <c r="L241" s="8">
        <f t="shared" si="37"/>
        <v>0</v>
      </c>
      <c r="M241" s="294"/>
    </row>
    <row r="242" spans="1:13" ht="19.5" customHeight="1">
      <c r="A242" s="294" t="str">
        <f t="shared" si="42"/>
        <v>TP</v>
      </c>
      <c r="B242" s="307">
        <f t="shared" si="43"/>
        <v>91</v>
      </c>
      <c r="C242" s="40" t="s">
        <v>1301</v>
      </c>
      <c r="D242" s="306" t="s">
        <v>1428</v>
      </c>
      <c r="E242" s="8"/>
      <c r="F242" s="8"/>
      <c r="G242" s="25">
        <f t="array" ref="G242">SUM(IF("155"&amp;C242=KHN&amp;MH,SL))</f>
        <v>60</v>
      </c>
      <c r="H242" s="25">
        <f t="array" ref="H242">SUM(IF("155"&amp;C242=KHN&amp;MH,TH))</f>
        <v>686249</v>
      </c>
      <c r="I242" s="25">
        <f t="array" ref="I242">SUM(IF("155"&amp;C242=KHC&amp;MH,SL))</f>
        <v>60</v>
      </c>
      <c r="J242" s="25">
        <f t="array" ref="J242">SUM(IF("155"&amp;C242=KHC&amp;MH,TH))</f>
        <v>686249</v>
      </c>
      <c r="K242" s="8">
        <f t="shared" si="36"/>
        <v>0</v>
      </c>
      <c r="L242" s="8">
        <f t="shared" si="37"/>
        <v>0</v>
      </c>
      <c r="M242" s="294"/>
    </row>
    <row r="243" spans="1:13" ht="19.5" customHeight="1">
      <c r="A243" s="294" t="str">
        <f t="shared" si="42"/>
        <v>TP</v>
      </c>
      <c r="B243" s="307">
        <f t="shared" si="43"/>
        <v>92</v>
      </c>
      <c r="C243" s="40" t="s">
        <v>1294</v>
      </c>
      <c r="D243" s="306" t="s">
        <v>1428</v>
      </c>
      <c r="E243" s="8"/>
      <c r="F243" s="8"/>
      <c r="G243" s="25">
        <f t="array" ref="G243">SUM(IF("155"&amp;C243=KHN&amp;MH,SL))</f>
        <v>25</v>
      </c>
      <c r="H243" s="25">
        <f t="array" ref="H243">SUM(IF("155"&amp;C243=KHN&amp;MH,TH))</f>
        <v>171967</v>
      </c>
      <c r="I243" s="25">
        <f t="array" ref="I243">SUM(IF("155"&amp;C243=KHC&amp;MH,SL))</f>
        <v>25</v>
      </c>
      <c r="J243" s="25">
        <f t="array" ref="J243">SUM(IF("155"&amp;C243=KHC&amp;MH,TH))</f>
        <v>171967</v>
      </c>
      <c r="K243" s="8">
        <f t="shared" si="36"/>
        <v>0</v>
      </c>
      <c r="L243" s="8">
        <f t="shared" si="37"/>
        <v>0</v>
      </c>
      <c r="M243" s="294"/>
    </row>
    <row r="244" spans="1:13" ht="19.5" customHeight="1">
      <c r="A244" s="294" t="str">
        <f t="shared" si="42"/>
        <v>TP</v>
      </c>
      <c r="B244" s="307">
        <f t="shared" si="43"/>
        <v>93</v>
      </c>
      <c r="C244" s="40" t="s">
        <v>1356</v>
      </c>
      <c r="D244" s="306" t="s">
        <v>1428</v>
      </c>
      <c r="E244" s="8"/>
      <c r="F244" s="8"/>
      <c r="G244" s="25">
        <f t="array" ref="G244">SUM(IF("155"&amp;C244=KHN&amp;MH,SL))</f>
        <v>61</v>
      </c>
      <c r="H244" s="25">
        <f t="array" ref="H244">SUM(IF("155"&amp;C244=KHN&amp;MH,TH))</f>
        <v>1085830</v>
      </c>
      <c r="I244" s="25">
        <f t="array" ref="I244">SUM(IF("155"&amp;C244=KHC&amp;MH,SL))</f>
        <v>61</v>
      </c>
      <c r="J244" s="25">
        <f t="array" ref="J244">SUM(IF("155"&amp;C244=KHC&amp;MH,TH))</f>
        <v>1085830</v>
      </c>
      <c r="K244" s="8">
        <f t="shared" si="36"/>
        <v>0</v>
      </c>
      <c r="L244" s="8">
        <f t="shared" si="37"/>
        <v>0</v>
      </c>
      <c r="M244" s="294"/>
    </row>
    <row r="245" spans="1:13" ht="19.5" customHeight="1">
      <c r="A245" s="294" t="str">
        <f t="shared" si="42"/>
        <v>TP</v>
      </c>
      <c r="B245" s="307">
        <f t="shared" si="43"/>
        <v>94</v>
      </c>
      <c r="C245" s="40" t="s">
        <v>1357</v>
      </c>
      <c r="D245" s="306" t="s">
        <v>1428</v>
      </c>
      <c r="E245" s="8"/>
      <c r="F245" s="8"/>
      <c r="G245" s="25">
        <f t="array" ref="G245">SUM(IF("155"&amp;C245=KHN&amp;MH,SL))</f>
        <v>505</v>
      </c>
      <c r="H245" s="25">
        <f t="array" ref="H245">SUM(IF("155"&amp;C245=KHN&amp;MH,TH))</f>
        <v>9054401</v>
      </c>
      <c r="I245" s="25">
        <f t="array" ref="I245">SUM(IF("155"&amp;C245=KHC&amp;MH,SL))</f>
        <v>505</v>
      </c>
      <c r="J245" s="25">
        <f t="array" ref="J245">SUM(IF("155"&amp;C245=KHC&amp;MH,TH))</f>
        <v>9054401</v>
      </c>
      <c r="K245" s="8">
        <f t="shared" si="36"/>
        <v>0</v>
      </c>
      <c r="L245" s="8">
        <f t="shared" si="37"/>
        <v>0</v>
      </c>
      <c r="M245" s="294"/>
    </row>
    <row r="246" spans="1:13" ht="19.5" customHeight="1">
      <c r="A246" s="294" t="str">
        <f t="shared" si="42"/>
        <v>TP</v>
      </c>
      <c r="B246" s="307">
        <f t="shared" si="43"/>
        <v>95</v>
      </c>
      <c r="C246" s="40" t="s">
        <v>1392</v>
      </c>
      <c r="D246" s="306" t="s">
        <v>1428</v>
      </c>
      <c r="E246" s="8"/>
      <c r="F246" s="8"/>
      <c r="G246" s="25">
        <f t="array" ref="G246">SUM(IF("155"&amp;C246=KHN&amp;MH,SL))</f>
        <v>10</v>
      </c>
      <c r="H246" s="25">
        <f t="array" ref="H246">SUM(IF("155"&amp;C246=KHN&amp;MH,TH))</f>
        <v>186724</v>
      </c>
      <c r="I246" s="25">
        <f t="array" ref="I246">SUM(IF("155"&amp;C246=KHC&amp;MH,SL))</f>
        <v>10</v>
      </c>
      <c r="J246" s="25">
        <f t="array" ref="J246">SUM(IF("155"&amp;C246=KHC&amp;MH,TH))</f>
        <v>186724</v>
      </c>
      <c r="K246" s="8">
        <f t="shared" si="36"/>
        <v>0</v>
      </c>
      <c r="L246" s="8">
        <f t="shared" si="37"/>
        <v>0</v>
      </c>
      <c r="M246" s="294"/>
    </row>
    <row r="247" spans="1:13" ht="19.5" customHeight="1">
      <c r="A247" s="294" t="str">
        <f t="shared" si="42"/>
        <v>TP</v>
      </c>
      <c r="B247" s="307">
        <f t="shared" si="43"/>
        <v>96</v>
      </c>
      <c r="C247" s="40" t="s">
        <v>1358</v>
      </c>
      <c r="D247" s="306" t="s">
        <v>1428</v>
      </c>
      <c r="E247" s="8"/>
      <c r="F247" s="8"/>
      <c r="G247" s="25">
        <f t="array" ref="G247">SUM(IF("155"&amp;C247=KHN&amp;MH,SL))</f>
        <v>61</v>
      </c>
      <c r="H247" s="25">
        <f t="array" ref="H247">SUM(IF("155"&amp;C247=KHN&amp;MH,TH))</f>
        <v>686402</v>
      </c>
      <c r="I247" s="25">
        <f t="array" ref="I247">SUM(IF("155"&amp;C247=KHC&amp;MH,SL))</f>
        <v>61</v>
      </c>
      <c r="J247" s="25">
        <f t="array" ref="J247">SUM(IF("155"&amp;C247=KHC&amp;MH,TH))</f>
        <v>686402</v>
      </c>
      <c r="K247" s="8">
        <f t="shared" si="36"/>
        <v>0</v>
      </c>
      <c r="L247" s="8">
        <f t="shared" si="37"/>
        <v>0</v>
      </c>
      <c r="M247" s="294"/>
    </row>
    <row r="248" spans="1:13" ht="19.5" customHeight="1">
      <c r="A248" s="294" t="str">
        <f t="shared" si="42"/>
        <v>TP</v>
      </c>
      <c r="B248" s="307">
        <f t="shared" si="43"/>
        <v>97</v>
      </c>
      <c r="C248" s="298" t="s">
        <v>1007</v>
      </c>
      <c r="D248" s="306" t="s">
        <v>1428</v>
      </c>
      <c r="E248" s="8"/>
      <c r="F248" s="8"/>
      <c r="G248" s="25">
        <f t="array" ref="G248">SUM(IF("155"&amp;C248=KHN&amp;MH,SL))</f>
        <v>83</v>
      </c>
      <c r="H248" s="25">
        <f t="array" ref="H248">SUM(IF("155"&amp;C248=KHN&amp;MH,TH))</f>
        <v>880352</v>
      </c>
      <c r="I248" s="25">
        <f t="array" ref="I248">SUM(IF("155"&amp;C248=KHC&amp;MH,SL))</f>
        <v>83</v>
      </c>
      <c r="J248" s="25">
        <f t="array" ref="J248">SUM(IF("155"&amp;C248=KHC&amp;MH,TH))</f>
        <v>880352</v>
      </c>
      <c r="K248" s="8">
        <f t="shared" si="36"/>
        <v>0</v>
      </c>
      <c r="L248" s="8">
        <f t="shared" si="37"/>
        <v>0</v>
      </c>
      <c r="M248" s="294"/>
    </row>
    <row r="249" spans="1:13" ht="19.5" customHeight="1">
      <c r="A249" s="294" t="str">
        <f t="shared" si="42"/>
        <v>TP</v>
      </c>
      <c r="B249" s="307">
        <f t="shared" si="43"/>
        <v>98</v>
      </c>
      <c r="C249" s="40" t="s">
        <v>1385</v>
      </c>
      <c r="D249" s="306" t="s">
        <v>1428</v>
      </c>
      <c r="E249" s="8"/>
      <c r="F249" s="8"/>
      <c r="G249" s="25">
        <f t="array" ref="G249">SUM(IF("155"&amp;C249=KHN&amp;MH,SL))</f>
        <v>10</v>
      </c>
      <c r="H249" s="25">
        <f t="array" ref="H249">SUM(IF("155"&amp;C249=KHN&amp;MH,TH))</f>
        <v>187254</v>
      </c>
      <c r="I249" s="25">
        <f t="array" ref="I249">SUM(IF("155"&amp;C249=KHC&amp;MH,SL))</f>
        <v>10</v>
      </c>
      <c r="J249" s="25">
        <f t="array" ref="J249">SUM(IF("155"&amp;C249=KHC&amp;MH,TH))</f>
        <v>187254</v>
      </c>
      <c r="K249" s="8">
        <f t="shared" si="36"/>
        <v>0</v>
      </c>
      <c r="L249" s="8">
        <f t="shared" si="37"/>
        <v>0</v>
      </c>
      <c r="M249" s="294"/>
    </row>
    <row r="250" spans="1:13" ht="19.5" customHeight="1">
      <c r="A250" s="294" t="str">
        <f t="shared" si="42"/>
        <v>TP</v>
      </c>
      <c r="B250" s="307">
        <f t="shared" si="43"/>
        <v>99</v>
      </c>
      <c r="C250" s="298" t="s">
        <v>1034</v>
      </c>
      <c r="D250" s="306" t="s">
        <v>1428</v>
      </c>
      <c r="E250" s="8"/>
      <c r="F250" s="8"/>
      <c r="G250" s="25">
        <f t="array" ref="G250">SUM(IF("155"&amp;C250=KHN&amp;MH,SL))</f>
        <v>380</v>
      </c>
      <c r="H250" s="25">
        <f t="array" ref="H250">SUM(IF("155"&amp;C250=KHN&amp;MH,TH))</f>
        <v>4768992</v>
      </c>
      <c r="I250" s="25">
        <f t="array" ref="I250">SUM(IF("155"&amp;C250=KHC&amp;MH,SL))</f>
        <v>380</v>
      </c>
      <c r="J250" s="25">
        <f t="array" ref="J250">SUM(IF("155"&amp;C250=KHC&amp;MH,TH))</f>
        <v>4768992</v>
      </c>
      <c r="K250" s="8">
        <f t="shared" si="36"/>
        <v>0</v>
      </c>
      <c r="L250" s="8">
        <f t="shared" si="37"/>
        <v>0</v>
      </c>
      <c r="M250" s="294"/>
    </row>
    <row r="251" spans="1:13" ht="19.5" customHeight="1">
      <c r="A251" s="294" t="str">
        <f t="shared" si="42"/>
        <v>TP</v>
      </c>
      <c r="B251" s="307">
        <f t="shared" si="43"/>
        <v>100</v>
      </c>
      <c r="C251" s="192" t="s">
        <v>1254</v>
      </c>
      <c r="D251" s="306" t="s">
        <v>1428</v>
      </c>
      <c r="E251" s="8"/>
      <c r="F251" s="8"/>
      <c r="G251" s="25">
        <f t="array" ref="G251">SUM(IF("155"&amp;C251=KHN&amp;MH,SL))</f>
        <v>164</v>
      </c>
      <c r="H251" s="25">
        <f t="array" ref="H251">SUM(IF("155"&amp;C251=KHN&amp;MH,TH))</f>
        <v>1899464</v>
      </c>
      <c r="I251" s="25">
        <f t="array" ref="I251">SUM(IF("155"&amp;C251=KHC&amp;MH,SL))</f>
        <v>164</v>
      </c>
      <c r="J251" s="25">
        <f t="array" ref="J251">SUM(IF("155"&amp;C251=KHC&amp;MH,TH))</f>
        <v>1899464</v>
      </c>
      <c r="K251" s="8">
        <f t="shared" si="36"/>
        <v>0</v>
      </c>
      <c r="L251" s="8">
        <f t="shared" si="37"/>
        <v>0</v>
      </c>
      <c r="M251" s="294"/>
    </row>
    <row r="252" spans="1:13" ht="19.5" customHeight="1">
      <c r="A252" s="294" t="str">
        <f t="shared" si="42"/>
        <v>TP</v>
      </c>
      <c r="B252" s="307">
        <f t="shared" si="43"/>
        <v>101</v>
      </c>
      <c r="C252" s="192" t="s">
        <v>1263</v>
      </c>
      <c r="D252" s="306" t="s">
        <v>1428</v>
      </c>
      <c r="E252" s="8"/>
      <c r="F252" s="8"/>
      <c r="G252" s="25">
        <f t="array" ref="G252">SUM(IF("155"&amp;C252=KHN&amp;MH,SL))</f>
        <v>94</v>
      </c>
      <c r="H252" s="25">
        <f t="array" ref="H252">SUM(IF("155"&amp;C252=KHN&amp;MH,TH))</f>
        <v>1255195</v>
      </c>
      <c r="I252" s="25">
        <f t="array" ref="I252">SUM(IF("155"&amp;C252=KHC&amp;MH,SL))</f>
        <v>94</v>
      </c>
      <c r="J252" s="25">
        <f t="array" ref="J252">SUM(IF("155"&amp;C252=KHC&amp;MH,TH))</f>
        <v>1255195</v>
      </c>
      <c r="K252" s="8">
        <f t="shared" si="36"/>
        <v>0</v>
      </c>
      <c r="L252" s="8">
        <f t="shared" si="37"/>
        <v>0</v>
      </c>
      <c r="M252" s="294"/>
    </row>
    <row r="253" spans="1:13" ht="19.5" customHeight="1">
      <c r="A253" s="294" t="str">
        <f t="shared" si="42"/>
        <v>TP</v>
      </c>
      <c r="B253" s="307">
        <f t="shared" si="43"/>
        <v>102</v>
      </c>
      <c r="C253" s="40" t="s">
        <v>1310</v>
      </c>
      <c r="D253" s="306" t="s">
        <v>1428</v>
      </c>
      <c r="E253" s="8"/>
      <c r="F253" s="8"/>
      <c r="G253" s="25">
        <f t="array" ref="G253">SUM(IF("155"&amp;C253=KHN&amp;MH,SL))</f>
        <v>26</v>
      </c>
      <c r="H253" s="25">
        <f t="array" ref="H253">SUM(IF("155"&amp;C253=KHN&amp;MH,TH))</f>
        <v>233905</v>
      </c>
      <c r="I253" s="25">
        <f t="array" ref="I253">SUM(IF("155"&amp;C253=KHC&amp;MH,SL))</f>
        <v>26</v>
      </c>
      <c r="J253" s="25">
        <f t="array" ref="J253">SUM(IF("155"&amp;C253=KHC&amp;MH,TH))</f>
        <v>233905</v>
      </c>
      <c r="K253" s="8">
        <f t="shared" si="36"/>
        <v>0</v>
      </c>
      <c r="L253" s="8">
        <f t="shared" si="37"/>
        <v>0</v>
      </c>
      <c r="M253" s="294"/>
    </row>
    <row r="254" spans="1:13" ht="19.5" customHeight="1">
      <c r="A254" s="294" t="str">
        <f t="shared" si="42"/>
        <v>TP</v>
      </c>
      <c r="B254" s="307">
        <f t="shared" si="43"/>
        <v>103</v>
      </c>
      <c r="C254" s="298" t="s">
        <v>1036</v>
      </c>
      <c r="D254" s="306" t="s">
        <v>1428</v>
      </c>
      <c r="E254" s="8"/>
      <c r="F254" s="8"/>
      <c r="G254" s="25">
        <f t="array" ref="G254">SUM(IF("155"&amp;C254=KHN&amp;MH,SL))</f>
        <v>1175</v>
      </c>
      <c r="H254" s="25">
        <f t="array" ref="H254">SUM(IF("155"&amp;C254=KHN&amp;MH,TH))</f>
        <v>16708618</v>
      </c>
      <c r="I254" s="25">
        <f t="array" ref="I254">SUM(IF("155"&amp;C254=KHC&amp;MH,SL))</f>
        <v>1175</v>
      </c>
      <c r="J254" s="25">
        <f t="array" ref="J254">SUM(IF("155"&amp;C254=KHC&amp;MH,TH))</f>
        <v>16708618</v>
      </c>
      <c r="K254" s="8">
        <f t="shared" si="36"/>
        <v>0</v>
      </c>
      <c r="L254" s="8">
        <f t="shared" si="37"/>
        <v>0</v>
      </c>
      <c r="M254" s="294"/>
    </row>
    <row r="255" spans="1:13" ht="19.5" customHeight="1">
      <c r="A255" s="294" t="str">
        <f t="shared" si="42"/>
        <v>TP</v>
      </c>
      <c r="B255" s="307">
        <f t="shared" si="43"/>
        <v>104</v>
      </c>
      <c r="C255" s="192" t="s">
        <v>1255</v>
      </c>
      <c r="D255" s="306" t="s">
        <v>1428</v>
      </c>
      <c r="E255" s="8"/>
      <c r="F255" s="8"/>
      <c r="G255" s="25">
        <f t="array" ref="G255">SUM(IF("155"&amp;C255=KHN&amp;MH,SL))</f>
        <v>214</v>
      </c>
      <c r="H255" s="25">
        <f t="array" ref="H255">SUM(IF("155"&amp;C255=KHN&amp;MH,TH))</f>
        <v>3193720</v>
      </c>
      <c r="I255" s="25">
        <f t="array" ref="I255">SUM(IF("155"&amp;C255=KHC&amp;MH,SL))</f>
        <v>214</v>
      </c>
      <c r="J255" s="25">
        <f t="array" ref="J255">SUM(IF("155"&amp;C255=KHC&amp;MH,TH))</f>
        <v>3193720</v>
      </c>
      <c r="K255" s="8">
        <f t="shared" si="36"/>
        <v>0</v>
      </c>
      <c r="L255" s="8">
        <f t="shared" si="37"/>
        <v>0</v>
      </c>
      <c r="M255" s="294"/>
    </row>
    <row r="256" spans="1:13" ht="19.5" customHeight="1">
      <c r="A256" s="294" t="str">
        <f t="shared" si="42"/>
        <v>TP</v>
      </c>
      <c r="B256" s="307">
        <f t="shared" si="43"/>
        <v>105</v>
      </c>
      <c r="C256" s="40" t="s">
        <v>1312</v>
      </c>
      <c r="D256" s="306" t="s">
        <v>1428</v>
      </c>
      <c r="E256" s="8"/>
      <c r="F256" s="8"/>
      <c r="G256" s="25">
        <f t="array" ref="G256">SUM(IF("155"&amp;C256=KHN&amp;MH,SL))</f>
        <v>27</v>
      </c>
      <c r="H256" s="25">
        <f t="array" ref="H256">SUM(IF("155"&amp;C256=KHN&amp;MH,TH))</f>
        <v>369407</v>
      </c>
      <c r="I256" s="25">
        <f t="array" ref="I256">SUM(IF("155"&amp;C256=KHC&amp;MH,SL))</f>
        <v>27</v>
      </c>
      <c r="J256" s="25">
        <f t="array" ref="J256">SUM(IF("155"&amp;C256=KHC&amp;MH,TH))</f>
        <v>369407</v>
      </c>
      <c r="K256" s="8">
        <f t="shared" si="36"/>
        <v>0</v>
      </c>
      <c r="L256" s="8">
        <f t="shared" si="37"/>
        <v>0</v>
      </c>
      <c r="M256" s="294"/>
    </row>
    <row r="257" spans="1:13" ht="19.5" customHeight="1">
      <c r="A257" s="294" t="str">
        <f t="shared" ref="A257:A272" si="44">IF(B257&lt;&gt;"","TP","")</f>
        <v>TP</v>
      </c>
      <c r="B257" s="307">
        <f t="shared" ref="B257:B258" si="45">IF(C257&lt;&gt;"",B256+1,"")</f>
        <v>106</v>
      </c>
      <c r="C257" s="192" t="s">
        <v>1271</v>
      </c>
      <c r="D257" s="306" t="s">
        <v>1428</v>
      </c>
      <c r="E257" s="8"/>
      <c r="F257" s="8"/>
      <c r="G257" s="25">
        <f t="array" ref="G257">SUM(IF("155"&amp;C257=KHN&amp;MH,SL))</f>
        <v>185</v>
      </c>
      <c r="H257" s="25">
        <f t="array" ref="H257">SUM(IF("155"&amp;C257=KHN&amp;MH,TH))</f>
        <v>1358731</v>
      </c>
      <c r="I257" s="25">
        <f t="array" ref="I257">SUM(IF("155"&amp;C257=KHC&amp;MH,SL))</f>
        <v>185</v>
      </c>
      <c r="J257" s="25">
        <f t="array" ref="J257">SUM(IF("155"&amp;C257=KHC&amp;MH,TH))</f>
        <v>1358731</v>
      </c>
      <c r="K257" s="8">
        <f t="shared" si="36"/>
        <v>0</v>
      </c>
      <c r="L257" s="8">
        <f t="shared" si="37"/>
        <v>0</v>
      </c>
      <c r="M257" s="294"/>
    </row>
    <row r="258" spans="1:13" ht="19.5" customHeight="1">
      <c r="A258" s="294" t="str">
        <f t="shared" si="44"/>
        <v>TP</v>
      </c>
      <c r="B258" s="307">
        <f t="shared" si="45"/>
        <v>107</v>
      </c>
      <c r="C258" s="298" t="s">
        <v>747</v>
      </c>
      <c r="D258" s="306" t="s">
        <v>1428</v>
      </c>
      <c r="E258" s="8"/>
      <c r="F258" s="8"/>
      <c r="G258" s="25">
        <f t="array" ref="G258">SUM(IF("155"&amp;C258=KHN&amp;MH,SL))</f>
        <v>221</v>
      </c>
      <c r="H258" s="25">
        <f t="array" ref="H258">SUM(IF("155"&amp;C258=KHN&amp;MH,TH))</f>
        <v>1837500</v>
      </c>
      <c r="I258" s="25">
        <f t="array" ref="I258">SUM(IF("155"&amp;C258=KHC&amp;MH,SL))</f>
        <v>221</v>
      </c>
      <c r="J258" s="25">
        <f t="array" ref="J258">SUM(IF("155"&amp;C258=KHC&amp;MH,TH))</f>
        <v>1837500</v>
      </c>
      <c r="K258" s="8">
        <f t="shared" si="36"/>
        <v>0</v>
      </c>
      <c r="L258" s="8">
        <f t="shared" si="37"/>
        <v>0</v>
      </c>
      <c r="M258" s="294"/>
    </row>
    <row r="259" spans="1:13" ht="19.5" customHeight="1">
      <c r="A259" s="294" t="str">
        <f t="shared" si="44"/>
        <v>TP</v>
      </c>
      <c r="B259" s="307">
        <f t="shared" ref="B259:B261" si="46">IF(C259&lt;&gt;"",B258+1,"")</f>
        <v>108</v>
      </c>
      <c r="C259" s="40" t="s">
        <v>1359</v>
      </c>
      <c r="D259" s="306" t="s">
        <v>1428</v>
      </c>
      <c r="E259" s="8"/>
      <c r="F259" s="8"/>
      <c r="G259" s="25">
        <f t="array" ref="G259">SUM(IF("155"&amp;C259=KHN&amp;MH,SL))</f>
        <v>259</v>
      </c>
      <c r="H259" s="25">
        <f t="array" ref="H259">SUM(IF("155"&amp;C259=KHN&amp;MH,TH))</f>
        <v>4664686</v>
      </c>
      <c r="I259" s="25">
        <f t="array" ref="I259">SUM(IF("155"&amp;C259=KHC&amp;MH,SL))</f>
        <v>259</v>
      </c>
      <c r="J259" s="25">
        <f t="array" ref="J259">SUM(IF("155"&amp;C259=KHC&amp;MH,TH))</f>
        <v>4664686</v>
      </c>
      <c r="K259" s="8">
        <f t="shared" si="36"/>
        <v>0</v>
      </c>
      <c r="L259" s="8">
        <f t="shared" si="37"/>
        <v>0</v>
      </c>
      <c r="M259" s="294"/>
    </row>
    <row r="260" spans="1:13" ht="19.5" customHeight="1">
      <c r="A260" s="294" t="str">
        <f t="shared" si="44"/>
        <v>TP</v>
      </c>
      <c r="B260" s="307">
        <f t="shared" si="46"/>
        <v>109</v>
      </c>
      <c r="C260" s="40" t="s">
        <v>1384</v>
      </c>
      <c r="D260" s="306" t="s">
        <v>1428</v>
      </c>
      <c r="E260" s="8"/>
      <c r="F260" s="8"/>
      <c r="G260" s="25">
        <f t="array" ref="G260">SUM(IF("155"&amp;C260=KHN&amp;MH,SL))</f>
        <v>65</v>
      </c>
      <c r="H260" s="25">
        <f t="array" ref="H260">SUM(IF("155"&amp;C260=KHN&amp;MH,TH))</f>
        <v>1152937</v>
      </c>
      <c r="I260" s="25">
        <f t="array" ref="I260">SUM(IF("155"&amp;C260=KHC&amp;MH,SL))</f>
        <v>65</v>
      </c>
      <c r="J260" s="25">
        <f t="array" ref="J260">SUM(IF("155"&amp;C260=KHC&amp;MH,TH))</f>
        <v>1152937</v>
      </c>
      <c r="K260" s="8">
        <f t="shared" si="36"/>
        <v>0</v>
      </c>
      <c r="L260" s="8">
        <f t="shared" si="37"/>
        <v>0</v>
      </c>
      <c r="M260" s="294"/>
    </row>
    <row r="261" spans="1:13" ht="19.5" customHeight="1">
      <c r="A261" s="294" t="str">
        <f t="shared" si="44"/>
        <v>TP</v>
      </c>
      <c r="B261" s="307">
        <f t="shared" si="46"/>
        <v>110</v>
      </c>
      <c r="C261" s="298" t="s">
        <v>1009</v>
      </c>
      <c r="D261" s="306" t="s">
        <v>1428</v>
      </c>
      <c r="E261" s="8"/>
      <c r="F261" s="8"/>
      <c r="G261" s="25">
        <f t="array" ref="G261">SUM(IF("155"&amp;C261=KHN&amp;MH,SL))</f>
        <v>68</v>
      </c>
      <c r="H261" s="25">
        <f t="array" ref="H261">SUM(IF("155"&amp;C261=KHN&amp;MH,TH))</f>
        <v>728205</v>
      </c>
      <c r="I261" s="25">
        <f t="array" ref="I261">SUM(IF("155"&amp;C261=KHC&amp;MH,SL))</f>
        <v>68</v>
      </c>
      <c r="J261" s="25">
        <f t="array" ref="J261">SUM(IF("155"&amp;C261=KHC&amp;MH,TH))</f>
        <v>728205</v>
      </c>
      <c r="K261" s="8">
        <f t="shared" si="36"/>
        <v>0</v>
      </c>
      <c r="L261" s="8">
        <f t="shared" si="37"/>
        <v>0</v>
      </c>
      <c r="M261" s="294"/>
    </row>
    <row r="262" spans="1:13" ht="19.5" customHeight="1">
      <c r="A262" s="294" t="str">
        <f t="shared" si="44"/>
        <v>TP</v>
      </c>
      <c r="B262" s="307">
        <f t="shared" ref="B262:B272" si="47">IF(C262&lt;&gt;"",B261+1,"")</f>
        <v>111</v>
      </c>
      <c r="C262" s="40" t="s">
        <v>1360</v>
      </c>
      <c r="D262" s="306" t="s">
        <v>1428</v>
      </c>
      <c r="E262" s="8"/>
      <c r="F262" s="8"/>
      <c r="G262" s="25">
        <f t="array" ref="G262">SUM(IF("155"&amp;C262=KHN&amp;MH,SL))</f>
        <v>21</v>
      </c>
      <c r="H262" s="25">
        <f t="array" ref="H262">SUM(IF("155"&amp;C262=KHN&amp;MH,TH))</f>
        <v>329703</v>
      </c>
      <c r="I262" s="25">
        <f t="array" ref="I262">SUM(IF("155"&amp;C262=KHC&amp;MH,SL))</f>
        <v>21</v>
      </c>
      <c r="J262" s="25">
        <f t="array" ref="J262">SUM(IF("155"&amp;C262=KHC&amp;MH,TH))</f>
        <v>329703</v>
      </c>
      <c r="K262" s="8">
        <f t="shared" si="36"/>
        <v>0</v>
      </c>
      <c r="L262" s="8">
        <f t="shared" si="37"/>
        <v>0</v>
      </c>
      <c r="M262" s="294"/>
    </row>
    <row r="263" spans="1:13" ht="19.5" customHeight="1">
      <c r="A263" s="294" t="str">
        <f t="shared" si="44"/>
        <v>TP</v>
      </c>
      <c r="B263" s="307">
        <f t="shared" si="47"/>
        <v>112</v>
      </c>
      <c r="C263" s="298" t="s">
        <v>902</v>
      </c>
      <c r="D263" s="306" t="s">
        <v>1428</v>
      </c>
      <c r="E263" s="8"/>
      <c r="F263" s="8"/>
      <c r="G263" s="25">
        <f t="array" ref="G263">SUM(IF("155"&amp;C263=KHN&amp;MH,SL))</f>
        <v>140</v>
      </c>
      <c r="H263" s="25">
        <f t="array" ref="H263">SUM(IF("155"&amp;C263=KHN&amp;MH,TH))</f>
        <v>1312152</v>
      </c>
      <c r="I263" s="25">
        <f t="array" ref="I263">SUM(IF("155"&amp;C263=KHC&amp;MH,SL))</f>
        <v>140</v>
      </c>
      <c r="J263" s="25">
        <f t="array" ref="J263">SUM(IF("155"&amp;C263=KHC&amp;MH,TH))</f>
        <v>1312152</v>
      </c>
      <c r="K263" s="8">
        <f t="shared" si="36"/>
        <v>0</v>
      </c>
      <c r="L263" s="8">
        <f t="shared" si="37"/>
        <v>0</v>
      </c>
      <c r="M263" s="294"/>
    </row>
    <row r="264" spans="1:13" ht="19.5" customHeight="1">
      <c r="A264" s="294" t="str">
        <f t="shared" si="44"/>
        <v>TP</v>
      </c>
      <c r="B264" s="307">
        <f t="shared" si="47"/>
        <v>113</v>
      </c>
      <c r="C264" s="298" t="s">
        <v>892</v>
      </c>
      <c r="D264" s="306" t="s">
        <v>1428</v>
      </c>
      <c r="E264" s="8"/>
      <c r="F264" s="8"/>
      <c r="G264" s="25">
        <f t="array" ref="G264">SUM(IF("155"&amp;C264=KHN&amp;MH,SL))</f>
        <v>34</v>
      </c>
      <c r="H264" s="25">
        <f t="array" ref="H264">SUM(IF("155"&amp;C264=KHN&amp;MH,TH))</f>
        <v>474623</v>
      </c>
      <c r="I264" s="25">
        <f t="array" ref="I264">SUM(IF("155"&amp;C264=KHC&amp;MH,SL))</f>
        <v>34</v>
      </c>
      <c r="J264" s="25">
        <f t="array" ref="J264">SUM(IF("155"&amp;C264=KHC&amp;MH,TH))</f>
        <v>474623</v>
      </c>
      <c r="K264" s="8">
        <f t="shared" si="36"/>
        <v>0</v>
      </c>
      <c r="L264" s="8">
        <f t="shared" si="37"/>
        <v>0</v>
      </c>
      <c r="M264" s="294"/>
    </row>
    <row r="265" spans="1:13" ht="19.5" customHeight="1">
      <c r="A265" s="294" t="str">
        <f t="shared" si="44"/>
        <v>TP</v>
      </c>
      <c r="B265" s="307">
        <f t="shared" si="47"/>
        <v>114</v>
      </c>
      <c r="C265" s="40" t="s">
        <v>1292</v>
      </c>
      <c r="D265" s="306" t="s">
        <v>1428</v>
      </c>
      <c r="E265" s="8"/>
      <c r="F265" s="8"/>
      <c r="G265" s="25">
        <f t="array" ref="G265">SUM(IF("155"&amp;C265=KHN&amp;MH,SL))</f>
        <v>1118</v>
      </c>
      <c r="H265" s="25">
        <f t="array" ref="H265">SUM(IF("155"&amp;C265=KHN&amp;MH,TH))</f>
        <v>10790814</v>
      </c>
      <c r="I265" s="25">
        <f t="array" ref="I265">SUM(IF("155"&amp;C265=KHC&amp;MH,SL))</f>
        <v>1118</v>
      </c>
      <c r="J265" s="25">
        <f t="array" ref="J265">SUM(IF("155"&amp;C265=KHC&amp;MH,TH))</f>
        <v>10790814</v>
      </c>
      <c r="K265" s="8">
        <f t="shared" si="36"/>
        <v>0</v>
      </c>
      <c r="L265" s="8">
        <f t="shared" si="37"/>
        <v>0</v>
      </c>
      <c r="M265" s="294"/>
    </row>
    <row r="266" spans="1:13" ht="19.5" customHeight="1">
      <c r="A266" s="294" t="str">
        <f t="shared" si="44"/>
        <v>TP</v>
      </c>
      <c r="B266" s="307">
        <f t="shared" si="47"/>
        <v>115</v>
      </c>
      <c r="C266" s="40" t="s">
        <v>1361</v>
      </c>
      <c r="D266" s="306" t="s">
        <v>1428</v>
      </c>
      <c r="E266" s="8"/>
      <c r="F266" s="8"/>
      <c r="G266" s="25">
        <f t="array" ref="G266">SUM(IF("155"&amp;C266=KHN&amp;MH,SL))</f>
        <v>394</v>
      </c>
      <c r="H266" s="25">
        <f t="array" ref="H266">SUM(IF("155"&amp;C266=KHN&amp;MH,TH))</f>
        <v>7573201</v>
      </c>
      <c r="I266" s="25">
        <f t="array" ref="I266">SUM(IF("155"&amp;C266=KHC&amp;MH,SL))</f>
        <v>394</v>
      </c>
      <c r="J266" s="25">
        <f t="array" ref="J266">SUM(IF("155"&amp;C266=KHC&amp;MH,TH))</f>
        <v>7573201</v>
      </c>
      <c r="K266" s="8">
        <f t="shared" si="36"/>
        <v>0</v>
      </c>
      <c r="L266" s="8">
        <f t="shared" si="37"/>
        <v>0</v>
      </c>
      <c r="M266" s="294"/>
    </row>
    <row r="267" spans="1:13" ht="19.5" customHeight="1">
      <c r="A267" s="294" t="str">
        <f t="shared" si="44"/>
        <v>TP</v>
      </c>
      <c r="B267" s="307">
        <f t="shared" si="47"/>
        <v>116</v>
      </c>
      <c r="C267" s="192" t="s">
        <v>1270</v>
      </c>
      <c r="D267" s="306" t="s">
        <v>1428</v>
      </c>
      <c r="E267" s="8"/>
      <c r="F267" s="8"/>
      <c r="G267" s="25">
        <f t="array" ref="G267">SUM(IF("155"&amp;C267=KHN&amp;MH,SL))</f>
        <v>913</v>
      </c>
      <c r="H267" s="25">
        <f t="array" ref="H267">SUM(IF("155"&amp;C267=KHN&amp;MH,TH))</f>
        <v>10499308</v>
      </c>
      <c r="I267" s="25">
        <f t="array" ref="I267">SUM(IF("155"&amp;C267=KHC&amp;MH,SL))</f>
        <v>913</v>
      </c>
      <c r="J267" s="25">
        <f t="array" ref="J267">SUM(IF("155"&amp;C267=KHC&amp;MH,TH))</f>
        <v>10499308</v>
      </c>
      <c r="K267" s="8">
        <f t="shared" si="36"/>
        <v>0</v>
      </c>
      <c r="L267" s="8">
        <f t="shared" si="37"/>
        <v>0</v>
      </c>
      <c r="M267" s="294"/>
    </row>
    <row r="268" spans="1:13" ht="19.5" customHeight="1">
      <c r="A268" s="294" t="str">
        <f t="shared" si="44"/>
        <v>TP</v>
      </c>
      <c r="B268" s="307">
        <f t="shared" si="47"/>
        <v>117</v>
      </c>
      <c r="C268" s="298" t="s">
        <v>741</v>
      </c>
      <c r="D268" s="306" t="s">
        <v>1428</v>
      </c>
      <c r="E268" s="8"/>
      <c r="F268" s="8"/>
      <c r="G268" s="25">
        <f t="array" ref="G268">SUM(IF("155"&amp;C268=KHN&amp;MH,SL))</f>
        <v>334</v>
      </c>
      <c r="H268" s="25">
        <f t="array" ref="H268">SUM(IF("155"&amp;C268=KHN&amp;MH,TH))</f>
        <v>5793360</v>
      </c>
      <c r="I268" s="25">
        <f t="array" ref="I268">SUM(IF("155"&amp;C268=KHC&amp;MH,SL))</f>
        <v>334</v>
      </c>
      <c r="J268" s="25">
        <f t="array" ref="J268">SUM(IF("155"&amp;C268=KHC&amp;MH,TH))</f>
        <v>5793360</v>
      </c>
      <c r="K268" s="8">
        <f t="shared" si="36"/>
        <v>0</v>
      </c>
      <c r="L268" s="8">
        <f t="shared" si="37"/>
        <v>0</v>
      </c>
      <c r="M268" s="294"/>
    </row>
    <row r="269" spans="1:13" ht="19.5" customHeight="1">
      <c r="A269" s="294" t="str">
        <f t="shared" si="44"/>
        <v>TP</v>
      </c>
      <c r="B269" s="307">
        <f t="shared" si="47"/>
        <v>118</v>
      </c>
      <c r="C269" s="298" t="s">
        <v>751</v>
      </c>
      <c r="D269" s="306" t="s">
        <v>1428</v>
      </c>
      <c r="E269" s="8"/>
      <c r="F269" s="8"/>
      <c r="G269" s="25">
        <f t="array" ref="G269">SUM(IF("155"&amp;C269=KHN&amp;MH,SL))</f>
        <v>2887</v>
      </c>
      <c r="H269" s="25">
        <f t="array" ref="H269">SUM(IF("155"&amp;C269=KHN&amp;MH,TH))</f>
        <v>27488172</v>
      </c>
      <c r="I269" s="25">
        <f t="array" ref="I269">SUM(IF("155"&amp;C269=KHC&amp;MH,SL))</f>
        <v>2887</v>
      </c>
      <c r="J269" s="25">
        <f t="array" ref="J269">SUM(IF("155"&amp;C269=KHC&amp;MH,TH))</f>
        <v>27488172</v>
      </c>
      <c r="K269" s="8">
        <f t="shared" si="36"/>
        <v>0</v>
      </c>
      <c r="L269" s="8">
        <f t="shared" si="37"/>
        <v>0</v>
      </c>
      <c r="M269" s="294"/>
    </row>
    <row r="270" spans="1:13" ht="19.5" customHeight="1">
      <c r="A270" s="294" t="str">
        <f t="shared" si="44"/>
        <v>TP</v>
      </c>
      <c r="B270" s="307">
        <f t="shared" si="47"/>
        <v>119</v>
      </c>
      <c r="C270" s="298" t="s">
        <v>934</v>
      </c>
      <c r="D270" s="306" t="s">
        <v>1428</v>
      </c>
      <c r="E270" s="8"/>
      <c r="F270" s="8"/>
      <c r="G270" s="25">
        <f t="array" ref="G270">SUM(IF("155"&amp;C270=KHN&amp;MH,SL))</f>
        <v>76</v>
      </c>
      <c r="H270" s="25">
        <f t="array" ref="H270">SUM(IF("155"&amp;C270=KHN&amp;MH,TH))</f>
        <v>1300603</v>
      </c>
      <c r="I270" s="25">
        <f t="array" ref="I270">SUM(IF("155"&amp;C270=KHC&amp;MH,SL))</f>
        <v>76</v>
      </c>
      <c r="J270" s="25">
        <f t="array" ref="J270">SUM(IF("155"&amp;C270=KHC&amp;MH,TH))</f>
        <v>1300603</v>
      </c>
      <c r="K270" s="8">
        <f t="shared" si="36"/>
        <v>0</v>
      </c>
      <c r="L270" s="8">
        <f t="shared" si="37"/>
        <v>0</v>
      </c>
      <c r="M270" s="294"/>
    </row>
    <row r="271" spans="1:13" ht="19.5" customHeight="1">
      <c r="A271" s="294" t="str">
        <f t="shared" si="44"/>
        <v>TP</v>
      </c>
      <c r="B271" s="307">
        <f t="shared" si="47"/>
        <v>120</v>
      </c>
      <c r="C271" s="298" t="s">
        <v>1006</v>
      </c>
      <c r="D271" s="306" t="s">
        <v>1428</v>
      </c>
      <c r="E271" s="8"/>
      <c r="F271" s="8"/>
      <c r="G271" s="25">
        <f t="array" ref="G271">SUM(IF("155"&amp;C271=KHN&amp;MH,SL))</f>
        <v>107</v>
      </c>
      <c r="H271" s="25">
        <f t="array" ref="H271">SUM(IF("155"&amp;C271=KHN&amp;MH,TH))</f>
        <v>1469321</v>
      </c>
      <c r="I271" s="25">
        <f t="array" ref="I271">SUM(IF("155"&amp;C271=KHC&amp;MH,SL))</f>
        <v>107</v>
      </c>
      <c r="J271" s="25">
        <f t="array" ref="J271">SUM(IF("155"&amp;C271=KHC&amp;MH,TH))</f>
        <v>1469321</v>
      </c>
      <c r="K271" s="8">
        <f t="shared" si="36"/>
        <v>0</v>
      </c>
      <c r="L271" s="8">
        <f t="shared" si="37"/>
        <v>0</v>
      </c>
      <c r="M271" s="294"/>
    </row>
    <row r="272" spans="1:13" ht="19.5" customHeight="1">
      <c r="A272" s="294" t="str">
        <f t="shared" si="44"/>
        <v>TP</v>
      </c>
      <c r="B272" s="307">
        <f t="shared" si="47"/>
        <v>121</v>
      </c>
      <c r="C272" s="298" t="s">
        <v>940</v>
      </c>
      <c r="D272" s="306" t="s">
        <v>1428</v>
      </c>
      <c r="E272" s="8"/>
      <c r="F272" s="8"/>
      <c r="G272" s="25">
        <f t="array" ref="G272">SUM(IF("155"&amp;C272=KHN&amp;MH,SL))</f>
        <v>20</v>
      </c>
      <c r="H272" s="25">
        <f t="array" ref="H272">SUM(IF("155"&amp;C272=KHN&amp;MH,TH))</f>
        <v>360390</v>
      </c>
      <c r="I272" s="25">
        <f t="array" ref="I272">SUM(IF("155"&amp;C272=KHC&amp;MH,SL))</f>
        <v>20</v>
      </c>
      <c r="J272" s="25">
        <f t="array" ref="J272">SUM(IF("155"&amp;C272=KHC&amp;MH,TH))</f>
        <v>360390</v>
      </c>
      <c r="K272" s="8">
        <f t="shared" si="36"/>
        <v>0</v>
      </c>
      <c r="L272" s="8">
        <f t="shared" si="37"/>
        <v>0</v>
      </c>
      <c r="M272" s="294"/>
    </row>
    <row r="273" spans="1:13" ht="19.5" customHeight="1">
      <c r="A273" s="294" t="str">
        <f>IF(B273&lt;&gt;"","TP","")</f>
        <v>TP</v>
      </c>
      <c r="B273" s="307">
        <f>IF(C273&lt;&gt;"",B272+1,"")</f>
        <v>122</v>
      </c>
      <c r="C273" s="40" t="s">
        <v>1362</v>
      </c>
      <c r="D273" s="306" t="s">
        <v>1428</v>
      </c>
      <c r="E273" s="8"/>
      <c r="F273" s="8"/>
      <c r="G273" s="25">
        <f t="array" ref="G273">SUM(IF("155"&amp;C273=KHN&amp;MH,SL))</f>
        <v>10</v>
      </c>
      <c r="H273" s="25">
        <f t="array" ref="H273">SUM(IF("155"&amp;C273=KHN&amp;MH,TH))</f>
        <v>186724</v>
      </c>
      <c r="I273" s="25">
        <f t="array" ref="I273">SUM(IF("155"&amp;C273=KHC&amp;MH,SL))</f>
        <v>10</v>
      </c>
      <c r="J273" s="25">
        <f t="array" ref="J273">SUM(IF("155"&amp;C273=KHC&amp;MH,TH))</f>
        <v>186724</v>
      </c>
      <c r="K273" s="8">
        <f t="shared" si="36"/>
        <v>0</v>
      </c>
      <c r="L273" s="8">
        <f t="shared" si="37"/>
        <v>0</v>
      </c>
      <c r="M273" s="294"/>
    </row>
    <row r="274" spans="1:13" ht="19.5" customHeight="1">
      <c r="A274" s="294" t="str">
        <f>IF(B274&lt;&gt;"","TP","")</f>
        <v>TP</v>
      </c>
      <c r="B274" s="307">
        <f>IF(C274&lt;&gt;"",B273+1,"")</f>
        <v>123</v>
      </c>
      <c r="C274" s="298" t="s">
        <v>742</v>
      </c>
      <c r="D274" s="306" t="s">
        <v>1428</v>
      </c>
      <c r="E274" s="8"/>
      <c r="F274" s="8"/>
      <c r="G274" s="25">
        <f t="array" ref="G274">SUM(IF("155"&amp;C274=KHN&amp;MH,SL))</f>
        <v>1063</v>
      </c>
      <c r="H274" s="25">
        <f t="array" ref="H274">SUM(IF("155"&amp;C274=KHN&amp;MH,TH))</f>
        <v>19635067</v>
      </c>
      <c r="I274" s="25">
        <f t="array" ref="I274">SUM(IF("155"&amp;C274=KHC&amp;MH,SL))</f>
        <v>1063</v>
      </c>
      <c r="J274" s="25">
        <f t="array" ref="J274">SUM(IF("155"&amp;C274=KHC&amp;MH,TH))</f>
        <v>19635067</v>
      </c>
      <c r="K274" s="8">
        <f t="shared" si="36"/>
        <v>0</v>
      </c>
      <c r="L274" s="8">
        <f t="shared" si="37"/>
        <v>0</v>
      </c>
      <c r="M274" s="294"/>
    </row>
    <row r="275" spans="1:13" ht="19.5" customHeight="1">
      <c r="A275" s="294" t="str">
        <f>IF(B275&lt;&gt;"","TP","")</f>
        <v>TP</v>
      </c>
      <c r="B275" s="307">
        <f>IF(C275&lt;&gt;"",B274+1,"")</f>
        <v>124</v>
      </c>
      <c r="C275" s="298" t="s">
        <v>992</v>
      </c>
      <c r="D275" s="306" t="s">
        <v>1428</v>
      </c>
      <c r="E275" s="8"/>
      <c r="F275" s="8"/>
      <c r="G275" s="25">
        <f t="array" ref="G275">SUM(IF("155"&amp;C275=KHN&amp;MH,SL))</f>
        <v>121</v>
      </c>
      <c r="H275" s="25">
        <f t="array" ref="H275">SUM(IF("155"&amp;C275=KHN&amp;MH,TH))</f>
        <v>2435536</v>
      </c>
      <c r="I275" s="25">
        <f t="array" ref="I275">SUM(IF("155"&amp;C275=KHC&amp;MH,SL))</f>
        <v>121</v>
      </c>
      <c r="J275" s="25">
        <f t="array" ref="J275">SUM(IF("155"&amp;C275=KHC&amp;MH,TH))</f>
        <v>2435536</v>
      </c>
      <c r="K275" s="8">
        <f t="shared" si="36"/>
        <v>0</v>
      </c>
      <c r="L275" s="8">
        <f t="shared" si="37"/>
        <v>0</v>
      </c>
      <c r="M275" s="294"/>
    </row>
    <row r="276" spans="1:13" ht="19.5" customHeight="1">
      <c r="A276" s="294" t="str">
        <f>IF(B276&lt;&gt;"","TP","")</f>
        <v>TP</v>
      </c>
      <c r="B276" s="307">
        <f>IF(C276&lt;&gt;"",B275+1,"")</f>
        <v>125</v>
      </c>
      <c r="C276" s="192" t="s">
        <v>1267</v>
      </c>
      <c r="D276" s="306" t="s">
        <v>1428</v>
      </c>
      <c r="E276" s="8"/>
      <c r="F276" s="8"/>
      <c r="G276" s="25">
        <f t="array" ref="G276">SUM(IF("155"&amp;C276=KHN&amp;MH,SL))</f>
        <v>338</v>
      </c>
      <c r="H276" s="25">
        <f t="array" ref="H276">SUM(IF("155"&amp;C276=KHN&amp;MH,TH))</f>
        <v>3963156</v>
      </c>
      <c r="I276" s="25">
        <f t="array" ref="I276">SUM(IF("155"&amp;C276=KHC&amp;MH,SL))</f>
        <v>338</v>
      </c>
      <c r="J276" s="25">
        <f t="array" ref="J276">SUM(IF("155"&amp;C276=KHC&amp;MH,TH))</f>
        <v>3963156</v>
      </c>
      <c r="K276" s="8">
        <f t="shared" si="36"/>
        <v>0</v>
      </c>
      <c r="L276" s="8">
        <f t="shared" si="37"/>
        <v>0</v>
      </c>
      <c r="M276" s="294"/>
    </row>
    <row r="277" spans="1:13" ht="19.5" customHeight="1">
      <c r="A277" s="294" t="str">
        <f t="shared" ref="A277:A283" si="48">IF(B277&lt;&gt;"","TP","")</f>
        <v>TP</v>
      </c>
      <c r="B277" s="307">
        <f t="shared" ref="B277:B283" si="49">IF(C277&lt;&gt;"",B276+1,"")</f>
        <v>126</v>
      </c>
      <c r="C277" s="298" t="s">
        <v>994</v>
      </c>
      <c r="D277" s="306" t="s">
        <v>1428</v>
      </c>
      <c r="E277" s="8"/>
      <c r="F277" s="8"/>
      <c r="G277" s="25">
        <f t="array" ref="G277">SUM(IF("155"&amp;C277=KHN&amp;MH,SL))</f>
        <v>156</v>
      </c>
      <c r="H277" s="25">
        <f t="array" ref="H277">SUM(IF("155"&amp;C277=KHN&amp;MH,TH))</f>
        <v>2653856</v>
      </c>
      <c r="I277" s="25">
        <f t="array" ref="I277">SUM(IF("155"&amp;C277=KHC&amp;MH,SL))</f>
        <v>156</v>
      </c>
      <c r="J277" s="25">
        <f t="array" ref="J277">SUM(IF("155"&amp;C277=KHC&amp;MH,TH))</f>
        <v>2653856</v>
      </c>
      <c r="K277" s="8">
        <f t="shared" si="36"/>
        <v>0</v>
      </c>
      <c r="L277" s="8">
        <f t="shared" si="37"/>
        <v>0</v>
      </c>
      <c r="M277" s="294"/>
    </row>
    <row r="278" spans="1:13" ht="19.5" customHeight="1">
      <c r="A278" s="294" t="str">
        <f t="shared" si="48"/>
        <v>TP</v>
      </c>
      <c r="B278" s="307">
        <f t="shared" si="49"/>
        <v>127</v>
      </c>
      <c r="C278" s="40" t="s">
        <v>1293</v>
      </c>
      <c r="D278" s="306" t="s">
        <v>1428</v>
      </c>
      <c r="E278" s="8"/>
      <c r="F278" s="8"/>
      <c r="G278" s="25">
        <f t="array" ref="G278">SUM(IF("155"&amp;C278=KHN&amp;MH,SL))</f>
        <v>1012</v>
      </c>
      <c r="H278" s="25">
        <f t="array" ref="H278">SUM(IF("155"&amp;C278=KHN&amp;MH,TH))</f>
        <v>9811624</v>
      </c>
      <c r="I278" s="25">
        <f t="array" ref="I278">SUM(IF("155"&amp;C278=KHC&amp;MH,SL))</f>
        <v>1012</v>
      </c>
      <c r="J278" s="25">
        <f t="array" ref="J278">SUM(IF("155"&amp;C278=KHC&amp;MH,TH))</f>
        <v>9811624</v>
      </c>
      <c r="K278" s="8">
        <f t="shared" si="36"/>
        <v>0</v>
      </c>
      <c r="L278" s="8">
        <f t="shared" si="37"/>
        <v>0</v>
      </c>
      <c r="M278" s="294"/>
    </row>
    <row r="279" spans="1:13" ht="19.5" customHeight="1">
      <c r="A279" s="294" t="str">
        <f t="shared" si="48"/>
        <v>TP</v>
      </c>
      <c r="B279" s="307">
        <f t="shared" si="49"/>
        <v>128</v>
      </c>
      <c r="C279" s="40" t="s">
        <v>1298</v>
      </c>
      <c r="D279" s="306" t="s">
        <v>1428</v>
      </c>
      <c r="E279" s="8"/>
      <c r="F279" s="8"/>
      <c r="G279" s="25">
        <f t="array" ref="G279">SUM(IF("155"&amp;C279=KHN&amp;MH,SL))</f>
        <v>14</v>
      </c>
      <c r="H279" s="25">
        <f t="array" ref="H279">SUM(IF("155"&amp;C279=KHN&amp;MH,TH))</f>
        <v>169215</v>
      </c>
      <c r="I279" s="25">
        <f t="array" ref="I279">SUM(IF("155"&amp;C279=KHC&amp;MH,SL))</f>
        <v>14</v>
      </c>
      <c r="J279" s="25">
        <f t="array" ref="J279">SUM(IF("155"&amp;C279=KHC&amp;MH,TH))</f>
        <v>169215</v>
      </c>
      <c r="K279" s="8">
        <f t="shared" si="36"/>
        <v>0</v>
      </c>
      <c r="L279" s="8">
        <f t="shared" si="37"/>
        <v>0</v>
      </c>
      <c r="M279" s="294"/>
    </row>
    <row r="280" spans="1:13" ht="19.5" customHeight="1">
      <c r="A280" s="294" t="str">
        <f t="shared" si="48"/>
        <v>TP</v>
      </c>
      <c r="B280" s="307">
        <f t="shared" si="49"/>
        <v>129</v>
      </c>
      <c r="C280" s="298" t="s">
        <v>993</v>
      </c>
      <c r="D280" s="306" t="s">
        <v>1428</v>
      </c>
      <c r="E280" s="8"/>
      <c r="F280" s="8"/>
      <c r="G280" s="25">
        <f t="array" ref="G280">SUM(IF("155"&amp;C280=KHN&amp;MH,SL))</f>
        <v>240</v>
      </c>
      <c r="H280" s="25">
        <f t="array" ref="H280">SUM(IF("155"&amp;C280=KHN&amp;MH,TH))</f>
        <v>4638336</v>
      </c>
      <c r="I280" s="25">
        <f t="array" ref="I280">SUM(IF("155"&amp;C280=KHC&amp;MH,SL))</f>
        <v>240</v>
      </c>
      <c r="J280" s="25">
        <f t="array" ref="J280">SUM(IF("155"&amp;C280=KHC&amp;MH,TH))</f>
        <v>4638336</v>
      </c>
      <c r="K280" s="8">
        <f t="shared" ref="K280:K343" si="50">E280+G280-I280</f>
        <v>0</v>
      </c>
      <c r="L280" s="8">
        <f t="shared" ref="L280:L343" si="51">F280+H280-J280</f>
        <v>0</v>
      </c>
      <c r="M280" s="294"/>
    </row>
    <row r="281" spans="1:13" ht="19.5" customHeight="1">
      <c r="A281" s="294" t="str">
        <f t="shared" si="48"/>
        <v>TP</v>
      </c>
      <c r="B281" s="307">
        <f t="shared" si="49"/>
        <v>130</v>
      </c>
      <c r="C281" s="298" t="s">
        <v>921</v>
      </c>
      <c r="D281" s="306" t="s">
        <v>1428</v>
      </c>
      <c r="E281" s="8"/>
      <c r="F281" s="8"/>
      <c r="G281" s="25">
        <f t="array" ref="G281">SUM(IF("155"&amp;C281=KHN&amp;MH,SL))</f>
        <v>33</v>
      </c>
      <c r="H281" s="25">
        <f t="array" ref="H281">SUM(IF("155"&amp;C281=KHN&amp;MH,TH))</f>
        <v>571082</v>
      </c>
      <c r="I281" s="25">
        <f t="array" ref="I281">SUM(IF("155"&amp;C281=KHC&amp;MH,SL))</f>
        <v>33</v>
      </c>
      <c r="J281" s="25">
        <f t="array" ref="J281">SUM(IF("155"&amp;C281=KHC&amp;MH,TH))</f>
        <v>571082</v>
      </c>
      <c r="K281" s="8">
        <f t="shared" si="50"/>
        <v>0</v>
      </c>
      <c r="L281" s="8">
        <f t="shared" si="51"/>
        <v>0</v>
      </c>
      <c r="M281" s="294"/>
    </row>
    <row r="282" spans="1:13" ht="19.5" customHeight="1">
      <c r="A282" s="294" t="str">
        <f t="shared" si="48"/>
        <v>TP</v>
      </c>
      <c r="B282" s="307">
        <f t="shared" si="49"/>
        <v>131</v>
      </c>
      <c r="C282" s="298" t="s">
        <v>935</v>
      </c>
      <c r="D282" s="306" t="s">
        <v>1428</v>
      </c>
      <c r="E282" s="8"/>
      <c r="F282" s="8"/>
      <c r="G282" s="25">
        <f t="array" ref="G282">SUM(IF("155"&amp;C282=KHN&amp;MH,SL))</f>
        <v>55</v>
      </c>
      <c r="H282" s="25">
        <f t="array" ref="H282">SUM(IF("155"&amp;C282=KHN&amp;MH,TH))</f>
        <v>967749</v>
      </c>
      <c r="I282" s="25">
        <f t="array" ref="I282">SUM(IF("155"&amp;C282=KHC&amp;MH,SL))</f>
        <v>55</v>
      </c>
      <c r="J282" s="25">
        <f t="array" ref="J282">SUM(IF("155"&amp;C282=KHC&amp;MH,TH))</f>
        <v>967749</v>
      </c>
      <c r="K282" s="8">
        <f t="shared" si="50"/>
        <v>0</v>
      </c>
      <c r="L282" s="8">
        <f t="shared" si="51"/>
        <v>0</v>
      </c>
      <c r="M282" s="294"/>
    </row>
    <row r="283" spans="1:13" ht="19.5" customHeight="1">
      <c r="A283" s="294" t="str">
        <f t="shared" si="48"/>
        <v>TP</v>
      </c>
      <c r="B283" s="307">
        <f t="shared" si="49"/>
        <v>132</v>
      </c>
      <c r="C283" s="40" t="s">
        <v>1306</v>
      </c>
      <c r="D283" s="306" t="s">
        <v>1428</v>
      </c>
      <c r="E283" s="8"/>
      <c r="F283" s="8"/>
      <c r="G283" s="25">
        <f t="array" ref="G283">SUM(IF("155"&amp;C283=KHN&amp;MH,SL))</f>
        <v>38</v>
      </c>
      <c r="H283" s="25">
        <f t="array" ref="H283">SUM(IF("155"&amp;C283=KHN&amp;MH,TH))</f>
        <v>707749</v>
      </c>
      <c r="I283" s="25">
        <f t="array" ref="I283">SUM(IF("155"&amp;C283=KHC&amp;MH,SL))</f>
        <v>38</v>
      </c>
      <c r="J283" s="25">
        <f t="array" ref="J283">SUM(IF("155"&amp;C283=KHC&amp;MH,TH))</f>
        <v>707749</v>
      </c>
      <c r="K283" s="8">
        <f t="shared" si="50"/>
        <v>0</v>
      </c>
      <c r="L283" s="8">
        <f t="shared" si="51"/>
        <v>0</v>
      </c>
      <c r="M283" s="294"/>
    </row>
    <row r="284" spans="1:13" ht="19.5" customHeight="1">
      <c r="A284" s="294" t="str">
        <f t="shared" ref="A284:A289" si="52">IF(B284&lt;&gt;"","TP","")</f>
        <v>TP</v>
      </c>
      <c r="B284" s="307">
        <f t="shared" ref="B284:B289" si="53">IF(C284&lt;&gt;"",B283+1,"")</f>
        <v>133</v>
      </c>
      <c r="C284" s="298" t="s">
        <v>1014</v>
      </c>
      <c r="D284" s="306" t="s">
        <v>1428</v>
      </c>
      <c r="E284" s="8"/>
      <c r="F284" s="8"/>
      <c r="G284" s="25">
        <f t="array" ref="G284">SUM(IF("155"&amp;C284=KHN&amp;MH,SL))</f>
        <v>55</v>
      </c>
      <c r="H284" s="25">
        <f t="array" ref="H284">SUM(IF("155"&amp;C284=KHN&amp;MH,TH))</f>
        <v>1107062</v>
      </c>
      <c r="I284" s="25">
        <f t="array" ref="I284">SUM(IF("155"&amp;C284=KHC&amp;MH,SL))</f>
        <v>55</v>
      </c>
      <c r="J284" s="25">
        <f t="array" ref="J284">SUM(IF("155"&amp;C284=KHC&amp;MH,TH))</f>
        <v>1107062</v>
      </c>
      <c r="K284" s="8">
        <f t="shared" si="50"/>
        <v>0</v>
      </c>
      <c r="L284" s="8">
        <f t="shared" si="51"/>
        <v>0</v>
      </c>
      <c r="M284" s="294"/>
    </row>
    <row r="285" spans="1:13" ht="19.5" customHeight="1">
      <c r="A285" s="294" t="str">
        <f t="shared" si="52"/>
        <v>TP</v>
      </c>
      <c r="B285" s="307">
        <f t="shared" si="53"/>
        <v>134</v>
      </c>
      <c r="C285" s="298" t="s">
        <v>1002</v>
      </c>
      <c r="D285" s="306" t="s">
        <v>1428</v>
      </c>
      <c r="E285" s="8"/>
      <c r="F285" s="8"/>
      <c r="G285" s="25">
        <f t="array" ref="G285">SUM(IF("155"&amp;C285=KHN&amp;MH,SL))</f>
        <v>2928</v>
      </c>
      <c r="H285" s="25">
        <f t="array" ref="H285">SUM(IF("155"&amp;C285=KHN&amp;MH,TH))</f>
        <v>37960818</v>
      </c>
      <c r="I285" s="25">
        <f t="array" ref="I285">SUM(IF("155"&amp;C285=KHC&amp;MH,SL))</f>
        <v>2928</v>
      </c>
      <c r="J285" s="25">
        <f t="array" ref="J285">SUM(IF("155"&amp;C285=KHC&amp;MH,TH))</f>
        <v>37960818</v>
      </c>
      <c r="K285" s="8">
        <f t="shared" si="50"/>
        <v>0</v>
      </c>
      <c r="L285" s="8">
        <f t="shared" si="51"/>
        <v>0</v>
      </c>
      <c r="M285" s="294"/>
    </row>
    <row r="286" spans="1:13" ht="19.5" customHeight="1">
      <c r="A286" s="294" t="str">
        <f t="shared" si="52"/>
        <v>TP</v>
      </c>
      <c r="B286" s="307">
        <f t="shared" si="53"/>
        <v>135</v>
      </c>
      <c r="C286" s="298" t="s">
        <v>1005</v>
      </c>
      <c r="D286" s="306" t="s">
        <v>1428</v>
      </c>
      <c r="E286" s="8"/>
      <c r="F286" s="8"/>
      <c r="G286" s="25">
        <f t="array" ref="G286">SUM(IF("155"&amp;C286=KHN&amp;MH,SL))</f>
        <v>13</v>
      </c>
      <c r="H286" s="25">
        <f t="array" ref="H286">SUM(IF("155"&amp;C286=KHN&amp;MH,TH))</f>
        <v>178495</v>
      </c>
      <c r="I286" s="25">
        <f t="array" ref="I286">SUM(IF("155"&amp;C286=KHC&amp;MH,SL))</f>
        <v>13</v>
      </c>
      <c r="J286" s="25">
        <f t="array" ref="J286">SUM(IF("155"&amp;C286=KHC&amp;MH,TH))</f>
        <v>178495</v>
      </c>
      <c r="K286" s="8">
        <f t="shared" si="50"/>
        <v>0</v>
      </c>
      <c r="L286" s="8">
        <f t="shared" si="51"/>
        <v>0</v>
      </c>
      <c r="M286" s="294"/>
    </row>
    <row r="287" spans="1:13" ht="19.5" customHeight="1">
      <c r="A287" s="294" t="str">
        <f t="shared" si="52"/>
        <v>TP</v>
      </c>
      <c r="B287" s="307">
        <f t="shared" si="53"/>
        <v>136</v>
      </c>
      <c r="C287" s="192" t="s">
        <v>1269</v>
      </c>
      <c r="D287" s="306" t="s">
        <v>1428</v>
      </c>
      <c r="E287" s="8"/>
      <c r="F287" s="8"/>
      <c r="G287" s="25">
        <f t="array" ref="G287">SUM(IF("155"&amp;C287=KHN&amp;MH,SL))</f>
        <v>291</v>
      </c>
      <c r="H287" s="25">
        <f t="array" ref="H287">SUM(IF("155"&amp;C287=KHN&amp;MH,TH))</f>
        <v>3469519</v>
      </c>
      <c r="I287" s="25">
        <f t="array" ref="I287">SUM(IF("155"&amp;C287=KHC&amp;MH,SL))</f>
        <v>291</v>
      </c>
      <c r="J287" s="25">
        <f t="array" ref="J287">SUM(IF("155"&amp;C287=KHC&amp;MH,TH))</f>
        <v>3469519</v>
      </c>
      <c r="K287" s="8">
        <f t="shared" si="50"/>
        <v>0</v>
      </c>
      <c r="L287" s="8">
        <f t="shared" si="51"/>
        <v>0</v>
      </c>
      <c r="M287" s="294"/>
    </row>
    <row r="288" spans="1:13" ht="19.5" customHeight="1">
      <c r="A288" s="294" t="str">
        <f t="shared" si="52"/>
        <v>TP</v>
      </c>
      <c r="B288" s="307">
        <f t="shared" si="53"/>
        <v>137</v>
      </c>
      <c r="C288" s="298" t="s">
        <v>913</v>
      </c>
      <c r="D288" s="306" t="s">
        <v>1428</v>
      </c>
      <c r="E288" s="8"/>
      <c r="F288" s="8"/>
      <c r="G288" s="25">
        <f t="array" ref="G288">SUM(IF("155"&amp;C288=KHN&amp;MH,SL))</f>
        <v>910</v>
      </c>
      <c r="H288" s="25">
        <f t="array" ref="H288">SUM(IF("155"&amp;C288=KHN&amp;MH,TH))</f>
        <v>12159432</v>
      </c>
      <c r="I288" s="25">
        <f t="array" ref="I288">SUM(IF("155"&amp;C288=KHC&amp;MH,SL))</f>
        <v>910</v>
      </c>
      <c r="J288" s="25">
        <f t="array" ref="J288">SUM(IF("155"&amp;C288=KHC&amp;MH,TH))</f>
        <v>12159432</v>
      </c>
      <c r="K288" s="8">
        <f t="shared" si="50"/>
        <v>0</v>
      </c>
      <c r="L288" s="8">
        <f t="shared" si="51"/>
        <v>0</v>
      </c>
      <c r="M288" s="294"/>
    </row>
    <row r="289" spans="1:13" ht="19.5" customHeight="1">
      <c r="A289" s="294" t="str">
        <f t="shared" si="52"/>
        <v>TP</v>
      </c>
      <c r="B289" s="307">
        <f t="shared" si="53"/>
        <v>138</v>
      </c>
      <c r="C289" s="298" t="s">
        <v>925</v>
      </c>
      <c r="D289" s="306" t="s">
        <v>1428</v>
      </c>
      <c r="E289" s="8"/>
      <c r="F289" s="8"/>
      <c r="G289" s="25">
        <f t="array" ref="G289">SUM(IF("155"&amp;C289=KHN&amp;MH,SL))</f>
        <v>41</v>
      </c>
      <c r="H289" s="25">
        <f t="array" ref="H289">SUM(IF("155"&amp;C289=KHN&amp;MH,TH))</f>
        <v>607067</v>
      </c>
      <c r="I289" s="25">
        <f t="array" ref="I289">SUM(IF("155"&amp;C289=KHC&amp;MH,SL))</f>
        <v>41</v>
      </c>
      <c r="J289" s="25">
        <f t="array" ref="J289">SUM(IF("155"&amp;C289=KHC&amp;MH,TH))</f>
        <v>607067</v>
      </c>
      <c r="K289" s="8">
        <f t="shared" si="50"/>
        <v>0</v>
      </c>
      <c r="L289" s="8">
        <f t="shared" si="51"/>
        <v>0</v>
      </c>
      <c r="M289" s="294"/>
    </row>
    <row r="290" spans="1:13" ht="19.5" customHeight="1">
      <c r="A290" s="294" t="str">
        <f t="shared" ref="A290:A296" si="54">IF(B290&lt;&gt;"","TP","")</f>
        <v>TP</v>
      </c>
      <c r="B290" s="307">
        <f t="shared" ref="B290:B296" si="55">IF(C290&lt;&gt;"",B289+1,"")</f>
        <v>139</v>
      </c>
      <c r="C290" s="192" t="s">
        <v>1272</v>
      </c>
      <c r="D290" s="306" t="s">
        <v>1428</v>
      </c>
      <c r="E290" s="8"/>
      <c r="F290" s="8"/>
      <c r="G290" s="25">
        <f t="array" ref="G290">SUM(IF("155"&amp;C290=KHN&amp;MH,SL))</f>
        <v>300</v>
      </c>
      <c r="H290" s="25">
        <f t="array" ref="H290">SUM(IF("155"&amp;C290=KHN&amp;MH,TH))</f>
        <v>2788591</v>
      </c>
      <c r="I290" s="25">
        <f t="array" ref="I290">SUM(IF("155"&amp;C290=KHC&amp;MH,SL))</f>
        <v>300</v>
      </c>
      <c r="J290" s="25">
        <f t="array" ref="J290">SUM(IF("155"&amp;C290=KHC&amp;MH,TH))</f>
        <v>2788591</v>
      </c>
      <c r="K290" s="8">
        <f t="shared" si="50"/>
        <v>0</v>
      </c>
      <c r="L290" s="8">
        <f t="shared" si="51"/>
        <v>0</v>
      </c>
      <c r="M290" s="294"/>
    </row>
    <row r="291" spans="1:13" ht="19.5" customHeight="1">
      <c r="A291" s="294" t="str">
        <f t="shared" si="54"/>
        <v>TP</v>
      </c>
      <c r="B291" s="307">
        <f t="shared" si="55"/>
        <v>140</v>
      </c>
      <c r="C291" s="192" t="s">
        <v>1259</v>
      </c>
      <c r="D291" s="306" t="s">
        <v>1428</v>
      </c>
      <c r="E291" s="8"/>
      <c r="F291" s="8"/>
      <c r="G291" s="25">
        <f t="array" ref="G291">SUM(IF("155"&amp;C291=KHN&amp;MH,SL))</f>
        <v>317</v>
      </c>
      <c r="H291" s="25">
        <f t="array" ref="H291">SUM(IF("155"&amp;C291=KHN&amp;MH,TH))</f>
        <v>3134116</v>
      </c>
      <c r="I291" s="25">
        <f t="array" ref="I291">SUM(IF("155"&amp;C291=KHC&amp;MH,SL))</f>
        <v>317</v>
      </c>
      <c r="J291" s="25">
        <f t="array" ref="J291">SUM(IF("155"&amp;C291=KHC&amp;MH,TH))</f>
        <v>3134116</v>
      </c>
      <c r="K291" s="8">
        <f t="shared" si="50"/>
        <v>0</v>
      </c>
      <c r="L291" s="8">
        <f t="shared" si="51"/>
        <v>0</v>
      </c>
      <c r="M291" s="294"/>
    </row>
    <row r="292" spans="1:13" ht="19.5" customHeight="1">
      <c r="A292" s="294" t="str">
        <f t="shared" si="54"/>
        <v>TP</v>
      </c>
      <c r="B292" s="307">
        <f t="shared" si="55"/>
        <v>141</v>
      </c>
      <c r="C292" s="40" t="s">
        <v>1299</v>
      </c>
      <c r="D292" s="306" t="s">
        <v>1428</v>
      </c>
      <c r="E292" s="8"/>
      <c r="F292" s="8"/>
      <c r="G292" s="25">
        <f t="array" ref="G292">SUM(IF("155"&amp;C292=KHN&amp;MH,SL))</f>
        <v>45</v>
      </c>
      <c r="H292" s="25">
        <f t="array" ref="H292">SUM(IF("155"&amp;C292=KHN&amp;MH,TH))</f>
        <v>686362</v>
      </c>
      <c r="I292" s="25">
        <f t="array" ref="I292">SUM(IF("155"&amp;C292=KHC&amp;MH,SL))</f>
        <v>45</v>
      </c>
      <c r="J292" s="25">
        <f t="array" ref="J292">SUM(IF("155"&amp;C292=KHC&amp;MH,TH))</f>
        <v>686362</v>
      </c>
      <c r="K292" s="8">
        <f t="shared" si="50"/>
        <v>0</v>
      </c>
      <c r="L292" s="8">
        <f t="shared" si="51"/>
        <v>0</v>
      </c>
      <c r="M292" s="294"/>
    </row>
    <row r="293" spans="1:13" ht="19.5" customHeight="1">
      <c r="A293" s="294" t="str">
        <f t="shared" si="54"/>
        <v>TP</v>
      </c>
      <c r="B293" s="307">
        <f t="shared" si="55"/>
        <v>142</v>
      </c>
      <c r="C293" s="40" t="s">
        <v>1395</v>
      </c>
      <c r="D293" s="306" t="s">
        <v>1428</v>
      </c>
      <c r="E293" s="8"/>
      <c r="F293" s="8"/>
      <c r="G293" s="25">
        <f t="array" ref="G293">SUM(IF("155"&amp;C293=KHN&amp;MH,SL))</f>
        <v>2</v>
      </c>
      <c r="H293" s="25">
        <f t="array" ref="H293">SUM(IF("155"&amp;C293=KHN&amp;MH,TH))</f>
        <v>30505</v>
      </c>
      <c r="I293" s="25">
        <f t="array" ref="I293">SUM(IF("155"&amp;C293=KHC&amp;MH,SL))</f>
        <v>2</v>
      </c>
      <c r="J293" s="25">
        <f t="array" ref="J293">SUM(IF("155"&amp;C293=KHC&amp;MH,TH))</f>
        <v>30505</v>
      </c>
      <c r="K293" s="8">
        <f t="shared" si="50"/>
        <v>0</v>
      </c>
      <c r="L293" s="8">
        <f t="shared" si="51"/>
        <v>0</v>
      </c>
      <c r="M293" s="294"/>
    </row>
    <row r="294" spans="1:13" ht="19.5" customHeight="1">
      <c r="A294" s="294" t="str">
        <f t="shared" si="54"/>
        <v>TP</v>
      </c>
      <c r="B294" s="307">
        <f t="shared" si="55"/>
        <v>143</v>
      </c>
      <c r="C294" s="298" t="s">
        <v>743</v>
      </c>
      <c r="D294" s="306" t="s">
        <v>1428</v>
      </c>
      <c r="E294" s="8"/>
      <c r="F294" s="8"/>
      <c r="G294" s="25">
        <f t="array" ref="G294">SUM(IF("155"&amp;C294=KHN&amp;MH,SL))</f>
        <v>722</v>
      </c>
      <c r="H294" s="25">
        <f t="array" ref="H294">SUM(IF("155"&amp;C294=KHN&amp;MH,TH))</f>
        <v>13312169</v>
      </c>
      <c r="I294" s="25">
        <f t="array" ref="I294">SUM(IF("155"&amp;C294=KHC&amp;MH,SL))</f>
        <v>722</v>
      </c>
      <c r="J294" s="25">
        <f t="array" ref="J294">SUM(IF("155"&amp;C294=KHC&amp;MH,TH))</f>
        <v>13312169</v>
      </c>
      <c r="K294" s="8">
        <f t="shared" si="50"/>
        <v>0</v>
      </c>
      <c r="L294" s="8">
        <f t="shared" si="51"/>
        <v>0</v>
      </c>
      <c r="M294" s="294"/>
    </row>
    <row r="295" spans="1:13" ht="19.5" customHeight="1">
      <c r="A295" s="294" t="str">
        <f t="shared" si="54"/>
        <v>TP</v>
      </c>
      <c r="B295" s="307">
        <f t="shared" si="55"/>
        <v>144</v>
      </c>
      <c r="C295" s="298" t="s">
        <v>936</v>
      </c>
      <c r="D295" s="306" t="s">
        <v>1428</v>
      </c>
      <c r="E295" s="8"/>
      <c r="F295" s="8"/>
      <c r="G295" s="25">
        <f t="array" ref="G295">SUM(IF("155"&amp;C295=KHN&amp;MH,SL))</f>
        <v>40</v>
      </c>
      <c r="H295" s="25">
        <f t="array" ref="H295">SUM(IF("155"&amp;C295=KHN&amp;MH,TH))</f>
        <v>534481</v>
      </c>
      <c r="I295" s="25">
        <f t="array" ref="I295">SUM(IF("155"&amp;C295=KHC&amp;MH,SL))</f>
        <v>40</v>
      </c>
      <c r="J295" s="25">
        <f t="array" ref="J295">SUM(IF("155"&amp;C295=KHC&amp;MH,TH))</f>
        <v>534481</v>
      </c>
      <c r="K295" s="8">
        <f t="shared" si="50"/>
        <v>0</v>
      </c>
      <c r="L295" s="8">
        <f t="shared" si="51"/>
        <v>0</v>
      </c>
      <c r="M295" s="294"/>
    </row>
    <row r="296" spans="1:13" ht="19.5" customHeight="1">
      <c r="A296" s="294" t="str">
        <f t="shared" si="54"/>
        <v>TP</v>
      </c>
      <c r="B296" s="307">
        <f t="shared" si="55"/>
        <v>145</v>
      </c>
      <c r="C296" s="40" t="s">
        <v>1373</v>
      </c>
      <c r="D296" s="306" t="s">
        <v>1428</v>
      </c>
      <c r="E296" s="8"/>
      <c r="F296" s="8"/>
      <c r="G296" s="25">
        <f t="array" ref="G296">SUM(IF("155"&amp;C296=KHN&amp;MH,SL))</f>
        <v>232</v>
      </c>
      <c r="H296" s="25">
        <f t="array" ref="H296">SUM(IF("155"&amp;C296=KHN&amp;MH,TH))</f>
        <v>4115101</v>
      </c>
      <c r="I296" s="25">
        <f t="array" ref="I296">SUM(IF("155"&amp;C296=KHC&amp;MH,SL))</f>
        <v>232</v>
      </c>
      <c r="J296" s="25">
        <f t="array" ref="J296">SUM(IF("155"&amp;C296=KHC&amp;MH,TH))</f>
        <v>4115101</v>
      </c>
      <c r="K296" s="8">
        <f t="shared" si="50"/>
        <v>0</v>
      </c>
      <c r="L296" s="8">
        <f t="shared" si="51"/>
        <v>0</v>
      </c>
      <c r="M296" s="294"/>
    </row>
    <row r="297" spans="1:13" ht="19.5" customHeight="1">
      <c r="A297" s="294" t="str">
        <f>IF(B297&lt;&gt;"","TP","")</f>
        <v>TP</v>
      </c>
      <c r="B297" s="307">
        <f>IF(C297&lt;&gt;"",B296+1,"")</f>
        <v>146</v>
      </c>
      <c r="C297" s="40" t="s">
        <v>1363</v>
      </c>
      <c r="D297" s="306" t="s">
        <v>1428</v>
      </c>
      <c r="E297" s="8"/>
      <c r="F297" s="8"/>
      <c r="G297" s="25">
        <f t="array" ref="G297">SUM(IF("155"&amp;C297=KHN&amp;MH,SL))</f>
        <v>379</v>
      </c>
      <c r="H297" s="25">
        <f t="array" ref="H297">SUM(IF("155"&amp;C297=KHN&amp;MH,TH))</f>
        <v>7076880</v>
      </c>
      <c r="I297" s="25">
        <f t="array" ref="I297">SUM(IF("155"&amp;C297=KHC&amp;MH,SL))</f>
        <v>379</v>
      </c>
      <c r="J297" s="25">
        <f t="array" ref="J297">SUM(IF("155"&amp;C297=KHC&amp;MH,TH))</f>
        <v>7076880</v>
      </c>
      <c r="K297" s="8">
        <f t="shared" si="50"/>
        <v>0</v>
      </c>
      <c r="L297" s="8">
        <f t="shared" si="51"/>
        <v>0</v>
      </c>
      <c r="M297" s="294"/>
    </row>
    <row r="298" spans="1:13" ht="19.5" customHeight="1">
      <c r="A298" s="294" t="str">
        <f t="shared" ref="A298:A308" si="56">IF(B298&lt;&gt;"","TP","")</f>
        <v>TP</v>
      </c>
      <c r="B298" s="307">
        <f t="shared" ref="B298:B300" si="57">IF(C298&lt;&gt;"",B297+1,"")</f>
        <v>147</v>
      </c>
      <c r="C298" s="40" t="s">
        <v>1364</v>
      </c>
      <c r="D298" s="306" t="s">
        <v>1428</v>
      </c>
      <c r="E298" s="8"/>
      <c r="F298" s="8"/>
      <c r="G298" s="25">
        <f t="array" ref="G298">SUM(IF("155"&amp;C298=KHN&amp;MH,SL))</f>
        <v>905</v>
      </c>
      <c r="H298" s="25">
        <f t="array" ref="H298">SUM(IF("155"&amp;C298=KHN&amp;MH,TH))</f>
        <v>16299139</v>
      </c>
      <c r="I298" s="25">
        <f t="array" ref="I298">SUM(IF("155"&amp;C298=KHC&amp;MH,SL))</f>
        <v>905</v>
      </c>
      <c r="J298" s="25">
        <f t="array" ref="J298">SUM(IF("155"&amp;C298=KHC&amp;MH,TH))</f>
        <v>16299139</v>
      </c>
      <c r="K298" s="8">
        <f t="shared" si="50"/>
        <v>0</v>
      </c>
      <c r="L298" s="8">
        <f t="shared" si="51"/>
        <v>0</v>
      </c>
      <c r="M298" s="294"/>
    </row>
    <row r="299" spans="1:13" ht="19.5" customHeight="1">
      <c r="A299" s="294" t="str">
        <f t="shared" si="56"/>
        <v>TP</v>
      </c>
      <c r="B299" s="307">
        <f t="shared" si="57"/>
        <v>148</v>
      </c>
      <c r="C299" s="298" t="s">
        <v>893</v>
      </c>
      <c r="D299" s="306" t="s">
        <v>1428</v>
      </c>
      <c r="E299" s="8"/>
      <c r="F299" s="8"/>
      <c r="G299" s="25">
        <f t="array" ref="G299">SUM(IF("155"&amp;C299=KHN&amp;MH,SL))</f>
        <v>51</v>
      </c>
      <c r="H299" s="25">
        <f t="array" ref="H299">SUM(IF("155"&amp;C299=KHN&amp;MH,TH))</f>
        <v>1334235</v>
      </c>
      <c r="I299" s="25">
        <f t="array" ref="I299">SUM(IF("155"&amp;C299=KHC&amp;MH,SL))</f>
        <v>51</v>
      </c>
      <c r="J299" s="25">
        <f t="array" ref="J299">SUM(IF("155"&amp;C299=KHC&amp;MH,TH))</f>
        <v>1334235</v>
      </c>
      <c r="K299" s="8">
        <f t="shared" si="50"/>
        <v>0</v>
      </c>
      <c r="L299" s="8">
        <f t="shared" si="51"/>
        <v>0</v>
      </c>
      <c r="M299" s="294"/>
    </row>
    <row r="300" spans="1:13" ht="19.5" customHeight="1">
      <c r="A300" s="294" t="str">
        <f t="shared" si="56"/>
        <v>TP</v>
      </c>
      <c r="B300" s="307">
        <f t="shared" si="57"/>
        <v>149</v>
      </c>
      <c r="C300" s="298" t="s">
        <v>1039</v>
      </c>
      <c r="D300" s="306" t="s">
        <v>1428</v>
      </c>
      <c r="E300" s="8"/>
      <c r="F300" s="8"/>
      <c r="G300" s="25">
        <f t="array" ref="G300">SUM(IF("155"&amp;C300=KHN&amp;MH,SL))</f>
        <v>110</v>
      </c>
      <c r="H300" s="25">
        <f t="array" ref="H300">SUM(IF("155"&amp;C300=KHN&amp;MH,TH))</f>
        <v>907324</v>
      </c>
      <c r="I300" s="25">
        <f t="array" ref="I300">SUM(IF("155"&amp;C300=KHC&amp;MH,SL))</f>
        <v>110</v>
      </c>
      <c r="J300" s="25">
        <f t="array" ref="J300">SUM(IF("155"&amp;C300=KHC&amp;MH,TH))</f>
        <v>907324</v>
      </c>
      <c r="K300" s="8">
        <f t="shared" si="50"/>
        <v>0</v>
      </c>
      <c r="L300" s="8">
        <f t="shared" si="51"/>
        <v>0</v>
      </c>
      <c r="M300" s="294"/>
    </row>
    <row r="301" spans="1:13" ht="19.5" customHeight="1">
      <c r="A301" s="294" t="str">
        <f t="shared" si="56"/>
        <v>TP</v>
      </c>
      <c r="B301" s="307">
        <f t="shared" ref="B301:B308" si="58">IF(C301&lt;&gt;"",B300+1,"")</f>
        <v>150</v>
      </c>
      <c r="C301" s="298" t="s">
        <v>1038</v>
      </c>
      <c r="D301" s="306" t="s">
        <v>1428</v>
      </c>
      <c r="E301" s="8"/>
      <c r="F301" s="8"/>
      <c r="G301" s="25">
        <f t="array" ref="G301">SUM(IF("155"&amp;C301=KHN&amp;MH,SL))</f>
        <v>290</v>
      </c>
      <c r="H301" s="25">
        <f t="array" ref="H301">SUM(IF("155"&amp;C301=KHN&amp;MH,TH))</f>
        <v>3013721</v>
      </c>
      <c r="I301" s="25">
        <f t="array" ref="I301">SUM(IF("155"&amp;C301=KHC&amp;MH,SL))</f>
        <v>290</v>
      </c>
      <c r="J301" s="25">
        <f t="array" ref="J301">SUM(IF("155"&amp;C301=KHC&amp;MH,TH))</f>
        <v>3013721</v>
      </c>
      <c r="K301" s="8">
        <f t="shared" si="50"/>
        <v>0</v>
      </c>
      <c r="L301" s="8">
        <f t="shared" si="51"/>
        <v>0</v>
      </c>
      <c r="M301" s="294"/>
    </row>
    <row r="302" spans="1:13" ht="19.5" customHeight="1">
      <c r="A302" s="294" t="str">
        <f t="shared" si="56"/>
        <v>TP</v>
      </c>
      <c r="B302" s="307">
        <f t="shared" si="58"/>
        <v>151</v>
      </c>
      <c r="C302" s="192" t="s">
        <v>1262</v>
      </c>
      <c r="D302" s="306" t="s">
        <v>1428</v>
      </c>
      <c r="E302" s="8"/>
      <c r="F302" s="8"/>
      <c r="G302" s="25">
        <f t="array" ref="G302">SUM(IF("155"&amp;C302=KHN&amp;MH,SL))</f>
        <v>428</v>
      </c>
      <c r="H302" s="25">
        <f t="array" ref="H302">SUM(IF("155"&amp;C302=KHN&amp;MH,TH))</f>
        <v>5043567</v>
      </c>
      <c r="I302" s="25">
        <f t="array" ref="I302">SUM(IF("155"&amp;C302=KHC&amp;MH,SL))</f>
        <v>428</v>
      </c>
      <c r="J302" s="25">
        <f t="array" ref="J302">SUM(IF("155"&amp;C302=KHC&amp;MH,TH))</f>
        <v>5043567</v>
      </c>
      <c r="K302" s="8">
        <f t="shared" si="50"/>
        <v>0</v>
      </c>
      <c r="L302" s="8">
        <f t="shared" si="51"/>
        <v>0</v>
      </c>
      <c r="M302" s="294"/>
    </row>
    <row r="303" spans="1:13" ht="19.5" customHeight="1">
      <c r="A303" s="294" t="str">
        <f t="shared" si="56"/>
        <v>TP</v>
      </c>
      <c r="B303" s="307">
        <f t="shared" si="58"/>
        <v>152</v>
      </c>
      <c r="C303" s="192" t="s">
        <v>1264</v>
      </c>
      <c r="D303" s="306" t="s">
        <v>1428</v>
      </c>
      <c r="E303" s="8"/>
      <c r="F303" s="8"/>
      <c r="G303" s="25">
        <f t="array" ref="G303">SUM(IF("155"&amp;C303=KHN&amp;MH,SL))</f>
        <v>425</v>
      </c>
      <c r="H303" s="25">
        <f t="array" ref="H303">SUM(IF("155"&amp;C303=KHN&amp;MH,TH))</f>
        <v>5300385</v>
      </c>
      <c r="I303" s="25">
        <f t="array" ref="I303">SUM(IF("155"&amp;C303=KHC&amp;MH,SL))</f>
        <v>425</v>
      </c>
      <c r="J303" s="25">
        <f t="array" ref="J303">SUM(IF("155"&amp;C303=KHC&amp;MH,TH))</f>
        <v>5300385</v>
      </c>
      <c r="K303" s="8">
        <f t="shared" si="50"/>
        <v>0</v>
      </c>
      <c r="L303" s="8">
        <f t="shared" si="51"/>
        <v>0</v>
      </c>
      <c r="M303" s="294"/>
    </row>
    <row r="304" spans="1:13" ht="19.5" customHeight="1">
      <c r="A304" s="294" t="str">
        <f t="shared" si="56"/>
        <v>TP</v>
      </c>
      <c r="B304" s="307">
        <f t="shared" si="58"/>
        <v>153</v>
      </c>
      <c r="C304" s="40" t="s">
        <v>1308</v>
      </c>
      <c r="D304" s="306" t="s">
        <v>1428</v>
      </c>
      <c r="E304" s="8"/>
      <c r="F304" s="8"/>
      <c r="G304" s="25">
        <f t="array" ref="G304">SUM(IF("155"&amp;C304=KHN&amp;MH,SL))</f>
        <v>8</v>
      </c>
      <c r="H304" s="25">
        <f t="array" ref="H304">SUM(IF("155"&amp;C304=KHN&amp;MH,TH))</f>
        <v>123227</v>
      </c>
      <c r="I304" s="25">
        <f t="array" ref="I304">SUM(IF("155"&amp;C304=KHC&amp;MH,SL))</f>
        <v>8</v>
      </c>
      <c r="J304" s="25">
        <f t="array" ref="J304">SUM(IF("155"&amp;C304=KHC&amp;MH,TH))</f>
        <v>123227</v>
      </c>
      <c r="K304" s="8">
        <f t="shared" si="50"/>
        <v>0</v>
      </c>
      <c r="L304" s="8">
        <f t="shared" si="51"/>
        <v>0</v>
      </c>
      <c r="M304" s="294"/>
    </row>
    <row r="305" spans="1:13" ht="19.5" customHeight="1">
      <c r="A305" s="294" t="str">
        <f t="shared" si="56"/>
        <v>TP</v>
      </c>
      <c r="B305" s="307">
        <f t="shared" si="58"/>
        <v>154</v>
      </c>
      <c r="C305" s="298" t="s">
        <v>1013</v>
      </c>
      <c r="D305" s="306" t="s">
        <v>1428</v>
      </c>
      <c r="E305" s="8"/>
      <c r="F305" s="8"/>
      <c r="G305" s="25">
        <f t="array" ref="G305">SUM(IF("155"&amp;C305=KHN&amp;MH,SL))</f>
        <v>97</v>
      </c>
      <c r="H305" s="25">
        <f t="array" ref="H305">SUM(IF("155"&amp;C305=KHN&amp;MH,TH))</f>
        <v>1815346</v>
      </c>
      <c r="I305" s="25">
        <f t="array" ref="I305">SUM(IF("155"&amp;C305=KHC&amp;MH,SL))</f>
        <v>97</v>
      </c>
      <c r="J305" s="25">
        <f t="array" ref="J305">SUM(IF("155"&amp;C305=KHC&amp;MH,TH))</f>
        <v>1815346</v>
      </c>
      <c r="K305" s="8">
        <f t="shared" si="50"/>
        <v>0</v>
      </c>
      <c r="L305" s="8">
        <f t="shared" si="51"/>
        <v>0</v>
      </c>
      <c r="M305" s="294"/>
    </row>
    <row r="306" spans="1:13" ht="19.5" customHeight="1">
      <c r="A306" s="294" t="str">
        <f t="shared" si="56"/>
        <v>TP</v>
      </c>
      <c r="B306" s="307">
        <f t="shared" si="58"/>
        <v>155</v>
      </c>
      <c r="C306" s="298" t="s">
        <v>912</v>
      </c>
      <c r="D306" s="306" t="s">
        <v>1428</v>
      </c>
      <c r="E306" s="8"/>
      <c r="F306" s="8"/>
      <c r="G306" s="25">
        <f t="array" ref="G306">SUM(IF("155"&amp;C306=KHN&amp;MH,SL))</f>
        <v>47</v>
      </c>
      <c r="H306" s="25">
        <f t="array" ref="H306">SUM(IF("155"&amp;C306=KHN&amp;MH,TH))</f>
        <v>899698</v>
      </c>
      <c r="I306" s="25">
        <f t="array" ref="I306">SUM(IF("155"&amp;C306=KHC&amp;MH,SL))</f>
        <v>47</v>
      </c>
      <c r="J306" s="25">
        <f t="array" ref="J306">SUM(IF("155"&amp;C306=KHC&amp;MH,TH))</f>
        <v>899698</v>
      </c>
      <c r="K306" s="8">
        <f t="shared" si="50"/>
        <v>0</v>
      </c>
      <c r="L306" s="8">
        <f t="shared" si="51"/>
        <v>0</v>
      </c>
      <c r="M306" s="294"/>
    </row>
    <row r="307" spans="1:13" ht="19.5" customHeight="1">
      <c r="A307" s="294" t="str">
        <f t="shared" si="56"/>
        <v>TP</v>
      </c>
      <c r="B307" s="307">
        <f t="shared" si="58"/>
        <v>156</v>
      </c>
      <c r="C307" s="298" t="s">
        <v>753</v>
      </c>
      <c r="D307" s="306" t="s">
        <v>1428</v>
      </c>
      <c r="E307" s="8"/>
      <c r="F307" s="8"/>
      <c r="G307" s="25">
        <f t="array" ref="G307">SUM(IF("155"&amp;C307=KHN&amp;MH,SL))</f>
        <v>53</v>
      </c>
      <c r="H307" s="25">
        <f t="array" ref="H307">SUM(IF("155"&amp;C307=KHN&amp;MH,TH))</f>
        <v>727586</v>
      </c>
      <c r="I307" s="25">
        <f t="array" ref="I307">SUM(IF("155"&amp;C307=KHC&amp;MH,SL))</f>
        <v>53</v>
      </c>
      <c r="J307" s="25">
        <f t="array" ref="J307">SUM(IF("155"&amp;C307=KHC&amp;MH,TH))</f>
        <v>727586</v>
      </c>
      <c r="K307" s="8">
        <f t="shared" si="50"/>
        <v>0</v>
      </c>
      <c r="L307" s="8">
        <f t="shared" si="51"/>
        <v>0</v>
      </c>
      <c r="M307" s="294"/>
    </row>
    <row r="308" spans="1:13" ht="19.5" customHeight="1">
      <c r="A308" s="294" t="str">
        <f t="shared" si="56"/>
        <v>TP</v>
      </c>
      <c r="B308" s="307">
        <f t="shared" si="58"/>
        <v>157</v>
      </c>
      <c r="C308" s="298" t="s">
        <v>1011</v>
      </c>
      <c r="D308" s="306" t="s">
        <v>1428</v>
      </c>
      <c r="E308" s="8"/>
      <c r="F308" s="8"/>
      <c r="G308" s="25">
        <f t="array" ref="G308">SUM(IF("155"&amp;C308=KHN&amp;MH,SL))</f>
        <v>5</v>
      </c>
      <c r="H308" s="25">
        <f t="array" ref="H308">SUM(IF("155"&amp;C308=KHN&amp;MH,TH))</f>
        <v>83037</v>
      </c>
      <c r="I308" s="25">
        <f t="array" ref="I308">SUM(IF("155"&amp;C308=KHC&amp;MH,SL))</f>
        <v>5</v>
      </c>
      <c r="J308" s="25">
        <f t="array" ref="J308">SUM(IF("155"&amp;C308=KHC&amp;MH,TH))</f>
        <v>83037</v>
      </c>
      <c r="K308" s="8">
        <f t="shared" si="50"/>
        <v>0</v>
      </c>
      <c r="L308" s="8">
        <f t="shared" si="51"/>
        <v>0</v>
      </c>
      <c r="M308" s="294"/>
    </row>
    <row r="309" spans="1:13" ht="19.5" customHeight="1">
      <c r="A309" s="294" t="str">
        <f t="shared" ref="A309:A316" si="59">IF(B309&lt;&gt;"","TP","")</f>
        <v>TP</v>
      </c>
      <c r="B309" s="307">
        <f t="shared" ref="B309:B316" si="60">IF(C309&lt;&gt;"",B308+1,"")</f>
        <v>158</v>
      </c>
      <c r="C309" s="298" t="s">
        <v>911</v>
      </c>
      <c r="D309" s="306" t="s">
        <v>1428</v>
      </c>
      <c r="E309" s="8"/>
      <c r="F309" s="8"/>
      <c r="G309" s="25">
        <f t="array" ref="G309">SUM(IF("155"&amp;C309=KHN&amp;MH,SL))</f>
        <v>17</v>
      </c>
      <c r="H309" s="25">
        <f t="array" ref="H309">SUM(IF("155"&amp;C309=KHN&amp;MH,TH))</f>
        <v>376122</v>
      </c>
      <c r="I309" s="25">
        <f t="array" ref="I309">SUM(IF("155"&amp;C309=KHC&amp;MH,SL))</f>
        <v>17</v>
      </c>
      <c r="J309" s="25">
        <f t="array" ref="J309">SUM(IF("155"&amp;C309=KHC&amp;MH,TH))</f>
        <v>376122</v>
      </c>
      <c r="K309" s="8">
        <f t="shared" si="50"/>
        <v>0</v>
      </c>
      <c r="L309" s="8">
        <f t="shared" si="51"/>
        <v>0</v>
      </c>
      <c r="M309" s="294"/>
    </row>
    <row r="310" spans="1:13" ht="19.5" customHeight="1">
      <c r="A310" s="294" t="str">
        <f t="shared" si="59"/>
        <v>TP</v>
      </c>
      <c r="B310" s="307">
        <f t="shared" si="60"/>
        <v>159</v>
      </c>
      <c r="C310" s="298" t="s">
        <v>885</v>
      </c>
      <c r="D310" s="306" t="s">
        <v>1428</v>
      </c>
      <c r="E310" s="8"/>
      <c r="F310" s="8"/>
      <c r="G310" s="25">
        <f t="array" ref="G310">SUM(IF("155"&amp;C310=KHN&amp;MH,SL))</f>
        <v>675</v>
      </c>
      <c r="H310" s="25">
        <f t="array" ref="H310">SUM(IF("155"&amp;C310=KHN&amp;MH,TH))</f>
        <v>16260659</v>
      </c>
      <c r="I310" s="25">
        <f t="array" ref="I310">SUM(IF("155"&amp;C310=KHC&amp;MH,SL))</f>
        <v>675</v>
      </c>
      <c r="J310" s="25">
        <f t="array" ref="J310">SUM(IF("155"&amp;C310=KHC&amp;MH,TH))</f>
        <v>16260659</v>
      </c>
      <c r="K310" s="8">
        <f t="shared" si="50"/>
        <v>0</v>
      </c>
      <c r="L310" s="8">
        <f t="shared" si="51"/>
        <v>0</v>
      </c>
      <c r="M310" s="294"/>
    </row>
    <row r="311" spans="1:13" ht="19.5" customHeight="1">
      <c r="A311" s="294" t="str">
        <f t="shared" si="59"/>
        <v>TP</v>
      </c>
      <c r="B311" s="307">
        <f t="shared" si="60"/>
        <v>160</v>
      </c>
      <c r="C311" s="298" t="s">
        <v>938</v>
      </c>
      <c r="D311" s="306" t="s">
        <v>1428</v>
      </c>
      <c r="E311" s="8"/>
      <c r="F311" s="8"/>
      <c r="G311" s="25">
        <f t="array" ref="G311">SUM(IF("155"&amp;C311=KHN&amp;MH,SL))</f>
        <v>9</v>
      </c>
      <c r="H311" s="25">
        <f t="array" ref="H311">SUM(IF("155"&amp;C311=KHN&amp;MH,TH))</f>
        <v>169079</v>
      </c>
      <c r="I311" s="25">
        <f t="array" ref="I311">SUM(IF("155"&amp;C311=KHC&amp;MH,SL))</f>
        <v>9</v>
      </c>
      <c r="J311" s="25">
        <f t="array" ref="J311">SUM(IF("155"&amp;C311=KHC&amp;MH,TH))</f>
        <v>169079</v>
      </c>
      <c r="K311" s="8">
        <f t="shared" si="50"/>
        <v>0</v>
      </c>
      <c r="L311" s="8">
        <f t="shared" si="51"/>
        <v>0</v>
      </c>
      <c r="M311" s="294"/>
    </row>
    <row r="312" spans="1:13" ht="19.5" customHeight="1">
      <c r="A312" s="294" t="str">
        <f t="shared" si="59"/>
        <v>TP</v>
      </c>
      <c r="B312" s="307">
        <f t="shared" si="60"/>
        <v>161</v>
      </c>
      <c r="C312" s="40" t="s">
        <v>1365</v>
      </c>
      <c r="D312" s="306" t="s">
        <v>1428</v>
      </c>
      <c r="E312" s="8"/>
      <c r="F312" s="8"/>
      <c r="G312" s="25">
        <f t="array" ref="G312">SUM(IF("155"&amp;C312=KHN&amp;MH,SL))</f>
        <v>72</v>
      </c>
      <c r="H312" s="25">
        <f t="array" ref="H312">SUM(IF("155"&amp;C312=KHN&amp;MH,TH))</f>
        <v>1062252</v>
      </c>
      <c r="I312" s="25">
        <f t="array" ref="I312">SUM(IF("155"&amp;C312=KHC&amp;MH,SL))</f>
        <v>72</v>
      </c>
      <c r="J312" s="25">
        <f t="array" ref="J312">SUM(IF("155"&amp;C312=KHC&amp;MH,TH))</f>
        <v>1062252</v>
      </c>
      <c r="K312" s="8">
        <f t="shared" si="50"/>
        <v>0</v>
      </c>
      <c r="L312" s="8">
        <f t="shared" si="51"/>
        <v>0</v>
      </c>
      <c r="M312" s="294"/>
    </row>
    <row r="313" spans="1:13" ht="19.5" customHeight="1">
      <c r="A313" s="294" t="str">
        <f t="shared" si="59"/>
        <v>TP</v>
      </c>
      <c r="B313" s="307">
        <f t="shared" si="60"/>
        <v>162</v>
      </c>
      <c r="C313" s="298" t="s">
        <v>759</v>
      </c>
      <c r="D313" s="306" t="s">
        <v>1428</v>
      </c>
      <c r="E313" s="8"/>
      <c r="F313" s="8"/>
      <c r="G313" s="25">
        <f t="array" ref="G313">SUM(IF("155"&amp;C313=KHN&amp;MH,SL))</f>
        <v>66</v>
      </c>
      <c r="H313" s="25">
        <f t="array" ref="H313">SUM(IF("155"&amp;C313=KHN&amp;MH,TH))</f>
        <v>932349</v>
      </c>
      <c r="I313" s="25">
        <f t="array" ref="I313">SUM(IF("155"&amp;C313=KHC&amp;MH,SL))</f>
        <v>66</v>
      </c>
      <c r="J313" s="25">
        <f t="array" ref="J313">SUM(IF("155"&amp;C313=KHC&amp;MH,TH))</f>
        <v>932349</v>
      </c>
      <c r="K313" s="8">
        <f t="shared" si="50"/>
        <v>0</v>
      </c>
      <c r="L313" s="8">
        <f t="shared" si="51"/>
        <v>0</v>
      </c>
      <c r="M313" s="294"/>
    </row>
    <row r="314" spans="1:13" ht="19.5" customHeight="1">
      <c r="A314" s="294" t="str">
        <f t="shared" si="59"/>
        <v>TP</v>
      </c>
      <c r="B314" s="307">
        <f t="shared" si="60"/>
        <v>163</v>
      </c>
      <c r="C314" s="40" t="s">
        <v>1386</v>
      </c>
      <c r="D314" s="306" t="s">
        <v>1428</v>
      </c>
      <c r="E314" s="8"/>
      <c r="F314" s="8"/>
      <c r="G314" s="25">
        <f t="array" ref="G314">SUM(IF("155"&amp;C314=KHN&amp;MH,SL))</f>
        <v>106</v>
      </c>
      <c r="H314" s="25">
        <f t="array" ref="H314">SUM(IF("155"&amp;C314=KHN&amp;MH,TH))</f>
        <v>1900527</v>
      </c>
      <c r="I314" s="25">
        <f t="array" ref="I314">SUM(IF("155"&amp;C314=KHC&amp;MH,SL))</f>
        <v>106</v>
      </c>
      <c r="J314" s="25">
        <f t="array" ref="J314">SUM(IF("155"&amp;C314=KHC&amp;MH,TH))</f>
        <v>1900527</v>
      </c>
      <c r="K314" s="8">
        <f t="shared" si="50"/>
        <v>0</v>
      </c>
      <c r="L314" s="8">
        <f t="shared" si="51"/>
        <v>0</v>
      </c>
      <c r="M314" s="294"/>
    </row>
    <row r="315" spans="1:13" ht="19.5" customHeight="1">
      <c r="A315" s="294" t="str">
        <f t="shared" si="59"/>
        <v>TP</v>
      </c>
      <c r="B315" s="307">
        <f t="shared" si="60"/>
        <v>164</v>
      </c>
      <c r="C315" s="192" t="s">
        <v>1268</v>
      </c>
      <c r="D315" s="306" t="s">
        <v>1428</v>
      </c>
      <c r="E315" s="8"/>
      <c r="F315" s="8"/>
      <c r="G315" s="25">
        <f t="array" ref="G315">SUM(IF("155"&amp;C315=KHN&amp;MH,SL))</f>
        <v>130</v>
      </c>
      <c r="H315" s="25">
        <f t="array" ref="H315">SUM(IF("155"&amp;C315=KHN&amp;MH,TH))</f>
        <v>2009085</v>
      </c>
      <c r="I315" s="25">
        <f t="array" ref="I315">SUM(IF("155"&amp;C315=KHC&amp;MH,SL))</f>
        <v>130</v>
      </c>
      <c r="J315" s="25">
        <f t="array" ref="J315">SUM(IF("155"&amp;C315=KHC&amp;MH,TH))</f>
        <v>2009085</v>
      </c>
      <c r="K315" s="8">
        <f t="shared" si="50"/>
        <v>0</v>
      </c>
      <c r="L315" s="8">
        <f t="shared" si="51"/>
        <v>0</v>
      </c>
      <c r="M315" s="294"/>
    </row>
    <row r="316" spans="1:13" ht="19.5" customHeight="1">
      <c r="A316" s="294" t="str">
        <f t="shared" si="59"/>
        <v>TP</v>
      </c>
      <c r="B316" s="307">
        <f t="shared" si="60"/>
        <v>165</v>
      </c>
      <c r="C316" s="40" t="s">
        <v>1303</v>
      </c>
      <c r="D316" s="306" t="s">
        <v>1428</v>
      </c>
      <c r="E316" s="8"/>
      <c r="F316" s="8"/>
      <c r="G316" s="25">
        <f t="array" ref="G316">SUM(IF("155"&amp;C316=KHN&amp;MH,SL))</f>
        <v>104</v>
      </c>
      <c r="H316" s="25">
        <f t="array" ref="H316">SUM(IF("155"&amp;C316=KHN&amp;MH,TH))</f>
        <v>1902347</v>
      </c>
      <c r="I316" s="25">
        <f t="array" ref="I316">SUM(IF("155"&amp;C316=KHC&amp;MH,SL))</f>
        <v>104</v>
      </c>
      <c r="J316" s="25">
        <f t="array" ref="J316">SUM(IF("155"&amp;C316=KHC&amp;MH,TH))</f>
        <v>1902347</v>
      </c>
      <c r="K316" s="8">
        <f t="shared" si="50"/>
        <v>0</v>
      </c>
      <c r="L316" s="8">
        <f t="shared" si="51"/>
        <v>0</v>
      </c>
      <c r="M316" s="294"/>
    </row>
    <row r="317" spans="1:13" ht="19.5" customHeight="1">
      <c r="A317" s="294" t="str">
        <f t="shared" ref="A317:A320" si="61">IF(B317&lt;&gt;"","TP","")</f>
        <v>TP</v>
      </c>
      <c r="B317" s="307">
        <f t="shared" ref="B317:B320" si="62">IF(C317&lt;&gt;"",B316+1,"")</f>
        <v>166</v>
      </c>
      <c r="C317" s="192" t="s">
        <v>1261</v>
      </c>
      <c r="D317" s="306" t="s">
        <v>1428</v>
      </c>
      <c r="E317" s="8"/>
      <c r="F317" s="8"/>
      <c r="G317" s="25">
        <f t="array" ref="G317">SUM(IF("155"&amp;C317=KHN&amp;MH,SL))</f>
        <v>449</v>
      </c>
      <c r="H317" s="25">
        <f t="array" ref="H317">SUM(IF("155"&amp;C317=KHN&amp;MH,TH))</f>
        <v>6964546</v>
      </c>
      <c r="I317" s="25">
        <f t="array" ref="I317">SUM(IF("155"&amp;C317=KHC&amp;MH,SL))</f>
        <v>449</v>
      </c>
      <c r="J317" s="25">
        <f t="array" ref="J317">SUM(IF("155"&amp;C317=KHC&amp;MH,TH))</f>
        <v>6964546</v>
      </c>
      <c r="K317" s="8">
        <f t="shared" si="50"/>
        <v>0</v>
      </c>
      <c r="L317" s="8">
        <f t="shared" si="51"/>
        <v>0</v>
      </c>
      <c r="M317" s="294"/>
    </row>
    <row r="318" spans="1:13" ht="19.5" customHeight="1">
      <c r="A318" s="294" t="str">
        <f t="shared" si="61"/>
        <v>TP</v>
      </c>
      <c r="B318" s="307">
        <f t="shared" si="62"/>
        <v>167</v>
      </c>
      <c r="C318" s="40" t="s">
        <v>1366</v>
      </c>
      <c r="D318" s="306" t="s">
        <v>1428</v>
      </c>
      <c r="E318" s="8"/>
      <c r="F318" s="8"/>
      <c r="G318" s="25">
        <f t="array" ref="G318">SUM(IF("155"&amp;C318=KHN&amp;MH,SL))</f>
        <v>52</v>
      </c>
      <c r="H318" s="25">
        <f t="array" ref="H318">SUM(IF("155"&amp;C318=KHN&amp;MH,TH))</f>
        <v>767181</v>
      </c>
      <c r="I318" s="25">
        <f t="array" ref="I318">SUM(IF("155"&amp;C318=KHC&amp;MH,SL))</f>
        <v>52</v>
      </c>
      <c r="J318" s="25">
        <f t="array" ref="J318">SUM(IF("155"&amp;C318=KHC&amp;MH,TH))</f>
        <v>767181</v>
      </c>
      <c r="K318" s="8">
        <f t="shared" si="50"/>
        <v>0</v>
      </c>
      <c r="L318" s="8">
        <f t="shared" si="51"/>
        <v>0</v>
      </c>
      <c r="M318" s="294"/>
    </row>
    <row r="319" spans="1:13" ht="19.5" customHeight="1">
      <c r="A319" s="294" t="str">
        <f t="shared" si="61"/>
        <v>TP</v>
      </c>
      <c r="B319" s="307">
        <f t="shared" si="62"/>
        <v>168</v>
      </c>
      <c r="C319" s="40" t="s">
        <v>1367</v>
      </c>
      <c r="D319" s="306" t="s">
        <v>1428</v>
      </c>
      <c r="E319" s="8"/>
      <c r="F319" s="8"/>
      <c r="G319" s="25">
        <f t="array" ref="G319">SUM(IF("155"&amp;C319=KHN&amp;MH,SL))</f>
        <v>51</v>
      </c>
      <c r="H319" s="25">
        <f t="array" ref="H319">SUM(IF("155"&amp;C319=KHN&amp;MH,TH))</f>
        <v>752428</v>
      </c>
      <c r="I319" s="25">
        <f t="array" ref="I319">SUM(IF("155"&amp;C319=KHC&amp;MH,SL))</f>
        <v>51</v>
      </c>
      <c r="J319" s="25">
        <f t="array" ref="J319">SUM(IF("155"&amp;C319=KHC&amp;MH,TH))</f>
        <v>752428</v>
      </c>
      <c r="K319" s="8">
        <f t="shared" si="50"/>
        <v>0</v>
      </c>
      <c r="L319" s="8">
        <f t="shared" si="51"/>
        <v>0</v>
      </c>
      <c r="M319" s="294"/>
    </row>
    <row r="320" spans="1:13" ht="19.5" customHeight="1">
      <c r="A320" s="294" t="str">
        <f t="shared" si="61"/>
        <v>TP</v>
      </c>
      <c r="B320" s="307">
        <f t="shared" si="62"/>
        <v>169</v>
      </c>
      <c r="C320" s="298" t="s">
        <v>750</v>
      </c>
      <c r="D320" s="306" t="s">
        <v>1428</v>
      </c>
      <c r="E320" s="8"/>
      <c r="F320" s="8"/>
      <c r="G320" s="25">
        <f t="array" ref="G320">SUM(IF("155"&amp;C320=KHN&amp;MH,SL))</f>
        <v>806</v>
      </c>
      <c r="H320" s="25">
        <f t="array" ref="H320">SUM(IF("155"&amp;C320=KHN&amp;MH,TH))</f>
        <v>10272999</v>
      </c>
      <c r="I320" s="25">
        <f t="array" ref="I320">SUM(IF("155"&amp;C320=KHC&amp;MH,SL))</f>
        <v>806</v>
      </c>
      <c r="J320" s="25">
        <f t="array" ref="J320">SUM(IF("155"&amp;C320=KHC&amp;MH,TH))</f>
        <v>10272999</v>
      </c>
      <c r="K320" s="8">
        <f t="shared" si="50"/>
        <v>0</v>
      </c>
      <c r="L320" s="8">
        <f t="shared" si="51"/>
        <v>0</v>
      </c>
      <c r="M320" s="294"/>
    </row>
    <row r="321" spans="1:13" ht="19.5" customHeight="1">
      <c r="A321" s="294" t="str">
        <f t="shared" ref="A321:A352" si="63">IF(B321&lt;&gt;"","TP","")</f>
        <v>TP</v>
      </c>
      <c r="B321" s="307">
        <f t="shared" ref="B321:B352" si="64">IF(C321&lt;&gt;"",B320+1,"")</f>
        <v>170</v>
      </c>
      <c r="C321" s="298" t="s">
        <v>752</v>
      </c>
      <c r="D321" s="306" t="s">
        <v>1428</v>
      </c>
      <c r="E321" s="8"/>
      <c r="F321" s="8"/>
      <c r="G321" s="25">
        <f t="array" ref="G321">SUM(IF("155"&amp;C321=KHN&amp;MH,SL))</f>
        <v>199</v>
      </c>
      <c r="H321" s="25">
        <f t="array" ref="H321">SUM(IF("155"&amp;C321=KHN&amp;MH,TH))</f>
        <v>2484742</v>
      </c>
      <c r="I321" s="25">
        <f t="array" ref="I321">SUM(IF("155"&amp;C321=KHC&amp;MH,SL))</f>
        <v>199</v>
      </c>
      <c r="J321" s="25">
        <f t="array" ref="J321">SUM(IF("155"&amp;C321=KHC&amp;MH,TH))</f>
        <v>2484742</v>
      </c>
      <c r="K321" s="8">
        <f t="shared" si="50"/>
        <v>0</v>
      </c>
      <c r="L321" s="8">
        <f t="shared" si="51"/>
        <v>0</v>
      </c>
      <c r="M321" s="294"/>
    </row>
    <row r="322" spans="1:13" ht="19.5" customHeight="1">
      <c r="A322" s="294" t="str">
        <f t="shared" si="63"/>
        <v>TP</v>
      </c>
      <c r="B322" s="307">
        <f t="shared" si="64"/>
        <v>171</v>
      </c>
      <c r="C322" s="298" t="s">
        <v>941</v>
      </c>
      <c r="D322" s="306" t="s">
        <v>1428</v>
      </c>
      <c r="E322" s="8"/>
      <c r="F322" s="8"/>
      <c r="G322" s="25">
        <f t="array" ref="G322">SUM(IF("155"&amp;C322=KHN&amp;MH,SL))</f>
        <v>61</v>
      </c>
      <c r="H322" s="25">
        <f t="array" ref="H322">SUM(IF("155"&amp;C322=KHN&amp;MH,TH))</f>
        <v>1212562</v>
      </c>
      <c r="I322" s="25">
        <f t="array" ref="I322">SUM(IF("155"&amp;C322=KHC&amp;MH,SL))</f>
        <v>61</v>
      </c>
      <c r="J322" s="25">
        <f t="array" ref="J322">SUM(IF("155"&amp;C322=KHC&amp;MH,TH))</f>
        <v>1212562</v>
      </c>
      <c r="K322" s="8">
        <f t="shared" si="50"/>
        <v>0</v>
      </c>
      <c r="L322" s="8">
        <f t="shared" si="51"/>
        <v>0</v>
      </c>
      <c r="M322" s="294"/>
    </row>
    <row r="323" spans="1:13" ht="19.5" customHeight="1">
      <c r="A323" s="294" t="str">
        <f t="shared" si="63"/>
        <v>TP</v>
      </c>
      <c r="B323" s="307">
        <f t="shared" si="64"/>
        <v>172</v>
      </c>
      <c r="C323" s="298" t="s">
        <v>937</v>
      </c>
      <c r="D323" s="306" t="s">
        <v>1428</v>
      </c>
      <c r="E323" s="8"/>
      <c r="F323" s="8"/>
      <c r="G323" s="25">
        <f t="array" ref="G323">SUM(IF("155"&amp;C323=KHN&amp;MH,SL))</f>
        <v>207</v>
      </c>
      <c r="H323" s="25">
        <f t="array" ref="H323">SUM(IF("155"&amp;C323=KHN&amp;MH,TH))</f>
        <v>4792429</v>
      </c>
      <c r="I323" s="25">
        <f t="array" ref="I323">SUM(IF("155"&amp;C323=KHC&amp;MH,SL))</f>
        <v>207</v>
      </c>
      <c r="J323" s="25">
        <f t="array" ref="J323">SUM(IF("155"&amp;C323=KHC&amp;MH,TH))</f>
        <v>4792429</v>
      </c>
      <c r="K323" s="8">
        <f t="shared" si="50"/>
        <v>0</v>
      </c>
      <c r="L323" s="8">
        <f t="shared" si="51"/>
        <v>0</v>
      </c>
      <c r="M323" s="294"/>
    </row>
    <row r="324" spans="1:13" ht="19.5" customHeight="1">
      <c r="A324" s="294" t="str">
        <f t="shared" si="63"/>
        <v>TP</v>
      </c>
      <c r="B324" s="307">
        <f t="shared" si="64"/>
        <v>173</v>
      </c>
      <c r="C324" s="298" t="s">
        <v>939</v>
      </c>
      <c r="D324" s="306" t="s">
        <v>1428</v>
      </c>
      <c r="E324" s="8"/>
      <c r="F324" s="8"/>
      <c r="G324" s="25">
        <f t="array" ref="G324">SUM(IF("155"&amp;C324=KHN&amp;MH,SL))</f>
        <v>3</v>
      </c>
      <c r="H324" s="25">
        <f t="array" ref="H324">SUM(IF("155"&amp;C324=KHN&amp;MH,TH))</f>
        <v>57428</v>
      </c>
      <c r="I324" s="25">
        <f t="array" ref="I324">SUM(IF("155"&amp;C324=KHC&amp;MH,SL))</f>
        <v>3</v>
      </c>
      <c r="J324" s="25">
        <f t="array" ref="J324">SUM(IF("155"&amp;C324=KHC&amp;MH,TH))</f>
        <v>57428</v>
      </c>
      <c r="K324" s="8">
        <f t="shared" si="50"/>
        <v>0</v>
      </c>
      <c r="L324" s="8">
        <f t="shared" si="51"/>
        <v>0</v>
      </c>
      <c r="M324" s="294"/>
    </row>
    <row r="325" spans="1:13" ht="19.5" customHeight="1">
      <c r="A325" s="294" t="str">
        <f t="shared" si="63"/>
        <v>TP</v>
      </c>
      <c r="B325" s="307">
        <f t="shared" si="64"/>
        <v>174</v>
      </c>
      <c r="C325" s="298" t="s">
        <v>895</v>
      </c>
      <c r="D325" s="306" t="s">
        <v>1428</v>
      </c>
      <c r="E325" s="8"/>
      <c r="F325" s="8"/>
      <c r="G325" s="25">
        <f t="array" ref="G325">SUM(IF("155"&amp;C325=KHN&amp;MH,SL))</f>
        <v>414</v>
      </c>
      <c r="H325" s="25">
        <f t="array" ref="H325">SUM(IF("155"&amp;C325=KHN&amp;MH,TH))</f>
        <v>10382782</v>
      </c>
      <c r="I325" s="25">
        <f t="array" ref="I325">SUM(IF("155"&amp;C325=KHC&amp;MH,SL))</f>
        <v>414</v>
      </c>
      <c r="J325" s="25">
        <f t="array" ref="J325">SUM(IF("155"&amp;C325=KHC&amp;MH,TH))</f>
        <v>10382782</v>
      </c>
      <c r="K325" s="8">
        <f t="shared" si="50"/>
        <v>0</v>
      </c>
      <c r="L325" s="8">
        <f t="shared" si="51"/>
        <v>0</v>
      </c>
      <c r="M325" s="294"/>
    </row>
    <row r="326" spans="1:13" ht="19.5" customHeight="1">
      <c r="A326" s="294" t="str">
        <f t="shared" si="63"/>
        <v>TP</v>
      </c>
      <c r="B326" s="307">
        <f t="shared" si="64"/>
        <v>175</v>
      </c>
      <c r="C326" s="40" t="s">
        <v>1368</v>
      </c>
      <c r="D326" s="306" t="s">
        <v>1428</v>
      </c>
      <c r="E326" s="8"/>
      <c r="F326" s="8"/>
      <c r="G326" s="25">
        <f t="array" ref="G326">SUM(IF("155"&amp;C326=KHN&amp;MH,SL))</f>
        <v>51</v>
      </c>
      <c r="H326" s="25">
        <f t="array" ref="H326">SUM(IF("155"&amp;C326=KHN&amp;MH,TH))</f>
        <v>904612</v>
      </c>
      <c r="I326" s="25">
        <f t="array" ref="I326">SUM(IF("155"&amp;C326=KHC&amp;MH,SL))</f>
        <v>51</v>
      </c>
      <c r="J326" s="25">
        <f t="array" ref="J326">SUM(IF("155"&amp;C326=KHC&amp;MH,TH))</f>
        <v>904612</v>
      </c>
      <c r="K326" s="8">
        <f t="shared" si="50"/>
        <v>0</v>
      </c>
      <c r="L326" s="8">
        <f t="shared" si="51"/>
        <v>0</v>
      </c>
      <c r="M326" s="294"/>
    </row>
    <row r="327" spans="1:13" ht="19.5" customHeight="1">
      <c r="A327" s="294" t="str">
        <f t="shared" si="63"/>
        <v>TP</v>
      </c>
      <c r="B327" s="307">
        <f t="shared" si="64"/>
        <v>176</v>
      </c>
      <c r="C327" s="40" t="s">
        <v>1369</v>
      </c>
      <c r="D327" s="306" t="s">
        <v>1428</v>
      </c>
      <c r="E327" s="8"/>
      <c r="F327" s="8"/>
      <c r="G327" s="25">
        <f t="array" ref="G327">SUM(IF("155"&amp;C327=KHN&amp;MH,SL))</f>
        <v>57</v>
      </c>
      <c r="H327" s="25">
        <f t="array" ref="H327">SUM(IF("155"&amp;C327=KHN&amp;MH,TH))</f>
        <v>1011037</v>
      </c>
      <c r="I327" s="25">
        <f t="array" ref="I327">SUM(IF("155"&amp;C327=KHC&amp;MH,SL))</f>
        <v>57</v>
      </c>
      <c r="J327" s="25">
        <f t="array" ref="J327">SUM(IF("155"&amp;C327=KHC&amp;MH,TH))</f>
        <v>1011037</v>
      </c>
      <c r="K327" s="8">
        <f t="shared" si="50"/>
        <v>0</v>
      </c>
      <c r="L327" s="8">
        <f t="shared" si="51"/>
        <v>0</v>
      </c>
      <c r="M327" s="294"/>
    </row>
    <row r="328" spans="1:13" ht="19.5" customHeight="1">
      <c r="A328" s="294" t="str">
        <f t="shared" si="63"/>
        <v>TP</v>
      </c>
      <c r="B328" s="307">
        <f t="shared" si="64"/>
        <v>177</v>
      </c>
      <c r="C328" s="192" t="s">
        <v>1256</v>
      </c>
      <c r="D328" s="306" t="s">
        <v>1428</v>
      </c>
      <c r="E328" s="8"/>
      <c r="F328" s="8"/>
      <c r="G328" s="25">
        <f t="array" ref="G328">SUM(IF("155"&amp;C328=KHN&amp;MH,SL))</f>
        <v>308</v>
      </c>
      <c r="H328" s="25">
        <f t="array" ref="H328">SUM(IF("155"&amp;C328=KHN&amp;MH,TH))</f>
        <v>4741042</v>
      </c>
      <c r="I328" s="25">
        <f t="array" ref="I328">SUM(IF("155"&amp;C328=KHC&amp;MH,SL))</f>
        <v>308</v>
      </c>
      <c r="J328" s="25">
        <f t="array" ref="J328">SUM(IF("155"&amp;C328=KHC&amp;MH,TH))</f>
        <v>4741042</v>
      </c>
      <c r="K328" s="8">
        <f t="shared" si="50"/>
        <v>0</v>
      </c>
      <c r="L328" s="8">
        <f t="shared" si="51"/>
        <v>0</v>
      </c>
      <c r="M328" s="294"/>
    </row>
    <row r="329" spans="1:13" ht="19.5" customHeight="1">
      <c r="A329" s="294" t="str">
        <f t="shared" si="63"/>
        <v>TP</v>
      </c>
      <c r="B329" s="307">
        <f t="shared" si="64"/>
        <v>178</v>
      </c>
      <c r="C329" s="40" t="s">
        <v>1336</v>
      </c>
      <c r="D329" s="306" t="s">
        <v>1428</v>
      </c>
      <c r="E329" s="8"/>
      <c r="F329" s="8"/>
      <c r="G329" s="25">
        <f t="array" ref="G329">SUM(IF("155"&amp;C329=KHN&amp;MH,SL))</f>
        <v>442</v>
      </c>
      <c r="H329" s="25">
        <f t="array" ref="H329">SUM(IF("155"&amp;C329=KHN&amp;MH,TH))</f>
        <v>676267</v>
      </c>
      <c r="I329" s="25">
        <f t="array" ref="I329">SUM(IF("155"&amp;C329=KHC&amp;MH,SL))</f>
        <v>442</v>
      </c>
      <c r="J329" s="25">
        <f t="array" ref="J329">SUM(IF("155"&amp;C329=KHC&amp;MH,TH))</f>
        <v>676267</v>
      </c>
      <c r="K329" s="8">
        <f t="shared" si="50"/>
        <v>0</v>
      </c>
      <c r="L329" s="8">
        <f t="shared" si="51"/>
        <v>0</v>
      </c>
      <c r="M329" s="294"/>
    </row>
    <row r="330" spans="1:13" ht="19.5" customHeight="1">
      <c r="A330" s="294" t="str">
        <f t="shared" si="63"/>
        <v>TP</v>
      </c>
      <c r="B330" s="307">
        <f t="shared" si="64"/>
        <v>179</v>
      </c>
      <c r="C330" s="40" t="s">
        <v>1339</v>
      </c>
      <c r="D330" s="306" t="s">
        <v>1428</v>
      </c>
      <c r="E330" s="8"/>
      <c r="F330" s="8"/>
      <c r="G330" s="25">
        <f t="array" ref="G330">SUM(IF("155"&amp;C330=KHN&amp;MH,SL))</f>
        <v>442</v>
      </c>
      <c r="H330" s="25">
        <f t="array" ref="H330">SUM(IF("155"&amp;C330=KHN&amp;MH,TH))</f>
        <v>640675</v>
      </c>
      <c r="I330" s="25">
        <f t="array" ref="I330">SUM(IF("155"&amp;C330=KHC&amp;MH,SL))</f>
        <v>442</v>
      </c>
      <c r="J330" s="25">
        <f t="array" ref="J330">SUM(IF("155"&amp;C330=KHC&amp;MH,TH))</f>
        <v>640675</v>
      </c>
      <c r="K330" s="8">
        <f t="shared" si="50"/>
        <v>0</v>
      </c>
      <c r="L330" s="8">
        <f t="shared" si="51"/>
        <v>0</v>
      </c>
      <c r="M330" s="294"/>
    </row>
    <row r="331" spans="1:13" ht="19.5" customHeight="1">
      <c r="A331" s="294" t="str">
        <f t="shared" si="63"/>
        <v>TP</v>
      </c>
      <c r="B331" s="307">
        <f t="shared" si="64"/>
        <v>180</v>
      </c>
      <c r="C331" s="40" t="s">
        <v>1338</v>
      </c>
      <c r="D331" s="306" t="s">
        <v>1428</v>
      </c>
      <c r="E331" s="8"/>
      <c r="F331" s="8"/>
      <c r="G331" s="25">
        <f t="array" ref="G331">SUM(IF("155"&amp;C331=KHN&amp;MH,SL))</f>
        <v>242</v>
      </c>
      <c r="H331" s="25">
        <f t="array" ref="H331">SUM(IF("155"&amp;C331=KHN&amp;MH,TH))</f>
        <v>372075</v>
      </c>
      <c r="I331" s="25">
        <f t="array" ref="I331">SUM(IF("155"&amp;C331=KHC&amp;MH,SL))</f>
        <v>242</v>
      </c>
      <c r="J331" s="25">
        <f t="array" ref="J331">SUM(IF("155"&amp;C331=KHC&amp;MH,TH))</f>
        <v>372075</v>
      </c>
      <c r="K331" s="8">
        <f t="shared" si="50"/>
        <v>0</v>
      </c>
      <c r="L331" s="8">
        <f t="shared" si="51"/>
        <v>0</v>
      </c>
      <c r="M331" s="294"/>
    </row>
    <row r="332" spans="1:13" ht="19.5" customHeight="1">
      <c r="A332" s="294" t="str">
        <f t="shared" si="63"/>
        <v>TP</v>
      </c>
      <c r="B332" s="307">
        <f t="shared" si="64"/>
        <v>181</v>
      </c>
      <c r="C332" s="298" t="s">
        <v>1025</v>
      </c>
      <c r="D332" s="306" t="s">
        <v>1428</v>
      </c>
      <c r="E332" s="8"/>
      <c r="F332" s="8"/>
      <c r="G332" s="25">
        <f t="array" ref="G332">SUM(IF("155"&amp;C332=KHN&amp;MH,SL))</f>
        <v>281</v>
      </c>
      <c r="H332" s="25">
        <f t="array" ref="H332">SUM(IF("155"&amp;C332=KHN&amp;MH,TH))</f>
        <v>2458354</v>
      </c>
      <c r="I332" s="25">
        <f t="array" ref="I332">SUM(IF("155"&amp;C332=KHC&amp;MH,SL))</f>
        <v>281</v>
      </c>
      <c r="J332" s="25">
        <f t="array" ref="J332">SUM(IF("155"&amp;C332=KHC&amp;MH,TH))</f>
        <v>2458354</v>
      </c>
      <c r="K332" s="8">
        <f t="shared" si="50"/>
        <v>0</v>
      </c>
      <c r="L332" s="8">
        <f t="shared" si="51"/>
        <v>0</v>
      </c>
      <c r="M332" s="294"/>
    </row>
    <row r="333" spans="1:13" ht="19.5" customHeight="1">
      <c r="A333" s="294" t="str">
        <f t="shared" si="63"/>
        <v>TP</v>
      </c>
      <c r="B333" s="307">
        <f t="shared" si="64"/>
        <v>182</v>
      </c>
      <c r="C333" s="298" t="s">
        <v>1024</v>
      </c>
      <c r="D333" s="306" t="s">
        <v>1428</v>
      </c>
      <c r="E333" s="8"/>
      <c r="F333" s="8"/>
      <c r="G333" s="25">
        <f t="array" ref="G333">SUM(IF("155"&amp;C333=KHN&amp;MH,SL))</f>
        <v>214</v>
      </c>
      <c r="H333" s="25">
        <f t="array" ref="H333">SUM(IF("155"&amp;C333=KHN&amp;MH,TH))</f>
        <v>1582401</v>
      </c>
      <c r="I333" s="25">
        <f t="array" ref="I333">SUM(IF("155"&amp;C333=KHC&amp;MH,SL))</f>
        <v>214</v>
      </c>
      <c r="J333" s="25">
        <f t="array" ref="J333">SUM(IF("155"&amp;C333=KHC&amp;MH,TH))</f>
        <v>1582401</v>
      </c>
      <c r="K333" s="8">
        <f t="shared" si="50"/>
        <v>0</v>
      </c>
      <c r="L333" s="8">
        <f t="shared" si="51"/>
        <v>0</v>
      </c>
      <c r="M333" s="294"/>
    </row>
    <row r="334" spans="1:13" ht="19.5" customHeight="1">
      <c r="A334" s="294" t="str">
        <f t="shared" si="63"/>
        <v>TP</v>
      </c>
      <c r="B334" s="307">
        <f t="shared" si="64"/>
        <v>183</v>
      </c>
      <c r="C334" s="298" t="s">
        <v>1058</v>
      </c>
      <c r="D334" s="306" t="s">
        <v>1428</v>
      </c>
      <c r="E334" s="8"/>
      <c r="F334" s="8"/>
      <c r="G334" s="25">
        <f t="array" ref="G334">SUM(IF("155"&amp;C334=KHN&amp;MH,SL))</f>
        <v>1</v>
      </c>
      <c r="H334" s="25">
        <f t="array" ref="H334">SUM(IF("155"&amp;C334=KHN&amp;MH,TH))</f>
        <v>4447</v>
      </c>
      <c r="I334" s="25">
        <f t="array" ref="I334">SUM(IF("155"&amp;C334=KHC&amp;MH,SL))</f>
        <v>1</v>
      </c>
      <c r="J334" s="25">
        <f t="array" ref="J334">SUM(IF("155"&amp;C334=KHC&amp;MH,TH))</f>
        <v>4447</v>
      </c>
      <c r="K334" s="8">
        <f t="shared" si="50"/>
        <v>0</v>
      </c>
      <c r="L334" s="8">
        <f t="shared" si="51"/>
        <v>0</v>
      </c>
      <c r="M334" s="294"/>
    </row>
    <row r="335" spans="1:13" ht="19.5" customHeight="1">
      <c r="A335" s="294" t="str">
        <f t="shared" si="63"/>
        <v>TP</v>
      </c>
      <c r="B335" s="307">
        <f t="shared" si="64"/>
        <v>184</v>
      </c>
      <c r="C335" s="298" t="s">
        <v>1066</v>
      </c>
      <c r="D335" s="306" t="s">
        <v>1428</v>
      </c>
      <c r="E335" s="8"/>
      <c r="F335" s="8"/>
      <c r="G335" s="25">
        <f t="array" ref="G335">SUM(IF("155"&amp;C335=KHN&amp;MH,SL))</f>
        <v>2</v>
      </c>
      <c r="H335" s="25">
        <f t="array" ref="H335">SUM(IF("155"&amp;C335=KHN&amp;MH,TH))</f>
        <v>16693</v>
      </c>
      <c r="I335" s="25">
        <f t="array" ref="I335">SUM(IF("155"&amp;C335=KHC&amp;MH,SL))</f>
        <v>2</v>
      </c>
      <c r="J335" s="25">
        <f t="array" ref="J335">SUM(IF("155"&amp;C335=KHC&amp;MH,TH))</f>
        <v>16693</v>
      </c>
      <c r="K335" s="8">
        <f t="shared" si="50"/>
        <v>0</v>
      </c>
      <c r="L335" s="8">
        <f t="shared" si="51"/>
        <v>0</v>
      </c>
      <c r="M335" s="294"/>
    </row>
    <row r="336" spans="1:13" ht="19.5" customHeight="1">
      <c r="A336" s="294" t="str">
        <f t="shared" si="63"/>
        <v>TP</v>
      </c>
      <c r="B336" s="307">
        <f t="shared" si="64"/>
        <v>185</v>
      </c>
      <c r="C336" s="298" t="s">
        <v>1063</v>
      </c>
      <c r="D336" s="306" t="s">
        <v>1428</v>
      </c>
      <c r="E336" s="8"/>
      <c r="F336" s="8"/>
      <c r="G336" s="25">
        <f t="array" ref="G336">SUM(IF("155"&amp;C336=KHN&amp;MH,SL))</f>
        <v>1</v>
      </c>
      <c r="H336" s="25">
        <f t="array" ref="H336">SUM(IF("155"&amp;C336=KHN&amp;MH,TH))</f>
        <v>9490</v>
      </c>
      <c r="I336" s="25">
        <f t="array" ref="I336">SUM(IF("155"&amp;C336=KHC&amp;MH,SL))</f>
        <v>1</v>
      </c>
      <c r="J336" s="25">
        <f t="array" ref="J336">SUM(IF("155"&amp;C336=KHC&amp;MH,TH))</f>
        <v>9490</v>
      </c>
      <c r="K336" s="8">
        <f t="shared" si="50"/>
        <v>0</v>
      </c>
      <c r="L336" s="8">
        <f t="shared" si="51"/>
        <v>0</v>
      </c>
      <c r="M336" s="294"/>
    </row>
    <row r="337" spans="1:13" ht="19.5" customHeight="1">
      <c r="A337" s="294" t="str">
        <f t="shared" si="63"/>
        <v>TP</v>
      </c>
      <c r="B337" s="307">
        <f t="shared" si="64"/>
        <v>186</v>
      </c>
      <c r="C337" s="298" t="s">
        <v>1067</v>
      </c>
      <c r="D337" s="306" t="s">
        <v>1428</v>
      </c>
      <c r="E337" s="8"/>
      <c r="F337" s="8"/>
      <c r="G337" s="25">
        <f t="array" ref="G337">SUM(IF("155"&amp;C337=KHN&amp;MH,SL))</f>
        <v>1</v>
      </c>
      <c r="H337" s="25">
        <f t="array" ref="H337">SUM(IF("155"&amp;C337=KHN&amp;MH,TH))</f>
        <v>10374</v>
      </c>
      <c r="I337" s="25">
        <f t="array" ref="I337">SUM(IF("155"&amp;C337=KHC&amp;MH,SL))</f>
        <v>1</v>
      </c>
      <c r="J337" s="25">
        <f t="array" ref="J337">SUM(IF("155"&amp;C337=KHC&amp;MH,TH))</f>
        <v>10374</v>
      </c>
      <c r="K337" s="8">
        <f t="shared" si="50"/>
        <v>0</v>
      </c>
      <c r="L337" s="8">
        <f t="shared" si="51"/>
        <v>0</v>
      </c>
      <c r="M337" s="294"/>
    </row>
    <row r="338" spans="1:13" ht="19.5" customHeight="1">
      <c r="A338" s="294" t="str">
        <f t="shared" si="63"/>
        <v>TP</v>
      </c>
      <c r="B338" s="307">
        <f t="shared" si="64"/>
        <v>187</v>
      </c>
      <c r="C338" s="298" t="s">
        <v>1059</v>
      </c>
      <c r="D338" s="306" t="s">
        <v>1428</v>
      </c>
      <c r="E338" s="8"/>
      <c r="F338" s="8"/>
      <c r="G338" s="25">
        <f t="array" ref="G338">SUM(IF("155"&amp;C338=KHN&amp;MH,SL))</f>
        <v>133</v>
      </c>
      <c r="H338" s="25">
        <f t="array" ref="H338">SUM(IF("155"&amp;C338=KHN&amp;MH,TH))</f>
        <v>983455</v>
      </c>
      <c r="I338" s="25">
        <f t="array" ref="I338">SUM(IF("155"&amp;C338=KHC&amp;MH,SL))</f>
        <v>133</v>
      </c>
      <c r="J338" s="25">
        <f t="array" ref="J338">SUM(IF("155"&amp;C338=KHC&amp;MH,TH))</f>
        <v>983455</v>
      </c>
      <c r="K338" s="8">
        <f t="shared" si="50"/>
        <v>0</v>
      </c>
      <c r="L338" s="8">
        <f t="shared" si="51"/>
        <v>0</v>
      </c>
      <c r="M338" s="294"/>
    </row>
    <row r="339" spans="1:13" ht="19.5" customHeight="1">
      <c r="A339" s="294" t="str">
        <f t="shared" si="63"/>
        <v>TP</v>
      </c>
      <c r="B339" s="307">
        <f t="shared" si="64"/>
        <v>188</v>
      </c>
      <c r="C339" s="298" t="s">
        <v>1064</v>
      </c>
      <c r="D339" s="306" t="s">
        <v>1428</v>
      </c>
      <c r="E339" s="8"/>
      <c r="F339" s="8"/>
      <c r="G339" s="25">
        <f t="array" ref="G339">SUM(IF("155"&amp;C339=KHN&amp;MH,SL))</f>
        <v>1</v>
      </c>
      <c r="H339" s="25">
        <f t="array" ref="H339">SUM(IF("155"&amp;C339=KHN&amp;MH,TH))</f>
        <v>10309</v>
      </c>
      <c r="I339" s="25">
        <f t="array" ref="I339">SUM(IF("155"&amp;C339=KHC&amp;MH,SL))</f>
        <v>1</v>
      </c>
      <c r="J339" s="25">
        <f t="array" ref="J339">SUM(IF("155"&amp;C339=KHC&amp;MH,TH))</f>
        <v>10309</v>
      </c>
      <c r="K339" s="8">
        <f t="shared" si="50"/>
        <v>0</v>
      </c>
      <c r="L339" s="8">
        <f t="shared" si="51"/>
        <v>0</v>
      </c>
      <c r="M339" s="294"/>
    </row>
    <row r="340" spans="1:13" ht="19.5" customHeight="1">
      <c r="A340" s="294" t="str">
        <f t="shared" si="63"/>
        <v>TP</v>
      </c>
      <c r="B340" s="307">
        <f t="shared" si="64"/>
        <v>189</v>
      </c>
      <c r="C340" s="298" t="s">
        <v>1060</v>
      </c>
      <c r="D340" s="306" t="s">
        <v>1428</v>
      </c>
      <c r="E340" s="8"/>
      <c r="F340" s="8"/>
      <c r="G340" s="25">
        <f t="array" ref="G340">SUM(IF("155"&amp;C340=KHN&amp;MH,SL))</f>
        <v>141</v>
      </c>
      <c r="H340" s="25">
        <f t="array" ref="H340">SUM(IF("155"&amp;C340=KHN&amp;MH,TH))</f>
        <v>1176842</v>
      </c>
      <c r="I340" s="25">
        <f t="array" ref="I340">SUM(IF("155"&amp;C340=KHC&amp;MH,SL))</f>
        <v>141</v>
      </c>
      <c r="J340" s="25">
        <f t="array" ref="J340">SUM(IF("155"&amp;C340=KHC&amp;MH,TH))</f>
        <v>1176842</v>
      </c>
      <c r="K340" s="8">
        <f t="shared" si="50"/>
        <v>0</v>
      </c>
      <c r="L340" s="8">
        <f t="shared" si="51"/>
        <v>0</v>
      </c>
      <c r="M340" s="294"/>
    </row>
    <row r="341" spans="1:13" ht="19.5" customHeight="1">
      <c r="A341" s="294" t="str">
        <f t="shared" si="63"/>
        <v>TP</v>
      </c>
      <c r="B341" s="307">
        <f t="shared" si="64"/>
        <v>190</v>
      </c>
      <c r="C341" s="298" t="s">
        <v>1061</v>
      </c>
      <c r="D341" s="306" t="s">
        <v>1428</v>
      </c>
      <c r="E341" s="8"/>
      <c r="F341" s="8"/>
      <c r="G341" s="25">
        <f t="array" ref="G341">SUM(IF("155"&amp;C341=KHN&amp;MH,SL))</f>
        <v>292</v>
      </c>
      <c r="H341" s="25">
        <f t="array" ref="H341">SUM(IF("155"&amp;C341=KHN&amp;MH,TH))</f>
        <v>2402506</v>
      </c>
      <c r="I341" s="25">
        <f t="array" ref="I341">SUM(IF("155"&amp;C341=KHC&amp;MH,SL))</f>
        <v>292</v>
      </c>
      <c r="J341" s="25">
        <f t="array" ref="J341">SUM(IF("155"&amp;C341=KHC&amp;MH,TH))</f>
        <v>2402506</v>
      </c>
      <c r="K341" s="8">
        <f t="shared" si="50"/>
        <v>0</v>
      </c>
      <c r="L341" s="8">
        <f t="shared" si="51"/>
        <v>0</v>
      </c>
      <c r="M341" s="294"/>
    </row>
    <row r="342" spans="1:13" ht="19.5" customHeight="1">
      <c r="A342" s="294" t="str">
        <f t="shared" si="63"/>
        <v>TP</v>
      </c>
      <c r="B342" s="307">
        <f t="shared" si="64"/>
        <v>191</v>
      </c>
      <c r="C342" s="298" t="s">
        <v>908</v>
      </c>
      <c r="D342" s="306" t="s">
        <v>1428</v>
      </c>
      <c r="E342" s="8"/>
      <c r="F342" s="8"/>
      <c r="G342" s="25">
        <f t="array" ref="G342">SUM(IF("155"&amp;C342=KHN&amp;MH,SL))</f>
        <v>303</v>
      </c>
      <c r="H342" s="25">
        <f t="array" ref="H342">SUM(IF("155"&amp;C342=KHN&amp;MH,TH))</f>
        <v>1759979</v>
      </c>
      <c r="I342" s="25">
        <f t="array" ref="I342">SUM(IF("155"&amp;C342=KHC&amp;MH,SL))</f>
        <v>303</v>
      </c>
      <c r="J342" s="25">
        <f t="array" ref="J342">SUM(IF("155"&amp;C342=KHC&amp;MH,TH))</f>
        <v>1759979</v>
      </c>
      <c r="K342" s="8">
        <f t="shared" si="50"/>
        <v>0</v>
      </c>
      <c r="L342" s="8">
        <f t="shared" si="51"/>
        <v>0</v>
      </c>
      <c r="M342" s="294"/>
    </row>
    <row r="343" spans="1:13" ht="19.5" customHeight="1">
      <c r="A343" s="294" t="str">
        <f t="shared" si="63"/>
        <v>TP</v>
      </c>
      <c r="B343" s="307">
        <f t="shared" si="64"/>
        <v>192</v>
      </c>
      <c r="C343" s="298" t="s">
        <v>907</v>
      </c>
      <c r="D343" s="306" t="s">
        <v>1428</v>
      </c>
      <c r="E343" s="8"/>
      <c r="F343" s="8"/>
      <c r="G343" s="25">
        <f t="array" ref="G343">SUM(IF("155"&amp;C343=KHN&amp;MH,SL))</f>
        <v>3721</v>
      </c>
      <c r="H343" s="25">
        <f t="array" ref="H343">SUM(IF("155"&amp;C343=KHN&amp;MH,TH))</f>
        <v>23261232</v>
      </c>
      <c r="I343" s="25">
        <f t="array" ref="I343">SUM(IF("155"&amp;C343=KHC&amp;MH,SL))</f>
        <v>3721</v>
      </c>
      <c r="J343" s="25">
        <f t="array" ref="J343">SUM(IF("155"&amp;C343=KHC&amp;MH,TH))</f>
        <v>23261232</v>
      </c>
      <c r="K343" s="8">
        <f t="shared" si="50"/>
        <v>0</v>
      </c>
      <c r="L343" s="8">
        <f t="shared" si="51"/>
        <v>0</v>
      </c>
      <c r="M343" s="294"/>
    </row>
    <row r="344" spans="1:13" ht="19.5" customHeight="1">
      <c r="A344" s="294" t="str">
        <f t="shared" si="63"/>
        <v>TP</v>
      </c>
      <c r="B344" s="307">
        <f t="shared" si="64"/>
        <v>193</v>
      </c>
      <c r="C344" s="298" t="s">
        <v>1062</v>
      </c>
      <c r="D344" s="306" t="s">
        <v>1428</v>
      </c>
      <c r="E344" s="8"/>
      <c r="F344" s="8"/>
      <c r="G344" s="25">
        <f t="array" ref="G344">SUM(IF("155"&amp;C344=KHN&amp;MH,SL))</f>
        <v>1</v>
      </c>
      <c r="H344" s="25">
        <f t="array" ref="H344">SUM(IF("155"&amp;C344=KHN&amp;MH,TH))</f>
        <v>10374</v>
      </c>
      <c r="I344" s="25">
        <f t="array" ref="I344">SUM(IF("155"&amp;C344=KHC&amp;MH,SL))</f>
        <v>1</v>
      </c>
      <c r="J344" s="25">
        <f t="array" ref="J344">SUM(IF("155"&amp;C344=KHC&amp;MH,TH))</f>
        <v>10374</v>
      </c>
      <c r="K344" s="8">
        <f t="shared" ref="K344:K407" si="65">E344+G344-I344</f>
        <v>0</v>
      </c>
      <c r="L344" s="8">
        <f t="shared" ref="L344:L407" si="66">F344+H344-J344</f>
        <v>0</v>
      </c>
      <c r="M344" s="294"/>
    </row>
    <row r="345" spans="1:13" ht="18" customHeight="1">
      <c r="A345" s="294" t="str">
        <f t="shared" si="63"/>
        <v>TP</v>
      </c>
      <c r="B345" s="307">
        <f t="shared" si="64"/>
        <v>194</v>
      </c>
      <c r="C345" s="298" t="s">
        <v>1068</v>
      </c>
      <c r="D345" s="306" t="s">
        <v>1428</v>
      </c>
      <c r="E345" s="8"/>
      <c r="F345" s="8"/>
      <c r="G345" s="25">
        <f t="array" ref="G345">SUM(IF("155"&amp;C345=KHN&amp;MH,SL))</f>
        <v>747</v>
      </c>
      <c r="H345" s="25">
        <f t="array" ref="H345">SUM(IF("155"&amp;C345=KHN&amp;MH,TH))</f>
        <v>8852632</v>
      </c>
      <c r="I345" s="25">
        <f t="array" ref="I345">SUM(IF("155"&amp;C345=KHC&amp;MH,SL))</f>
        <v>747</v>
      </c>
      <c r="J345" s="25">
        <f t="array" ref="J345">SUM(IF("155"&amp;C345=KHC&amp;MH,TH))</f>
        <v>8852632</v>
      </c>
      <c r="K345" s="8">
        <f t="shared" si="65"/>
        <v>0</v>
      </c>
      <c r="L345" s="8">
        <f t="shared" si="66"/>
        <v>0</v>
      </c>
      <c r="M345" s="294"/>
    </row>
    <row r="346" spans="1:13" ht="18" customHeight="1">
      <c r="A346" s="294" t="str">
        <f t="shared" si="63"/>
        <v>TP</v>
      </c>
      <c r="B346" s="307">
        <f t="shared" si="64"/>
        <v>195</v>
      </c>
      <c r="C346" s="298" t="s">
        <v>1065</v>
      </c>
      <c r="D346" s="306" t="s">
        <v>1428</v>
      </c>
      <c r="E346" s="8"/>
      <c r="F346" s="8"/>
      <c r="G346" s="25">
        <f t="array" ref="G346">SUM(IF("155"&amp;C346=KHN&amp;MH,SL))</f>
        <v>824</v>
      </c>
      <c r="H346" s="25">
        <f t="array" ref="H346">SUM(IF("155"&amp;C346=KHN&amp;MH,TH))</f>
        <v>10670717</v>
      </c>
      <c r="I346" s="25">
        <f t="array" ref="I346">SUM(IF("155"&amp;C346=KHC&amp;MH,SL))</f>
        <v>824</v>
      </c>
      <c r="J346" s="25">
        <f t="array" ref="J346">SUM(IF("155"&amp;C346=KHC&amp;MH,TH))</f>
        <v>10670717</v>
      </c>
      <c r="K346" s="8">
        <f t="shared" si="65"/>
        <v>0</v>
      </c>
      <c r="L346" s="8">
        <f t="shared" si="66"/>
        <v>0</v>
      </c>
      <c r="M346" s="294"/>
    </row>
    <row r="347" spans="1:13" ht="18.75" customHeight="1">
      <c r="A347" s="294" t="str">
        <f t="shared" si="63"/>
        <v>TP</v>
      </c>
      <c r="B347" s="307">
        <f t="shared" si="64"/>
        <v>196</v>
      </c>
      <c r="C347" s="298" t="s">
        <v>1069</v>
      </c>
      <c r="D347" s="306" t="s">
        <v>1428</v>
      </c>
      <c r="E347" s="8"/>
      <c r="F347" s="8"/>
      <c r="G347" s="25">
        <f t="array" ref="G347">SUM(IF("155"&amp;C347=KHN&amp;MH,SL))</f>
        <v>70</v>
      </c>
      <c r="H347" s="25">
        <f t="array" ref="H347">SUM(IF("155"&amp;C347=KHN&amp;MH,TH))</f>
        <v>953778</v>
      </c>
      <c r="I347" s="25">
        <f t="array" ref="I347">SUM(IF("155"&amp;C347=KHC&amp;MH,SL))</f>
        <v>70</v>
      </c>
      <c r="J347" s="25">
        <f t="array" ref="J347">SUM(IF("155"&amp;C347=KHC&amp;MH,TH))</f>
        <v>953778</v>
      </c>
      <c r="K347" s="8">
        <f t="shared" si="65"/>
        <v>0</v>
      </c>
      <c r="L347" s="8">
        <f t="shared" si="66"/>
        <v>0</v>
      </c>
      <c r="M347" s="294"/>
    </row>
    <row r="348" spans="1:13" ht="18.75" customHeight="1">
      <c r="A348" s="294" t="str">
        <f t="shared" si="63"/>
        <v>TP</v>
      </c>
      <c r="B348" s="307">
        <f t="shared" si="64"/>
        <v>197</v>
      </c>
      <c r="C348" s="298" t="s">
        <v>837</v>
      </c>
      <c r="D348" s="306" t="s">
        <v>1428</v>
      </c>
      <c r="E348" s="8"/>
      <c r="F348" s="8"/>
      <c r="G348" s="25">
        <f t="array" ref="G348">SUM(IF("155"&amp;C348=KHN&amp;MH,SL))</f>
        <v>2</v>
      </c>
      <c r="H348" s="25">
        <f t="array" ref="H348">SUM(IF("155"&amp;C348=KHN&amp;MH,TH))</f>
        <v>7311</v>
      </c>
      <c r="I348" s="25">
        <f t="array" ref="I348">SUM(IF("155"&amp;C348=KHC&amp;MH,SL))</f>
        <v>2</v>
      </c>
      <c r="J348" s="25">
        <f t="array" ref="J348">SUM(IF("155"&amp;C348=KHC&amp;MH,TH))</f>
        <v>7311</v>
      </c>
      <c r="K348" s="8">
        <f t="shared" si="65"/>
        <v>0</v>
      </c>
      <c r="L348" s="8">
        <f t="shared" si="66"/>
        <v>0</v>
      </c>
      <c r="M348" s="294"/>
    </row>
    <row r="349" spans="1:13" ht="18.75" customHeight="1">
      <c r="A349" s="294" t="str">
        <f t="shared" si="63"/>
        <v>TP</v>
      </c>
      <c r="B349" s="307">
        <f t="shared" si="64"/>
        <v>198</v>
      </c>
      <c r="C349" s="298" t="s">
        <v>842</v>
      </c>
      <c r="D349" s="306" t="s">
        <v>1428</v>
      </c>
      <c r="E349" s="8"/>
      <c r="F349" s="8"/>
      <c r="G349" s="25">
        <f t="array" ref="G349">SUM(IF("155"&amp;C349=KHN&amp;MH,SL))</f>
        <v>2</v>
      </c>
      <c r="H349" s="25">
        <f t="array" ref="H349">SUM(IF("155"&amp;C349=KHN&amp;MH,TH))</f>
        <v>7168</v>
      </c>
      <c r="I349" s="25">
        <f t="array" ref="I349">SUM(IF("155"&amp;C349=KHC&amp;MH,SL))</f>
        <v>2</v>
      </c>
      <c r="J349" s="25">
        <f t="array" ref="J349">SUM(IF("155"&amp;C349=KHC&amp;MH,TH))</f>
        <v>7168</v>
      </c>
      <c r="K349" s="8">
        <f t="shared" si="65"/>
        <v>0</v>
      </c>
      <c r="L349" s="8">
        <f t="shared" si="66"/>
        <v>0</v>
      </c>
      <c r="M349" s="294"/>
    </row>
    <row r="350" spans="1:13" ht="18.75" customHeight="1">
      <c r="A350" s="294" t="str">
        <f t="shared" si="63"/>
        <v>TP</v>
      </c>
      <c r="B350" s="307">
        <f t="shared" si="64"/>
        <v>199</v>
      </c>
      <c r="C350" s="298" t="s">
        <v>849</v>
      </c>
      <c r="D350" s="306" t="s">
        <v>1428</v>
      </c>
      <c r="E350" s="8"/>
      <c r="F350" s="8"/>
      <c r="G350" s="25">
        <f t="array" ref="G350">SUM(IF("155"&amp;C350=KHN&amp;MH,SL))</f>
        <v>2</v>
      </c>
      <c r="H350" s="25">
        <f t="array" ref="H350">SUM(IF("155"&amp;C350=KHN&amp;MH,TH))</f>
        <v>14381</v>
      </c>
      <c r="I350" s="25">
        <f t="array" ref="I350">SUM(IF("155"&amp;C350=KHC&amp;MH,SL))</f>
        <v>2</v>
      </c>
      <c r="J350" s="25">
        <f t="array" ref="J350">SUM(IF("155"&amp;C350=KHC&amp;MH,TH))</f>
        <v>14381</v>
      </c>
      <c r="K350" s="8">
        <f t="shared" si="65"/>
        <v>0</v>
      </c>
      <c r="L350" s="8">
        <f t="shared" si="66"/>
        <v>0</v>
      </c>
      <c r="M350" s="294"/>
    </row>
    <row r="351" spans="1:13" ht="18.75" customHeight="1">
      <c r="A351" s="294" t="str">
        <f t="shared" si="63"/>
        <v>TP</v>
      </c>
      <c r="B351" s="307">
        <f t="shared" si="64"/>
        <v>200</v>
      </c>
      <c r="C351" s="298" t="s">
        <v>1041</v>
      </c>
      <c r="D351" s="306" t="s">
        <v>1428</v>
      </c>
      <c r="E351" s="8"/>
      <c r="F351" s="8"/>
      <c r="G351" s="25">
        <f t="array" ref="G351">SUM(IF("155"&amp;C351=KHN&amp;MH,SL))</f>
        <v>1</v>
      </c>
      <c r="H351" s="25">
        <f t="array" ref="H351">SUM(IF("155"&amp;C351=KHN&amp;MH,TH))</f>
        <v>6671</v>
      </c>
      <c r="I351" s="25">
        <f t="array" ref="I351">SUM(IF("155"&amp;C351=KHC&amp;MH,SL))</f>
        <v>1</v>
      </c>
      <c r="J351" s="25">
        <f t="array" ref="J351">SUM(IF("155"&amp;C351=KHC&amp;MH,TH))</f>
        <v>6671</v>
      </c>
      <c r="K351" s="8">
        <f t="shared" si="65"/>
        <v>0</v>
      </c>
      <c r="L351" s="8">
        <f t="shared" si="66"/>
        <v>0</v>
      </c>
      <c r="M351" s="294"/>
    </row>
    <row r="352" spans="1:13" ht="18.75" customHeight="1">
      <c r="A352" s="294" t="str">
        <f t="shared" si="63"/>
        <v>TP</v>
      </c>
      <c r="B352" s="307">
        <f t="shared" si="64"/>
        <v>201</v>
      </c>
      <c r="C352" s="298" t="s">
        <v>850</v>
      </c>
      <c r="D352" s="306" t="s">
        <v>1428</v>
      </c>
      <c r="E352" s="8"/>
      <c r="F352" s="8"/>
      <c r="G352" s="25">
        <f t="array" ref="G352">SUM(IF("155"&amp;C352=KHN&amp;MH,SL))</f>
        <v>5</v>
      </c>
      <c r="H352" s="25">
        <f t="array" ref="H352">SUM(IF("155"&amp;C352=KHN&amp;MH,TH))</f>
        <v>34858</v>
      </c>
      <c r="I352" s="25">
        <f t="array" ref="I352">SUM(IF("155"&amp;C352=KHC&amp;MH,SL))</f>
        <v>5</v>
      </c>
      <c r="J352" s="25">
        <f t="array" ref="J352">SUM(IF("155"&amp;C352=KHC&amp;MH,TH))</f>
        <v>34858</v>
      </c>
      <c r="K352" s="8">
        <f t="shared" si="65"/>
        <v>0</v>
      </c>
      <c r="L352" s="8">
        <f t="shared" si="66"/>
        <v>0</v>
      </c>
      <c r="M352" s="294"/>
    </row>
    <row r="353" spans="1:13" ht="18.75" customHeight="1">
      <c r="A353" s="294" t="str">
        <f t="shared" ref="A353:A384" si="67">IF(B353&lt;&gt;"","TP","")</f>
        <v>TP</v>
      </c>
      <c r="B353" s="307">
        <f t="shared" ref="B353:B384" si="68">IF(C353&lt;&gt;"",B352+1,"")</f>
        <v>202</v>
      </c>
      <c r="C353" s="298" t="s">
        <v>840</v>
      </c>
      <c r="D353" s="306" t="s">
        <v>1428</v>
      </c>
      <c r="E353" s="8"/>
      <c r="F353" s="8"/>
      <c r="G353" s="25">
        <f t="array" ref="G353">SUM(IF("155"&amp;C353=KHN&amp;MH,SL))</f>
        <v>1</v>
      </c>
      <c r="H353" s="25">
        <f t="array" ref="H353">SUM(IF("155"&amp;C353=KHN&amp;MH,TH))</f>
        <v>6972</v>
      </c>
      <c r="I353" s="25">
        <f t="array" ref="I353">SUM(IF("155"&amp;C353=KHC&amp;MH,SL))</f>
        <v>1</v>
      </c>
      <c r="J353" s="25">
        <f t="array" ref="J353">SUM(IF("155"&amp;C353=KHC&amp;MH,TH))</f>
        <v>6972</v>
      </c>
      <c r="K353" s="8">
        <f t="shared" si="65"/>
        <v>0</v>
      </c>
      <c r="L353" s="8">
        <f t="shared" si="66"/>
        <v>0</v>
      </c>
      <c r="M353" s="294"/>
    </row>
    <row r="354" spans="1:13" ht="18.75" customHeight="1">
      <c r="A354" s="294" t="str">
        <f t="shared" si="67"/>
        <v>TP</v>
      </c>
      <c r="B354" s="307">
        <f t="shared" si="68"/>
        <v>203</v>
      </c>
      <c r="C354" s="298" t="s">
        <v>841</v>
      </c>
      <c r="D354" s="306" t="s">
        <v>1428</v>
      </c>
      <c r="E354" s="8"/>
      <c r="F354" s="8"/>
      <c r="G354" s="25">
        <f t="array" ref="G354">SUM(IF("155"&amp;C354=KHN&amp;MH,SL))</f>
        <v>4</v>
      </c>
      <c r="H354" s="25">
        <f t="array" ref="H354">SUM(IF("155"&amp;C354=KHN&amp;MH,TH))</f>
        <v>23234</v>
      </c>
      <c r="I354" s="25">
        <f t="array" ref="I354">SUM(IF("155"&amp;C354=KHC&amp;MH,SL))</f>
        <v>4</v>
      </c>
      <c r="J354" s="25">
        <f t="array" ref="J354">SUM(IF("155"&amp;C354=KHC&amp;MH,TH))</f>
        <v>23234</v>
      </c>
      <c r="K354" s="8">
        <f t="shared" si="65"/>
        <v>0</v>
      </c>
      <c r="L354" s="8">
        <f t="shared" si="66"/>
        <v>0</v>
      </c>
      <c r="M354" s="294"/>
    </row>
    <row r="355" spans="1:13" ht="18.75" customHeight="1">
      <c r="A355" s="294" t="str">
        <f t="shared" si="67"/>
        <v>TP</v>
      </c>
      <c r="B355" s="307">
        <f t="shared" si="68"/>
        <v>204</v>
      </c>
      <c r="C355" s="298" t="s">
        <v>1042</v>
      </c>
      <c r="D355" s="306" t="s">
        <v>1428</v>
      </c>
      <c r="E355" s="8"/>
      <c r="F355" s="8"/>
      <c r="G355" s="25">
        <f t="array" ref="G355">SUM(IF("155"&amp;C355=KHN&amp;MH,SL))</f>
        <v>3</v>
      </c>
      <c r="H355" s="25">
        <f t="array" ref="H355">SUM(IF("155"&amp;C355=KHN&amp;MH,TH))</f>
        <v>33561</v>
      </c>
      <c r="I355" s="25">
        <f t="array" ref="I355">SUM(IF("155"&amp;C355=KHC&amp;MH,SL))</f>
        <v>3</v>
      </c>
      <c r="J355" s="25">
        <f t="array" ref="J355">SUM(IF("155"&amp;C355=KHC&amp;MH,TH))</f>
        <v>33561</v>
      </c>
      <c r="K355" s="8">
        <f t="shared" si="65"/>
        <v>0</v>
      </c>
      <c r="L355" s="8">
        <f t="shared" si="66"/>
        <v>0</v>
      </c>
      <c r="M355" s="294"/>
    </row>
    <row r="356" spans="1:13" ht="18.75" customHeight="1">
      <c r="A356" s="294" t="str">
        <f t="shared" si="67"/>
        <v>TP</v>
      </c>
      <c r="B356" s="307">
        <f t="shared" si="68"/>
        <v>205</v>
      </c>
      <c r="C356" s="298" t="s">
        <v>839</v>
      </c>
      <c r="D356" s="306" t="s">
        <v>1428</v>
      </c>
      <c r="E356" s="8"/>
      <c r="F356" s="8"/>
      <c r="G356" s="25">
        <f t="array" ref="G356">SUM(IF("155"&amp;C356=KHN&amp;MH,SL))</f>
        <v>20</v>
      </c>
      <c r="H356" s="25">
        <f t="array" ref="H356">SUM(IF("155"&amp;C356=KHN&amp;MH,TH))</f>
        <v>322870</v>
      </c>
      <c r="I356" s="25">
        <f t="array" ref="I356">SUM(IF("155"&amp;C356=KHC&amp;MH,SL))</f>
        <v>20</v>
      </c>
      <c r="J356" s="25">
        <f t="array" ref="J356">SUM(IF("155"&amp;C356=KHC&amp;MH,TH))</f>
        <v>322870</v>
      </c>
      <c r="K356" s="8">
        <f t="shared" si="65"/>
        <v>0</v>
      </c>
      <c r="L356" s="8">
        <f t="shared" si="66"/>
        <v>0</v>
      </c>
      <c r="M356" s="294"/>
    </row>
    <row r="357" spans="1:13" ht="18.75" customHeight="1">
      <c r="A357" s="294" t="str">
        <f t="shared" si="67"/>
        <v>TP</v>
      </c>
      <c r="B357" s="307">
        <f t="shared" si="68"/>
        <v>206</v>
      </c>
      <c r="C357" s="298" t="s">
        <v>836</v>
      </c>
      <c r="D357" s="306" t="s">
        <v>1428</v>
      </c>
      <c r="E357" s="8"/>
      <c r="F357" s="8"/>
      <c r="G357" s="25">
        <f t="array" ref="G357">SUM(IF("155"&amp;C357=KHN&amp;MH,SL))</f>
        <v>2</v>
      </c>
      <c r="H357" s="25">
        <f t="array" ref="H357">SUM(IF("155"&amp;C357=KHN&amp;MH,TH))</f>
        <v>15519</v>
      </c>
      <c r="I357" s="25">
        <f t="array" ref="I357">SUM(IF("155"&amp;C357=KHC&amp;MH,SL))</f>
        <v>2</v>
      </c>
      <c r="J357" s="25">
        <f t="array" ref="J357">SUM(IF("155"&amp;C357=KHC&amp;MH,TH))</f>
        <v>15519</v>
      </c>
      <c r="K357" s="8">
        <f t="shared" si="65"/>
        <v>0</v>
      </c>
      <c r="L357" s="8">
        <f t="shared" si="66"/>
        <v>0</v>
      </c>
      <c r="M357" s="294"/>
    </row>
    <row r="358" spans="1:13" ht="18.75" customHeight="1">
      <c r="A358" s="294" t="str">
        <f t="shared" si="67"/>
        <v>TP</v>
      </c>
      <c r="B358" s="307">
        <f t="shared" si="68"/>
        <v>207</v>
      </c>
      <c r="C358" s="298" t="s">
        <v>1044</v>
      </c>
      <c r="D358" s="306" t="s">
        <v>1428</v>
      </c>
      <c r="E358" s="8"/>
      <c r="F358" s="8"/>
      <c r="G358" s="25">
        <f t="array" ref="G358">SUM(IF("155"&amp;C358=KHN&amp;MH,SL))</f>
        <v>1</v>
      </c>
      <c r="H358" s="25">
        <f t="array" ref="H358">SUM(IF("155"&amp;C358=KHN&amp;MH,TH))</f>
        <v>10309</v>
      </c>
      <c r="I358" s="25">
        <f t="array" ref="I358">SUM(IF("155"&amp;C358=KHC&amp;MH,SL))</f>
        <v>1</v>
      </c>
      <c r="J358" s="25">
        <f t="array" ref="J358">SUM(IF("155"&amp;C358=KHC&amp;MH,TH))</f>
        <v>10309</v>
      </c>
      <c r="K358" s="8">
        <f t="shared" si="65"/>
        <v>0</v>
      </c>
      <c r="L358" s="8">
        <f t="shared" si="66"/>
        <v>0</v>
      </c>
      <c r="M358" s="294"/>
    </row>
    <row r="359" spans="1:13" ht="18.75" customHeight="1">
      <c r="A359" s="294" t="str">
        <f t="shared" si="67"/>
        <v>TP</v>
      </c>
      <c r="B359" s="307">
        <f t="shared" si="68"/>
        <v>208</v>
      </c>
      <c r="C359" s="298" t="s">
        <v>838</v>
      </c>
      <c r="D359" s="306" t="s">
        <v>1428</v>
      </c>
      <c r="E359" s="8"/>
      <c r="F359" s="8"/>
      <c r="G359" s="25">
        <f t="array" ref="G359">SUM(IF("155"&amp;C359=KHN&amp;MH,SL))</f>
        <v>195</v>
      </c>
      <c r="H359" s="25">
        <f t="array" ref="H359">SUM(IF("155"&amp;C359=KHN&amp;MH,TH))</f>
        <v>1538705</v>
      </c>
      <c r="I359" s="25">
        <f t="array" ref="I359">SUM(IF("155"&amp;C359=KHC&amp;MH,SL))</f>
        <v>195</v>
      </c>
      <c r="J359" s="25">
        <f t="array" ref="J359">SUM(IF("155"&amp;C359=KHC&amp;MH,TH))</f>
        <v>1538705</v>
      </c>
      <c r="K359" s="8">
        <f t="shared" si="65"/>
        <v>0</v>
      </c>
      <c r="L359" s="8">
        <f t="shared" si="66"/>
        <v>0</v>
      </c>
      <c r="M359" s="294"/>
    </row>
    <row r="360" spans="1:13" ht="18.75" customHeight="1">
      <c r="A360" s="294" t="str">
        <f t="shared" si="67"/>
        <v>TP</v>
      </c>
      <c r="B360" s="307">
        <f t="shared" si="68"/>
        <v>209</v>
      </c>
      <c r="C360" s="298" t="s">
        <v>1049</v>
      </c>
      <c r="D360" s="306" t="s">
        <v>1428</v>
      </c>
      <c r="E360" s="8"/>
      <c r="F360" s="8"/>
      <c r="G360" s="25">
        <f t="array" ref="G360">SUM(IF("155"&amp;C360=KHN&amp;MH,SL))</f>
        <v>138</v>
      </c>
      <c r="H360" s="25">
        <f t="array" ref="H360">SUM(IF("155"&amp;C360=KHN&amp;MH,TH))</f>
        <v>1020427</v>
      </c>
      <c r="I360" s="25">
        <f t="array" ref="I360">SUM(IF("155"&amp;C360=KHC&amp;MH,SL))</f>
        <v>138</v>
      </c>
      <c r="J360" s="25">
        <f t="array" ref="J360">SUM(IF("155"&amp;C360=KHC&amp;MH,TH))</f>
        <v>1020427</v>
      </c>
      <c r="K360" s="8">
        <f t="shared" si="65"/>
        <v>0</v>
      </c>
      <c r="L360" s="8">
        <f t="shared" si="66"/>
        <v>0</v>
      </c>
      <c r="M360" s="294"/>
    </row>
    <row r="361" spans="1:13" ht="18.75" customHeight="1">
      <c r="A361" s="294" t="str">
        <f t="shared" si="67"/>
        <v>TP</v>
      </c>
      <c r="B361" s="307">
        <f t="shared" si="68"/>
        <v>210</v>
      </c>
      <c r="C361" s="298" t="s">
        <v>855</v>
      </c>
      <c r="D361" s="306" t="s">
        <v>1428</v>
      </c>
      <c r="E361" s="8"/>
      <c r="F361" s="8"/>
      <c r="G361" s="25">
        <f t="array" ref="G361">SUM(IF("155"&amp;C361=KHN&amp;MH,SL))</f>
        <v>2</v>
      </c>
      <c r="H361" s="25">
        <f t="array" ref="H361">SUM(IF("155"&amp;C361=KHN&amp;MH,TH))</f>
        <v>19959</v>
      </c>
      <c r="I361" s="25">
        <f t="array" ref="I361">SUM(IF("155"&amp;C361=KHC&amp;MH,SL))</f>
        <v>2</v>
      </c>
      <c r="J361" s="25">
        <f t="array" ref="J361">SUM(IF("155"&amp;C361=KHC&amp;MH,TH))</f>
        <v>19959</v>
      </c>
      <c r="K361" s="8">
        <f t="shared" si="65"/>
        <v>0</v>
      </c>
      <c r="L361" s="8">
        <f t="shared" si="66"/>
        <v>0</v>
      </c>
      <c r="M361" s="294"/>
    </row>
    <row r="362" spans="1:13" ht="18.75" customHeight="1">
      <c r="A362" s="294" t="str">
        <f t="shared" si="67"/>
        <v>TP</v>
      </c>
      <c r="B362" s="307">
        <f t="shared" si="68"/>
        <v>211</v>
      </c>
      <c r="C362" s="298" t="s">
        <v>1050</v>
      </c>
      <c r="D362" s="306" t="s">
        <v>1428</v>
      </c>
      <c r="E362" s="8"/>
      <c r="F362" s="8"/>
      <c r="G362" s="25">
        <f t="array" ref="G362">SUM(IF("155"&amp;C362=KHN&amp;MH,SL))</f>
        <v>279</v>
      </c>
      <c r="H362" s="25">
        <f t="array" ref="H362">SUM(IF("155"&amp;C362=KHN&amp;MH,TH))</f>
        <v>2328645</v>
      </c>
      <c r="I362" s="25">
        <f t="array" ref="I362">SUM(IF("155"&amp;C362=KHC&amp;MH,SL))</f>
        <v>279</v>
      </c>
      <c r="J362" s="25">
        <f t="array" ref="J362">SUM(IF("155"&amp;C362=KHC&amp;MH,TH))</f>
        <v>2328645</v>
      </c>
      <c r="K362" s="8">
        <f t="shared" si="65"/>
        <v>0</v>
      </c>
      <c r="L362" s="8">
        <f t="shared" si="66"/>
        <v>0</v>
      </c>
      <c r="M362" s="294"/>
    </row>
    <row r="363" spans="1:13" ht="18.75" customHeight="1">
      <c r="A363" s="294" t="str">
        <f t="shared" si="67"/>
        <v>TP</v>
      </c>
      <c r="B363" s="307">
        <f t="shared" si="68"/>
        <v>212</v>
      </c>
      <c r="C363" s="298" t="s">
        <v>1053</v>
      </c>
      <c r="D363" s="306" t="s">
        <v>1428</v>
      </c>
      <c r="E363" s="8"/>
      <c r="F363" s="8"/>
      <c r="G363" s="25">
        <f t="array" ref="G363">SUM(IF("155"&amp;C363=KHN&amp;MH,SL))</f>
        <v>463</v>
      </c>
      <c r="H363" s="25">
        <f t="array" ref="H363">SUM(IF("155"&amp;C363=KHN&amp;MH,TH))</f>
        <v>3683467</v>
      </c>
      <c r="I363" s="25">
        <f t="array" ref="I363">SUM(IF("155"&amp;C363=KHC&amp;MH,SL))</f>
        <v>463</v>
      </c>
      <c r="J363" s="25">
        <f t="array" ref="J363">SUM(IF("155"&amp;C363=KHC&amp;MH,TH))</f>
        <v>3683467</v>
      </c>
      <c r="K363" s="8">
        <f t="shared" si="65"/>
        <v>0</v>
      </c>
      <c r="L363" s="8">
        <f t="shared" si="66"/>
        <v>0</v>
      </c>
      <c r="M363" s="294"/>
    </row>
    <row r="364" spans="1:13" ht="18.75" customHeight="1">
      <c r="A364" s="294" t="str">
        <f t="shared" si="67"/>
        <v>TP</v>
      </c>
      <c r="B364" s="307">
        <f t="shared" si="68"/>
        <v>213</v>
      </c>
      <c r="C364" s="298" t="s">
        <v>843</v>
      </c>
      <c r="D364" s="306" t="s">
        <v>1428</v>
      </c>
      <c r="E364" s="8"/>
      <c r="F364" s="8"/>
      <c r="G364" s="25">
        <f t="array" ref="G364">SUM(IF("155"&amp;C364=KHN&amp;MH,SL))</f>
        <v>2</v>
      </c>
      <c r="H364" s="25">
        <f t="array" ref="H364">SUM(IF("155"&amp;C364=KHN&amp;MH,TH))</f>
        <v>17255</v>
      </c>
      <c r="I364" s="25">
        <f t="array" ref="I364">SUM(IF("155"&amp;C364=KHC&amp;MH,SL))</f>
        <v>2</v>
      </c>
      <c r="J364" s="25">
        <f t="array" ref="J364">SUM(IF("155"&amp;C364=KHC&amp;MH,TH))</f>
        <v>17255</v>
      </c>
      <c r="K364" s="8">
        <f t="shared" si="65"/>
        <v>0</v>
      </c>
      <c r="L364" s="8">
        <f t="shared" si="66"/>
        <v>0</v>
      </c>
      <c r="M364" s="294"/>
    </row>
    <row r="365" spans="1:13" ht="18.75" customHeight="1">
      <c r="A365" s="294" t="str">
        <f t="shared" si="67"/>
        <v>TP</v>
      </c>
      <c r="B365" s="307">
        <f t="shared" si="68"/>
        <v>214</v>
      </c>
      <c r="C365" s="298" t="s">
        <v>1043</v>
      </c>
      <c r="D365" s="306" t="s">
        <v>1428</v>
      </c>
      <c r="E365" s="8"/>
      <c r="F365" s="8"/>
      <c r="G365" s="25">
        <f t="array" ref="G365">SUM(IF("155"&amp;C365=KHN&amp;MH,SL))</f>
        <v>2</v>
      </c>
      <c r="H365" s="25">
        <f t="array" ref="H365">SUM(IF("155"&amp;C365=KHN&amp;MH,TH))</f>
        <v>20618</v>
      </c>
      <c r="I365" s="25">
        <f t="array" ref="I365">SUM(IF("155"&amp;C365=KHC&amp;MH,SL))</f>
        <v>2</v>
      </c>
      <c r="J365" s="25">
        <f t="array" ref="J365">SUM(IF("155"&amp;C365=KHC&amp;MH,TH))</f>
        <v>20618</v>
      </c>
      <c r="K365" s="8">
        <f t="shared" si="65"/>
        <v>0</v>
      </c>
      <c r="L365" s="8">
        <f t="shared" si="66"/>
        <v>0</v>
      </c>
      <c r="M365" s="294"/>
    </row>
    <row r="366" spans="1:13" ht="18.75" customHeight="1">
      <c r="A366" s="294" t="str">
        <f t="shared" si="67"/>
        <v>TP</v>
      </c>
      <c r="B366" s="307">
        <f t="shared" si="68"/>
        <v>215</v>
      </c>
      <c r="C366" s="298" t="s">
        <v>856</v>
      </c>
      <c r="D366" s="306" t="s">
        <v>1428</v>
      </c>
      <c r="E366" s="8"/>
      <c r="F366" s="8"/>
      <c r="G366" s="25">
        <f t="array" ref="G366">SUM(IF("155"&amp;C366=KHN&amp;MH,SL))</f>
        <v>10</v>
      </c>
      <c r="H366" s="25">
        <f t="array" ref="H366">SUM(IF("155"&amp;C366=KHN&amp;MH,TH))</f>
        <v>132175</v>
      </c>
      <c r="I366" s="25">
        <f t="array" ref="I366">SUM(IF("155"&amp;C366=KHC&amp;MH,SL))</f>
        <v>10</v>
      </c>
      <c r="J366" s="25">
        <f t="array" ref="J366">SUM(IF("155"&amp;C366=KHC&amp;MH,TH))</f>
        <v>132175</v>
      </c>
      <c r="K366" s="8">
        <f t="shared" si="65"/>
        <v>0</v>
      </c>
      <c r="L366" s="8">
        <f t="shared" si="66"/>
        <v>0</v>
      </c>
      <c r="M366" s="294"/>
    </row>
    <row r="367" spans="1:13" ht="18.75" customHeight="1">
      <c r="A367" s="294" t="str">
        <f t="shared" si="67"/>
        <v>TP</v>
      </c>
      <c r="B367" s="307">
        <f t="shared" si="68"/>
        <v>216</v>
      </c>
      <c r="C367" s="298" t="s">
        <v>1045</v>
      </c>
      <c r="D367" s="306" t="s">
        <v>1428</v>
      </c>
      <c r="E367" s="8"/>
      <c r="F367" s="8"/>
      <c r="G367" s="25">
        <f t="array" ref="G367">SUM(IF("155"&amp;C367=KHN&amp;MH,SL))</f>
        <v>1</v>
      </c>
      <c r="H367" s="25">
        <f t="array" ref="H367">SUM(IF("155"&amp;C367=KHN&amp;MH,TH))</f>
        <v>9490</v>
      </c>
      <c r="I367" s="25">
        <f t="array" ref="I367">SUM(IF("155"&amp;C367=KHC&amp;MH,SL))</f>
        <v>1</v>
      </c>
      <c r="J367" s="25">
        <f t="array" ref="J367">SUM(IF("155"&amp;C367=KHC&amp;MH,TH))</f>
        <v>9490</v>
      </c>
      <c r="K367" s="8">
        <f t="shared" si="65"/>
        <v>0</v>
      </c>
      <c r="L367" s="8">
        <f t="shared" si="66"/>
        <v>0</v>
      </c>
      <c r="M367" s="294"/>
    </row>
    <row r="368" spans="1:13" ht="18.75" customHeight="1">
      <c r="A368" s="294" t="str">
        <f t="shared" si="67"/>
        <v>TP</v>
      </c>
      <c r="B368" s="307">
        <f t="shared" si="68"/>
        <v>217</v>
      </c>
      <c r="C368" s="298" t="s">
        <v>1052</v>
      </c>
      <c r="D368" s="306" t="s">
        <v>1428</v>
      </c>
      <c r="E368" s="8"/>
      <c r="F368" s="8"/>
      <c r="G368" s="25">
        <f t="array" ref="G368">SUM(IF("155"&amp;C368=KHN&amp;MH,SL))</f>
        <v>151</v>
      </c>
      <c r="H368" s="25">
        <f t="array" ref="H368">SUM(IF("155"&amp;C368=KHN&amp;MH,TH))</f>
        <v>1643022</v>
      </c>
      <c r="I368" s="25">
        <f t="array" ref="I368">SUM(IF("155"&amp;C368=KHC&amp;MH,SL))</f>
        <v>151</v>
      </c>
      <c r="J368" s="25">
        <f t="array" ref="J368">SUM(IF("155"&amp;C368=KHC&amp;MH,TH))</f>
        <v>1643022</v>
      </c>
      <c r="K368" s="8">
        <f t="shared" si="65"/>
        <v>0</v>
      </c>
      <c r="L368" s="8">
        <f t="shared" si="66"/>
        <v>0</v>
      </c>
      <c r="M368" s="294"/>
    </row>
    <row r="369" spans="1:13" ht="18.75" customHeight="1">
      <c r="A369" s="294" t="str">
        <f t="shared" si="67"/>
        <v>TP</v>
      </c>
      <c r="B369" s="307">
        <f t="shared" si="68"/>
        <v>218</v>
      </c>
      <c r="C369" s="298" t="s">
        <v>1054</v>
      </c>
      <c r="D369" s="306" t="s">
        <v>1428</v>
      </c>
      <c r="E369" s="8"/>
      <c r="F369" s="8"/>
      <c r="G369" s="25">
        <f t="array" ref="G369">SUM(IF("155"&amp;C369=KHN&amp;MH,SL))</f>
        <v>163</v>
      </c>
      <c r="H369" s="25">
        <f t="array" ref="H369">SUM(IF("155"&amp;C369=KHN&amp;MH,TH))</f>
        <v>2121561</v>
      </c>
      <c r="I369" s="25">
        <f t="array" ref="I369">SUM(IF("155"&amp;C369=KHC&amp;MH,SL))</f>
        <v>163</v>
      </c>
      <c r="J369" s="25">
        <f t="array" ref="J369">SUM(IF("155"&amp;C369=KHC&amp;MH,TH))</f>
        <v>2121561</v>
      </c>
      <c r="K369" s="8">
        <f t="shared" si="65"/>
        <v>0</v>
      </c>
      <c r="L369" s="8">
        <f t="shared" si="66"/>
        <v>0</v>
      </c>
      <c r="M369" s="294"/>
    </row>
    <row r="370" spans="1:13" ht="18.75" customHeight="1">
      <c r="A370" s="294" t="str">
        <f t="shared" si="67"/>
        <v>TP</v>
      </c>
      <c r="B370" s="307">
        <f t="shared" si="68"/>
        <v>219</v>
      </c>
      <c r="C370" s="298" t="s">
        <v>858</v>
      </c>
      <c r="D370" s="306" t="s">
        <v>1428</v>
      </c>
      <c r="E370" s="8"/>
      <c r="F370" s="8"/>
      <c r="G370" s="25">
        <f t="array" ref="G370">SUM(IF("155"&amp;C370=KHN&amp;MH,SL))</f>
        <v>1380</v>
      </c>
      <c r="H370" s="25">
        <f t="array" ref="H370">SUM(IF("155"&amp;C370=KHN&amp;MH,TH))</f>
        <v>19264128</v>
      </c>
      <c r="I370" s="25">
        <f t="array" ref="I370">SUM(IF("155"&amp;C370=KHC&amp;MH,SL))</f>
        <v>1380</v>
      </c>
      <c r="J370" s="25">
        <f t="array" ref="J370">SUM(IF("155"&amp;C370=KHC&amp;MH,TH))</f>
        <v>19264128</v>
      </c>
      <c r="K370" s="8">
        <f t="shared" si="65"/>
        <v>0</v>
      </c>
      <c r="L370" s="8">
        <f t="shared" si="66"/>
        <v>0</v>
      </c>
      <c r="M370" s="294"/>
    </row>
    <row r="371" spans="1:13" ht="18.75" customHeight="1">
      <c r="A371" s="294" t="str">
        <f t="shared" si="67"/>
        <v>TP</v>
      </c>
      <c r="B371" s="307">
        <f t="shared" si="68"/>
        <v>220</v>
      </c>
      <c r="C371" s="298" t="s">
        <v>854</v>
      </c>
      <c r="D371" s="306" t="s">
        <v>1428</v>
      </c>
      <c r="E371" s="8"/>
      <c r="F371" s="8"/>
      <c r="G371" s="25">
        <f t="array" ref="G371">SUM(IF("155"&amp;C371=KHN&amp;MH,SL))</f>
        <v>364</v>
      </c>
      <c r="H371" s="25">
        <f t="array" ref="H371">SUM(IF("155"&amp;C371=KHN&amp;MH,TH))</f>
        <v>5623063</v>
      </c>
      <c r="I371" s="25">
        <f t="array" ref="I371">SUM(IF("155"&amp;C371=KHC&amp;MH,SL))</f>
        <v>364</v>
      </c>
      <c r="J371" s="25">
        <f t="array" ref="J371">SUM(IF("155"&amp;C371=KHC&amp;MH,TH))</f>
        <v>5623063</v>
      </c>
      <c r="K371" s="8">
        <f t="shared" si="65"/>
        <v>0</v>
      </c>
      <c r="L371" s="8">
        <f t="shared" si="66"/>
        <v>0</v>
      </c>
      <c r="M371" s="294"/>
    </row>
    <row r="372" spans="1:13" ht="18.75" customHeight="1">
      <c r="A372" s="294" t="str">
        <f t="shared" si="67"/>
        <v>TP</v>
      </c>
      <c r="B372" s="307">
        <f t="shared" si="68"/>
        <v>221</v>
      </c>
      <c r="C372" s="298" t="s">
        <v>1047</v>
      </c>
      <c r="D372" s="306" t="s">
        <v>1428</v>
      </c>
      <c r="E372" s="8"/>
      <c r="F372" s="8"/>
      <c r="G372" s="25">
        <f t="array" ref="G372">SUM(IF("155"&amp;C372=KHN&amp;MH,SL))</f>
        <v>700</v>
      </c>
      <c r="H372" s="25">
        <f t="array" ref="H372">SUM(IF("155"&amp;C372=KHN&amp;MH,TH))</f>
        <v>9064929</v>
      </c>
      <c r="I372" s="25">
        <f t="array" ref="I372">SUM(IF("155"&amp;C372=KHC&amp;MH,SL))</f>
        <v>700</v>
      </c>
      <c r="J372" s="25">
        <f t="array" ref="J372">SUM(IF("155"&amp;C372=KHC&amp;MH,TH))</f>
        <v>9064929</v>
      </c>
      <c r="K372" s="8">
        <f t="shared" si="65"/>
        <v>0</v>
      </c>
      <c r="L372" s="8">
        <f t="shared" si="66"/>
        <v>0</v>
      </c>
      <c r="M372" s="294"/>
    </row>
    <row r="373" spans="1:13" ht="18.75" customHeight="1">
      <c r="A373" s="294" t="str">
        <f t="shared" si="67"/>
        <v>TP</v>
      </c>
      <c r="B373" s="307">
        <f t="shared" si="68"/>
        <v>222</v>
      </c>
      <c r="C373" s="298" t="s">
        <v>1046</v>
      </c>
      <c r="D373" s="306" t="s">
        <v>1428</v>
      </c>
      <c r="E373" s="8"/>
      <c r="F373" s="8"/>
      <c r="G373" s="25">
        <f t="array" ref="G373">SUM(IF("155"&amp;C373=KHN&amp;MH,SL))</f>
        <v>2</v>
      </c>
      <c r="H373" s="25">
        <f t="array" ref="H373">SUM(IF("155"&amp;C373=KHN&amp;MH,TH))</f>
        <v>20618</v>
      </c>
      <c r="I373" s="25">
        <f t="array" ref="I373">SUM(IF("155"&amp;C373=KHC&amp;MH,SL))</f>
        <v>2</v>
      </c>
      <c r="J373" s="25">
        <f t="array" ref="J373">SUM(IF("155"&amp;C373=KHC&amp;MH,TH))</f>
        <v>20618</v>
      </c>
      <c r="K373" s="8">
        <f t="shared" si="65"/>
        <v>0</v>
      </c>
      <c r="L373" s="8">
        <f t="shared" si="66"/>
        <v>0</v>
      </c>
      <c r="M373" s="294"/>
    </row>
    <row r="374" spans="1:13" ht="18.75" customHeight="1">
      <c r="A374" s="294" t="str">
        <f t="shared" si="67"/>
        <v>TP</v>
      </c>
      <c r="B374" s="307">
        <f t="shared" si="68"/>
        <v>223</v>
      </c>
      <c r="C374" s="298" t="s">
        <v>859</v>
      </c>
      <c r="D374" s="306" t="s">
        <v>1428</v>
      </c>
      <c r="E374" s="8"/>
      <c r="F374" s="8"/>
      <c r="G374" s="25">
        <f t="array" ref="G374">SUM(IF("155"&amp;C374=KHN&amp;MH,SL))</f>
        <v>1127</v>
      </c>
      <c r="H374" s="25">
        <f t="array" ref="H374">SUM(IF("155"&amp;C374=KHN&amp;MH,TH))</f>
        <v>15744971</v>
      </c>
      <c r="I374" s="25">
        <f t="array" ref="I374">SUM(IF("155"&amp;C374=KHC&amp;MH,SL))</f>
        <v>1127</v>
      </c>
      <c r="J374" s="25">
        <f t="array" ref="J374">SUM(IF("155"&amp;C374=KHC&amp;MH,TH))</f>
        <v>15744971</v>
      </c>
      <c r="K374" s="8">
        <f t="shared" si="65"/>
        <v>0</v>
      </c>
      <c r="L374" s="8">
        <f t="shared" si="66"/>
        <v>0</v>
      </c>
      <c r="M374" s="294"/>
    </row>
    <row r="375" spans="1:13" ht="18.75" customHeight="1">
      <c r="A375" s="294" t="str">
        <f t="shared" si="67"/>
        <v>TP</v>
      </c>
      <c r="B375" s="307">
        <f t="shared" si="68"/>
        <v>224</v>
      </c>
      <c r="C375" s="298" t="s">
        <v>853</v>
      </c>
      <c r="D375" s="306" t="s">
        <v>1428</v>
      </c>
      <c r="E375" s="8"/>
      <c r="F375" s="8"/>
      <c r="G375" s="25">
        <f t="array" ref="G375">SUM(IF("155"&amp;C375=KHN&amp;MH,SL))</f>
        <v>24</v>
      </c>
      <c r="H375" s="25">
        <f t="array" ref="H375">SUM(IF("155"&amp;C375=KHN&amp;MH,TH))</f>
        <v>356580</v>
      </c>
      <c r="I375" s="25">
        <f t="array" ref="I375">SUM(IF("155"&amp;C375=KHC&amp;MH,SL))</f>
        <v>24</v>
      </c>
      <c r="J375" s="25">
        <f t="array" ref="J375">SUM(IF("155"&amp;C375=KHC&amp;MH,TH))</f>
        <v>356580</v>
      </c>
      <c r="K375" s="8">
        <f t="shared" si="65"/>
        <v>0</v>
      </c>
      <c r="L375" s="8">
        <f t="shared" si="66"/>
        <v>0</v>
      </c>
      <c r="M375" s="294"/>
    </row>
    <row r="376" spans="1:13" ht="18.75" customHeight="1">
      <c r="A376" s="294" t="str">
        <f t="shared" si="67"/>
        <v>TP</v>
      </c>
      <c r="B376" s="307">
        <f t="shared" si="68"/>
        <v>225</v>
      </c>
      <c r="C376" s="298" t="s">
        <v>1048</v>
      </c>
      <c r="D376" s="306" t="s">
        <v>1428</v>
      </c>
      <c r="E376" s="8"/>
      <c r="F376" s="8"/>
      <c r="G376" s="25">
        <f t="array" ref="G376">SUM(IF("155"&amp;C376=KHN&amp;MH,SL))</f>
        <v>63</v>
      </c>
      <c r="H376" s="25">
        <f t="array" ref="H376">SUM(IF("155"&amp;C376=KHN&amp;MH,TH))</f>
        <v>878287</v>
      </c>
      <c r="I376" s="25">
        <f t="array" ref="I376">SUM(IF("155"&amp;C376=KHC&amp;MH,SL))</f>
        <v>63</v>
      </c>
      <c r="J376" s="25">
        <f t="array" ref="J376">SUM(IF("155"&amp;C376=KHC&amp;MH,TH))</f>
        <v>878287</v>
      </c>
      <c r="K376" s="8">
        <f t="shared" si="65"/>
        <v>0</v>
      </c>
      <c r="L376" s="8">
        <f t="shared" si="66"/>
        <v>0</v>
      </c>
      <c r="M376" s="294"/>
    </row>
    <row r="377" spans="1:13" ht="18.75" customHeight="1">
      <c r="A377" s="294" t="str">
        <f t="shared" si="67"/>
        <v>TP</v>
      </c>
      <c r="B377" s="307">
        <f t="shared" si="68"/>
        <v>226</v>
      </c>
      <c r="C377" s="298" t="s">
        <v>857</v>
      </c>
      <c r="D377" s="306" t="s">
        <v>1428</v>
      </c>
      <c r="E377" s="8"/>
      <c r="F377" s="8"/>
      <c r="G377" s="25">
        <f t="array" ref="G377">SUM(IF("155"&amp;C377=KHN&amp;MH,SL))</f>
        <v>414</v>
      </c>
      <c r="H377" s="25">
        <f t="array" ref="H377">SUM(IF("155"&amp;C377=KHN&amp;MH,TH))</f>
        <v>6384038</v>
      </c>
      <c r="I377" s="25">
        <f t="array" ref="I377">SUM(IF("155"&amp;C377=KHC&amp;MH,SL))</f>
        <v>414</v>
      </c>
      <c r="J377" s="25">
        <f t="array" ref="J377">SUM(IF("155"&amp;C377=KHC&amp;MH,TH))</f>
        <v>6384038</v>
      </c>
      <c r="K377" s="8">
        <f t="shared" si="65"/>
        <v>0</v>
      </c>
      <c r="L377" s="8">
        <f t="shared" si="66"/>
        <v>0</v>
      </c>
      <c r="M377" s="294"/>
    </row>
    <row r="378" spans="1:13" ht="18.75" customHeight="1">
      <c r="A378" s="294" t="str">
        <f t="shared" si="67"/>
        <v>TP</v>
      </c>
      <c r="B378" s="307">
        <f t="shared" si="68"/>
        <v>227</v>
      </c>
      <c r="C378" s="298" t="s">
        <v>1040</v>
      </c>
      <c r="D378" s="306" t="s">
        <v>1428</v>
      </c>
      <c r="E378" s="8"/>
      <c r="F378" s="8"/>
      <c r="G378" s="25">
        <f t="array" ref="G378">SUM(IF("155"&amp;C378=KHN&amp;MH,SL))</f>
        <v>4</v>
      </c>
      <c r="H378" s="25">
        <f t="array" ref="H378">SUM(IF("155"&amp;C378=KHN&amp;MH,TH))</f>
        <v>71610</v>
      </c>
      <c r="I378" s="25">
        <f t="array" ref="I378">SUM(IF("155"&amp;C378=KHC&amp;MH,SL))</f>
        <v>4</v>
      </c>
      <c r="J378" s="25">
        <f t="array" ref="J378">SUM(IF("155"&amp;C378=KHC&amp;MH,TH))</f>
        <v>71610</v>
      </c>
      <c r="K378" s="8">
        <f t="shared" si="65"/>
        <v>0</v>
      </c>
      <c r="L378" s="8">
        <f t="shared" si="66"/>
        <v>0</v>
      </c>
      <c r="M378" s="294"/>
    </row>
    <row r="379" spans="1:13" ht="18.75" customHeight="1">
      <c r="A379" s="294" t="str">
        <f t="shared" si="67"/>
        <v>TP</v>
      </c>
      <c r="B379" s="307">
        <f t="shared" si="68"/>
        <v>228</v>
      </c>
      <c r="C379" s="298" t="s">
        <v>852</v>
      </c>
      <c r="D379" s="306" t="s">
        <v>1428</v>
      </c>
      <c r="E379" s="8"/>
      <c r="F379" s="8"/>
      <c r="G379" s="25">
        <f t="array" ref="G379">SUM(IF("155"&amp;C379=KHN&amp;MH,SL))</f>
        <v>4</v>
      </c>
      <c r="H379" s="25">
        <f t="array" ref="H379">SUM(IF("155"&amp;C379=KHN&amp;MH,TH))</f>
        <v>59430</v>
      </c>
      <c r="I379" s="25">
        <f t="array" ref="I379">SUM(IF("155"&amp;C379=KHC&amp;MH,SL))</f>
        <v>4</v>
      </c>
      <c r="J379" s="25">
        <f t="array" ref="J379">SUM(IF("155"&amp;C379=KHC&amp;MH,TH))</f>
        <v>59430</v>
      </c>
      <c r="K379" s="8">
        <f t="shared" si="65"/>
        <v>0</v>
      </c>
      <c r="L379" s="8">
        <f t="shared" si="66"/>
        <v>0</v>
      </c>
      <c r="M379" s="294"/>
    </row>
    <row r="380" spans="1:13" ht="18.75" customHeight="1">
      <c r="A380" s="294" t="str">
        <f t="shared" si="67"/>
        <v>TP</v>
      </c>
      <c r="B380" s="307">
        <f t="shared" si="68"/>
        <v>229</v>
      </c>
      <c r="C380" s="298" t="s">
        <v>1018</v>
      </c>
      <c r="D380" s="306" t="s">
        <v>1428</v>
      </c>
      <c r="E380" s="8"/>
      <c r="F380" s="8"/>
      <c r="G380" s="25">
        <f t="array" ref="G380">SUM(IF("155"&amp;C380=KHN&amp;MH,SL))</f>
        <v>989</v>
      </c>
      <c r="H380" s="25">
        <f t="array" ref="H380">SUM(IF("155"&amp;C380=KHN&amp;MH,TH))</f>
        <v>8254588</v>
      </c>
      <c r="I380" s="25">
        <f t="array" ref="I380">SUM(IF("155"&amp;C380=KHC&amp;MH,SL))</f>
        <v>989</v>
      </c>
      <c r="J380" s="25">
        <f t="array" ref="J380">SUM(IF("155"&amp;C380=KHC&amp;MH,TH))</f>
        <v>8254588</v>
      </c>
      <c r="K380" s="8">
        <f t="shared" si="65"/>
        <v>0</v>
      </c>
      <c r="L380" s="8">
        <f t="shared" si="66"/>
        <v>0</v>
      </c>
      <c r="M380" s="294"/>
    </row>
    <row r="381" spans="1:13" ht="18.75" customHeight="1">
      <c r="A381" s="294" t="str">
        <f t="shared" si="67"/>
        <v>TP</v>
      </c>
      <c r="B381" s="307">
        <f t="shared" si="68"/>
        <v>230</v>
      </c>
      <c r="C381" s="298" t="s">
        <v>943</v>
      </c>
      <c r="D381" s="306" t="s">
        <v>1428</v>
      </c>
      <c r="E381" s="8"/>
      <c r="F381" s="8"/>
      <c r="G381" s="25">
        <f t="array" ref="G381">SUM(IF("155"&amp;C381=KHN&amp;MH,SL))</f>
        <v>103</v>
      </c>
      <c r="H381" s="25">
        <f t="array" ref="H381">SUM(IF("155"&amp;C381=KHN&amp;MH,TH))</f>
        <v>760708</v>
      </c>
      <c r="I381" s="25">
        <f t="array" ref="I381">SUM(IF("155"&amp;C381=KHC&amp;MH,SL))</f>
        <v>103</v>
      </c>
      <c r="J381" s="25">
        <f t="array" ref="J381">SUM(IF("155"&amp;C381=KHC&amp;MH,TH))</f>
        <v>760708</v>
      </c>
      <c r="K381" s="8">
        <f t="shared" si="65"/>
        <v>0</v>
      </c>
      <c r="L381" s="8">
        <f t="shared" si="66"/>
        <v>0</v>
      </c>
      <c r="M381" s="294"/>
    </row>
    <row r="382" spans="1:13" ht="18.75" customHeight="1">
      <c r="A382" s="294" t="str">
        <f t="shared" si="67"/>
        <v>TP</v>
      </c>
      <c r="B382" s="307">
        <f t="shared" si="68"/>
        <v>231</v>
      </c>
      <c r="C382" s="298" t="s">
        <v>823</v>
      </c>
      <c r="D382" s="306" t="s">
        <v>1428</v>
      </c>
      <c r="E382" s="8"/>
      <c r="F382" s="8"/>
      <c r="G382" s="25">
        <f t="array" ref="G382">SUM(IF("155"&amp;C382=KHN&amp;MH,SL))</f>
        <v>398</v>
      </c>
      <c r="H382" s="25">
        <f t="array" ref="H382">SUM(IF("155"&amp;C382=KHN&amp;MH,TH))</f>
        <v>2861823</v>
      </c>
      <c r="I382" s="25">
        <f t="array" ref="I382">SUM(IF("155"&amp;C382=KHC&amp;MH,SL))</f>
        <v>398</v>
      </c>
      <c r="J382" s="25">
        <f t="array" ref="J382">SUM(IF("155"&amp;C382=KHC&amp;MH,TH))</f>
        <v>2861823</v>
      </c>
      <c r="K382" s="8">
        <f t="shared" si="65"/>
        <v>0</v>
      </c>
      <c r="L382" s="8">
        <f t="shared" si="66"/>
        <v>0</v>
      </c>
      <c r="M382" s="294"/>
    </row>
    <row r="383" spans="1:13" ht="18.75" customHeight="1">
      <c r="A383" s="294" t="str">
        <f t="shared" si="67"/>
        <v>TP</v>
      </c>
      <c r="B383" s="307">
        <f t="shared" si="68"/>
        <v>232</v>
      </c>
      <c r="C383" s="298" t="s">
        <v>944</v>
      </c>
      <c r="D383" s="306" t="s">
        <v>1428</v>
      </c>
      <c r="E383" s="8"/>
      <c r="F383" s="8"/>
      <c r="G383" s="25">
        <f t="array" ref="G383">SUM(IF("155"&amp;C383=KHN&amp;MH,SL))</f>
        <v>101</v>
      </c>
      <c r="H383" s="25">
        <f t="array" ref="H383">SUM(IF("155"&amp;C383=KHN&amp;MH,TH))</f>
        <v>745937</v>
      </c>
      <c r="I383" s="25">
        <f t="array" ref="I383">SUM(IF("155"&amp;C383=KHC&amp;MH,SL))</f>
        <v>101</v>
      </c>
      <c r="J383" s="25">
        <f t="array" ref="J383">SUM(IF("155"&amp;C383=KHC&amp;MH,TH))</f>
        <v>745937</v>
      </c>
      <c r="K383" s="8">
        <f t="shared" si="65"/>
        <v>0</v>
      </c>
      <c r="L383" s="8">
        <f t="shared" si="66"/>
        <v>0</v>
      </c>
      <c r="M383" s="294"/>
    </row>
    <row r="384" spans="1:13" ht="18.75" customHeight="1">
      <c r="A384" s="294" t="str">
        <f t="shared" si="67"/>
        <v>TP</v>
      </c>
      <c r="B384" s="307">
        <f t="shared" si="68"/>
        <v>233</v>
      </c>
      <c r="C384" s="298" t="s">
        <v>822</v>
      </c>
      <c r="D384" s="306" t="s">
        <v>1428</v>
      </c>
      <c r="E384" s="8"/>
      <c r="F384" s="8"/>
      <c r="G384" s="25">
        <f t="array" ref="G384">SUM(IF("155"&amp;C384=KHN&amp;MH,SL))</f>
        <v>790</v>
      </c>
      <c r="H384" s="25">
        <f t="array" ref="H384">SUM(IF("155"&amp;C384=KHN&amp;MH,TH))</f>
        <v>5636064</v>
      </c>
      <c r="I384" s="25">
        <f t="array" ref="I384">SUM(IF("155"&amp;C384=KHC&amp;MH,SL))</f>
        <v>790</v>
      </c>
      <c r="J384" s="25">
        <f t="array" ref="J384">SUM(IF("155"&amp;C384=KHC&amp;MH,TH))</f>
        <v>5636064</v>
      </c>
      <c r="K384" s="8">
        <f t="shared" si="65"/>
        <v>0</v>
      </c>
      <c r="L384" s="8">
        <f t="shared" si="66"/>
        <v>0</v>
      </c>
      <c r="M384" s="294"/>
    </row>
    <row r="385" spans="1:13" ht="18.75" customHeight="1">
      <c r="A385" s="294" t="str">
        <f t="shared" ref="A385:A416" si="69">IF(B385&lt;&gt;"","TP","")</f>
        <v>TP</v>
      </c>
      <c r="B385" s="307">
        <f t="shared" ref="B385:B416" si="70">IF(C385&lt;&gt;"",B384+1,"")</f>
        <v>234</v>
      </c>
      <c r="C385" s="298" t="s">
        <v>819</v>
      </c>
      <c r="D385" s="306" t="s">
        <v>1428</v>
      </c>
      <c r="E385" s="8"/>
      <c r="F385" s="8"/>
      <c r="G385" s="25">
        <f t="array" ref="G385">SUM(IF("155"&amp;C385=KHN&amp;MH,SL))</f>
        <v>207</v>
      </c>
      <c r="H385" s="25">
        <f t="array" ref="H385">SUM(IF("155"&amp;C385=KHN&amp;MH,TH))</f>
        <v>3547884</v>
      </c>
      <c r="I385" s="25">
        <f t="array" ref="I385">SUM(IF("155"&amp;C385=KHC&amp;MH,SL))</f>
        <v>207</v>
      </c>
      <c r="J385" s="25">
        <f t="array" ref="J385">SUM(IF("155"&amp;C385=KHC&amp;MH,TH))</f>
        <v>3547884</v>
      </c>
      <c r="K385" s="8">
        <f t="shared" si="65"/>
        <v>0</v>
      </c>
      <c r="L385" s="8">
        <f t="shared" si="66"/>
        <v>0</v>
      </c>
      <c r="M385" s="294"/>
    </row>
    <row r="386" spans="1:13" ht="18.75" customHeight="1">
      <c r="A386" s="294" t="str">
        <f t="shared" si="69"/>
        <v>TP</v>
      </c>
      <c r="B386" s="307">
        <f t="shared" si="70"/>
        <v>235</v>
      </c>
      <c r="C386" s="298" t="s">
        <v>820</v>
      </c>
      <c r="D386" s="306" t="s">
        <v>1428</v>
      </c>
      <c r="E386" s="8"/>
      <c r="F386" s="8"/>
      <c r="G386" s="25">
        <f t="array" ref="G386">SUM(IF("155"&amp;C386=KHN&amp;MH,SL))</f>
        <v>177</v>
      </c>
      <c r="H386" s="25">
        <f t="array" ref="H386">SUM(IF("155"&amp;C386=KHN&amp;MH,TH))</f>
        <v>2429883</v>
      </c>
      <c r="I386" s="25">
        <f t="array" ref="I386">SUM(IF("155"&amp;C386=KHC&amp;MH,SL))</f>
        <v>177</v>
      </c>
      <c r="J386" s="25">
        <f t="array" ref="J386">SUM(IF("155"&amp;C386=KHC&amp;MH,TH))</f>
        <v>2429883</v>
      </c>
      <c r="K386" s="8">
        <f t="shared" si="65"/>
        <v>0</v>
      </c>
      <c r="L386" s="8">
        <f t="shared" si="66"/>
        <v>0</v>
      </c>
      <c r="M386" s="294"/>
    </row>
    <row r="387" spans="1:13" ht="18.75" customHeight="1">
      <c r="A387" s="294" t="str">
        <f t="shared" si="69"/>
        <v>TP</v>
      </c>
      <c r="B387" s="307">
        <f t="shared" si="70"/>
        <v>236</v>
      </c>
      <c r="C387" s="298" t="s">
        <v>827</v>
      </c>
      <c r="D387" s="306" t="s">
        <v>1428</v>
      </c>
      <c r="E387" s="8"/>
      <c r="F387" s="8"/>
      <c r="G387" s="25">
        <f t="array" ref="G387">SUM(IF("155"&amp;C387=KHN&amp;MH,SL))</f>
        <v>191</v>
      </c>
      <c r="H387" s="25">
        <f t="array" ref="H387">SUM(IF("155"&amp;C387=KHN&amp;MH,TH))</f>
        <v>3302041</v>
      </c>
      <c r="I387" s="25">
        <f t="array" ref="I387">SUM(IF("155"&amp;C387=KHC&amp;MH,SL))</f>
        <v>191</v>
      </c>
      <c r="J387" s="25">
        <f t="array" ref="J387">SUM(IF("155"&amp;C387=KHC&amp;MH,TH))</f>
        <v>3302041</v>
      </c>
      <c r="K387" s="8">
        <f t="shared" si="65"/>
        <v>0</v>
      </c>
      <c r="L387" s="8">
        <f t="shared" si="66"/>
        <v>0</v>
      </c>
      <c r="M387" s="294"/>
    </row>
    <row r="388" spans="1:13" ht="18.75" customHeight="1">
      <c r="A388" s="294" t="str">
        <f t="shared" si="69"/>
        <v>TP</v>
      </c>
      <c r="B388" s="307">
        <f t="shared" si="70"/>
        <v>237</v>
      </c>
      <c r="C388" s="298" t="s">
        <v>824</v>
      </c>
      <c r="D388" s="306" t="s">
        <v>1428</v>
      </c>
      <c r="E388" s="8"/>
      <c r="F388" s="8"/>
      <c r="G388" s="25">
        <f t="array" ref="G388">SUM(IF("155"&amp;C388=KHN&amp;MH,SL))</f>
        <v>98</v>
      </c>
      <c r="H388" s="25">
        <f t="array" ref="H388">SUM(IF("155"&amp;C388=KHN&amp;MH,TH))</f>
        <v>1345431</v>
      </c>
      <c r="I388" s="25">
        <f t="array" ref="I388">SUM(IF("155"&amp;C388=KHC&amp;MH,SL))</f>
        <v>98</v>
      </c>
      <c r="J388" s="25">
        <f t="array" ref="J388">SUM(IF("155"&amp;C388=KHC&amp;MH,TH))</f>
        <v>1345431</v>
      </c>
      <c r="K388" s="8">
        <f t="shared" si="65"/>
        <v>0</v>
      </c>
      <c r="L388" s="8">
        <f t="shared" si="66"/>
        <v>0</v>
      </c>
      <c r="M388" s="294"/>
    </row>
    <row r="389" spans="1:13" ht="18.75" customHeight="1">
      <c r="A389" s="294" t="str">
        <f t="shared" si="69"/>
        <v>TP</v>
      </c>
      <c r="B389" s="307">
        <f t="shared" si="70"/>
        <v>238</v>
      </c>
      <c r="C389" s="298" t="s">
        <v>828</v>
      </c>
      <c r="D389" s="306" t="s">
        <v>1428</v>
      </c>
      <c r="E389" s="8"/>
      <c r="F389" s="8"/>
      <c r="G389" s="25">
        <f t="array" ref="G389">SUM(IF("155"&amp;C389=KHN&amp;MH,SL))</f>
        <v>206</v>
      </c>
      <c r="H389" s="25">
        <f t="array" ref="H389">SUM(IF("155"&amp;C389=KHN&amp;MH,TH))</f>
        <v>3060647</v>
      </c>
      <c r="I389" s="25">
        <f t="array" ref="I389">SUM(IF("155"&amp;C389=KHC&amp;MH,SL))</f>
        <v>206</v>
      </c>
      <c r="J389" s="25">
        <f t="array" ref="J389">SUM(IF("155"&amp;C389=KHC&amp;MH,TH))</f>
        <v>3060647</v>
      </c>
      <c r="K389" s="8">
        <f t="shared" si="65"/>
        <v>0</v>
      </c>
      <c r="L389" s="8">
        <f t="shared" si="66"/>
        <v>0</v>
      </c>
      <c r="M389" s="294"/>
    </row>
    <row r="390" spans="1:13" ht="18.75" customHeight="1">
      <c r="A390" s="294" t="str">
        <f t="shared" si="69"/>
        <v>TP</v>
      </c>
      <c r="B390" s="307">
        <f t="shared" si="70"/>
        <v>239</v>
      </c>
      <c r="C390" s="298" t="s">
        <v>851</v>
      </c>
      <c r="D390" s="306" t="s">
        <v>1428</v>
      </c>
      <c r="E390" s="8"/>
      <c r="F390" s="8"/>
      <c r="G390" s="25">
        <f t="array" ref="G390">SUM(IF("155"&amp;C390=KHN&amp;MH,SL))</f>
        <v>86</v>
      </c>
      <c r="H390" s="25">
        <f t="array" ref="H390">SUM(IF("155"&amp;C390=KHN&amp;MH,TH))</f>
        <v>1572468</v>
      </c>
      <c r="I390" s="25">
        <f t="array" ref="I390">SUM(IF("155"&amp;C390=KHC&amp;MH,SL))</f>
        <v>86</v>
      </c>
      <c r="J390" s="25">
        <f t="array" ref="J390">SUM(IF("155"&amp;C390=KHC&amp;MH,TH))</f>
        <v>1572468</v>
      </c>
      <c r="K390" s="8">
        <f t="shared" si="65"/>
        <v>0</v>
      </c>
      <c r="L390" s="8">
        <f t="shared" si="66"/>
        <v>0</v>
      </c>
      <c r="M390" s="294"/>
    </row>
    <row r="391" spans="1:13" ht="18.75" customHeight="1">
      <c r="A391" s="294" t="str">
        <f t="shared" si="69"/>
        <v>TP</v>
      </c>
      <c r="B391" s="307">
        <f t="shared" si="70"/>
        <v>240</v>
      </c>
      <c r="C391" s="298" t="s">
        <v>945</v>
      </c>
      <c r="D391" s="306" t="s">
        <v>1428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2245933</v>
      </c>
      <c r="I391" s="25">
        <f t="array" ref="I391">SUM(IF("155"&amp;C391=KHC&amp;MH,SL))</f>
        <v>104</v>
      </c>
      <c r="J391" s="25">
        <f t="array" ref="J391">SUM(IF("155"&amp;C391=KHC&amp;MH,TH))</f>
        <v>2245933</v>
      </c>
      <c r="K391" s="8">
        <f t="shared" si="65"/>
        <v>0</v>
      </c>
      <c r="L391" s="8">
        <f t="shared" si="66"/>
        <v>0</v>
      </c>
      <c r="M391" s="294"/>
    </row>
    <row r="392" spans="1:13" ht="18.75" customHeight="1">
      <c r="A392" s="294" t="str">
        <f t="shared" si="69"/>
        <v>TP</v>
      </c>
      <c r="B392" s="307">
        <f t="shared" si="70"/>
        <v>241</v>
      </c>
      <c r="C392" s="298" t="s">
        <v>821</v>
      </c>
      <c r="D392" s="306" t="s">
        <v>1428</v>
      </c>
      <c r="E392" s="8"/>
      <c r="F392" s="8"/>
      <c r="G392" s="25">
        <f t="array" ref="G392">SUM(IF("155"&amp;C392=KHN&amp;MH,SL))</f>
        <v>205</v>
      </c>
      <c r="H392" s="25">
        <f t="array" ref="H392">SUM(IF("155"&amp;C392=KHN&amp;MH,TH))</f>
        <v>3648824</v>
      </c>
      <c r="I392" s="25">
        <f t="array" ref="I392">SUM(IF("155"&amp;C392=KHC&amp;MH,SL))</f>
        <v>205</v>
      </c>
      <c r="J392" s="25">
        <f t="array" ref="J392">SUM(IF("155"&amp;C392=KHC&amp;MH,TH))</f>
        <v>3648824</v>
      </c>
      <c r="K392" s="8">
        <f t="shared" si="65"/>
        <v>0</v>
      </c>
      <c r="L392" s="8">
        <f t="shared" si="66"/>
        <v>0</v>
      </c>
      <c r="M392" s="294"/>
    </row>
    <row r="393" spans="1:13" ht="18.75" customHeight="1">
      <c r="A393" s="294" t="str">
        <f t="shared" si="69"/>
        <v>TP</v>
      </c>
      <c r="B393" s="307">
        <f t="shared" si="70"/>
        <v>242</v>
      </c>
      <c r="C393" s="298" t="s">
        <v>1016</v>
      </c>
      <c r="D393" s="306" t="s">
        <v>1428</v>
      </c>
      <c r="E393" s="8"/>
      <c r="F393" s="8"/>
      <c r="G393" s="25">
        <f t="array" ref="G393">SUM(IF("155"&amp;C393=KHN&amp;MH,SL))</f>
        <v>980</v>
      </c>
      <c r="H393" s="25">
        <f t="array" ref="H393">SUM(IF("155"&amp;C393=KHN&amp;MH,TH))</f>
        <v>9755081</v>
      </c>
      <c r="I393" s="25">
        <f t="array" ref="I393">SUM(IF("155"&amp;C393=KHC&amp;MH,SL))</f>
        <v>980</v>
      </c>
      <c r="J393" s="25">
        <f t="array" ref="J393">SUM(IF("155"&amp;C393=KHC&amp;MH,TH))</f>
        <v>9755081</v>
      </c>
      <c r="K393" s="8">
        <f t="shared" si="65"/>
        <v>0</v>
      </c>
      <c r="L393" s="8">
        <f t="shared" si="66"/>
        <v>0</v>
      </c>
      <c r="M393" s="294"/>
    </row>
    <row r="394" spans="1:13" ht="18.75" customHeight="1">
      <c r="A394" s="294" t="str">
        <f t="shared" si="69"/>
        <v>TP</v>
      </c>
      <c r="B394" s="307">
        <f t="shared" si="70"/>
        <v>243</v>
      </c>
      <c r="C394" s="298" t="s">
        <v>829</v>
      </c>
      <c r="D394" s="306" t="s">
        <v>1428</v>
      </c>
      <c r="E394" s="8"/>
      <c r="F394" s="8"/>
      <c r="G394" s="25">
        <f t="array" ref="G394">SUM(IF("155"&amp;C394=KHN&amp;MH,SL))</f>
        <v>674</v>
      </c>
      <c r="H394" s="25">
        <f t="array" ref="H394">SUM(IF("155"&amp;C394=KHN&amp;MH,TH))</f>
        <v>5367639</v>
      </c>
      <c r="I394" s="25">
        <f t="array" ref="I394">SUM(IF("155"&amp;C394=KHC&amp;MH,SL))</f>
        <v>674</v>
      </c>
      <c r="J394" s="25">
        <f t="array" ref="J394">SUM(IF("155"&amp;C394=KHC&amp;MH,TH))</f>
        <v>5367639</v>
      </c>
      <c r="K394" s="8">
        <f t="shared" si="65"/>
        <v>0</v>
      </c>
      <c r="L394" s="8">
        <f t="shared" si="66"/>
        <v>0</v>
      </c>
      <c r="M394" s="294"/>
    </row>
    <row r="395" spans="1:13" ht="18.75" customHeight="1">
      <c r="A395" s="294" t="str">
        <f t="shared" si="69"/>
        <v>TP</v>
      </c>
      <c r="B395" s="307">
        <f t="shared" si="70"/>
        <v>244</v>
      </c>
      <c r="C395" s="298" t="s">
        <v>942</v>
      </c>
      <c r="D395" s="306" t="s">
        <v>1428</v>
      </c>
      <c r="E395" s="8"/>
      <c r="F395" s="8"/>
      <c r="G395" s="25">
        <f t="array" ref="G395">SUM(IF("155"&amp;C395=KHN&amp;MH,SL))</f>
        <v>306</v>
      </c>
      <c r="H395" s="25">
        <f t="array" ref="H395">SUM(IF("155"&amp;C395=KHN&amp;MH,TH))</f>
        <v>4088776</v>
      </c>
      <c r="I395" s="25">
        <f t="array" ref="I395">SUM(IF("155"&amp;C395=KHC&amp;MH,SL))</f>
        <v>306</v>
      </c>
      <c r="J395" s="25">
        <f t="array" ref="J395">SUM(IF("155"&amp;C395=KHC&amp;MH,TH))</f>
        <v>4088776</v>
      </c>
      <c r="K395" s="8">
        <f t="shared" si="65"/>
        <v>0</v>
      </c>
      <c r="L395" s="8">
        <f t="shared" si="66"/>
        <v>0</v>
      </c>
      <c r="M395" s="294"/>
    </row>
    <row r="396" spans="1:13" ht="18.75" customHeight="1">
      <c r="A396" s="294" t="str">
        <f t="shared" si="69"/>
        <v>TP</v>
      </c>
      <c r="B396" s="307">
        <f t="shared" si="70"/>
        <v>245</v>
      </c>
      <c r="C396" s="298" t="s">
        <v>830</v>
      </c>
      <c r="D396" s="306" t="s">
        <v>1428</v>
      </c>
      <c r="E396" s="8"/>
      <c r="F396" s="8"/>
      <c r="G396" s="25">
        <f t="array" ref="G396">SUM(IF("155"&amp;C396=KHN&amp;MH,SL))</f>
        <v>300</v>
      </c>
      <c r="H396" s="25">
        <f t="array" ref="H396">SUM(IF("155"&amp;C396=KHN&amp;MH,TH))</f>
        <v>3846103</v>
      </c>
      <c r="I396" s="25">
        <f t="array" ref="I396">SUM(IF("155"&amp;C396=KHC&amp;MH,SL))</f>
        <v>300</v>
      </c>
      <c r="J396" s="25">
        <f t="array" ref="J396">SUM(IF("155"&amp;C396=KHC&amp;MH,TH))</f>
        <v>3846103</v>
      </c>
      <c r="K396" s="8">
        <f t="shared" si="65"/>
        <v>0</v>
      </c>
      <c r="L396" s="8">
        <f t="shared" si="66"/>
        <v>0</v>
      </c>
      <c r="M396" s="294"/>
    </row>
    <row r="397" spans="1:13" ht="18.75" customHeight="1">
      <c r="A397" s="294" t="str">
        <f t="shared" si="69"/>
        <v>TP</v>
      </c>
      <c r="B397" s="307">
        <f t="shared" si="70"/>
        <v>246</v>
      </c>
      <c r="C397" s="298" t="s">
        <v>833</v>
      </c>
      <c r="D397" s="306" t="s">
        <v>1428</v>
      </c>
      <c r="E397" s="8"/>
      <c r="F397" s="8"/>
      <c r="G397" s="25">
        <f t="array" ref="G397">SUM(IF("155"&amp;C397=KHN&amp;MH,SL))</f>
        <v>90</v>
      </c>
      <c r="H397" s="25">
        <f t="array" ref="H397">SUM(IF("155"&amp;C397=KHN&amp;MH,TH))</f>
        <v>1377901</v>
      </c>
      <c r="I397" s="25">
        <f t="array" ref="I397">SUM(IF("155"&amp;C397=KHC&amp;MH,SL))</f>
        <v>90</v>
      </c>
      <c r="J397" s="25">
        <f t="array" ref="J397">SUM(IF("155"&amp;C397=KHC&amp;MH,TH))</f>
        <v>1377901</v>
      </c>
      <c r="K397" s="8">
        <f t="shared" si="65"/>
        <v>0</v>
      </c>
      <c r="L397" s="8">
        <f t="shared" si="66"/>
        <v>0</v>
      </c>
      <c r="M397" s="294"/>
    </row>
    <row r="398" spans="1:13" ht="18.75" customHeight="1">
      <c r="A398" s="294" t="str">
        <f t="shared" si="69"/>
        <v>TP</v>
      </c>
      <c r="B398" s="307">
        <f t="shared" si="70"/>
        <v>247</v>
      </c>
      <c r="C398" s="298" t="s">
        <v>832</v>
      </c>
      <c r="D398" s="306" t="s">
        <v>1428</v>
      </c>
      <c r="E398" s="8"/>
      <c r="F398" s="8"/>
      <c r="G398" s="25">
        <f t="array" ref="G398">SUM(IF("155"&amp;C398=KHN&amp;MH,SL))</f>
        <v>7</v>
      </c>
      <c r="H398" s="25">
        <f t="array" ref="H398">SUM(IF("155"&amp;C398=KHN&amp;MH,TH))</f>
        <v>122392</v>
      </c>
      <c r="I398" s="25">
        <f t="array" ref="I398">SUM(IF("155"&amp;C398=KHC&amp;MH,SL))</f>
        <v>7</v>
      </c>
      <c r="J398" s="25">
        <f t="array" ref="J398">SUM(IF("155"&amp;C398=KHC&amp;MH,TH))</f>
        <v>122392</v>
      </c>
      <c r="K398" s="8">
        <f t="shared" si="65"/>
        <v>0</v>
      </c>
      <c r="L398" s="8">
        <f t="shared" si="66"/>
        <v>0</v>
      </c>
      <c r="M398" s="294"/>
    </row>
    <row r="399" spans="1:13" ht="18.75" customHeight="1">
      <c r="A399" s="294" t="str">
        <f t="shared" si="69"/>
        <v>TP</v>
      </c>
      <c r="B399" s="307">
        <f t="shared" si="70"/>
        <v>248</v>
      </c>
      <c r="C399" s="189" t="s">
        <v>831</v>
      </c>
      <c r="D399" s="306" t="s">
        <v>1428</v>
      </c>
      <c r="E399" s="8"/>
      <c r="F399" s="8"/>
      <c r="G399" s="25">
        <f t="array" ref="G399">SUM(IF("155"&amp;C399=KHN&amp;MH,SL))</f>
        <v>7</v>
      </c>
      <c r="H399" s="25">
        <f t="array" ref="H399">SUM(IF("155"&amp;C399=KHN&amp;MH,TH))</f>
        <v>122392</v>
      </c>
      <c r="I399" s="25">
        <f t="array" ref="I399">SUM(IF("155"&amp;C399=KHC&amp;MH,SL))</f>
        <v>7</v>
      </c>
      <c r="J399" s="25">
        <f t="array" ref="J399">SUM(IF("155"&amp;C399=KHC&amp;MH,TH))</f>
        <v>122392</v>
      </c>
      <c r="K399" s="8">
        <f t="shared" si="65"/>
        <v>0</v>
      </c>
      <c r="L399" s="8">
        <f t="shared" si="66"/>
        <v>0</v>
      </c>
      <c r="M399" s="294"/>
    </row>
    <row r="400" spans="1:13" ht="18.75" customHeight="1">
      <c r="A400" s="294" t="str">
        <f t="shared" si="69"/>
        <v>TP</v>
      </c>
      <c r="B400" s="307">
        <f t="shared" si="70"/>
        <v>249</v>
      </c>
      <c r="C400" s="298" t="s">
        <v>1017</v>
      </c>
      <c r="D400" s="306" t="s">
        <v>1428</v>
      </c>
      <c r="E400" s="8"/>
      <c r="F400" s="8"/>
      <c r="G400" s="25">
        <f t="array" ref="G400">SUM(IF("155"&amp;C400=KHN&amp;MH,SL))</f>
        <v>1000</v>
      </c>
      <c r="H400" s="25">
        <f t="array" ref="H400">SUM(IF("155"&amp;C400=KHN&amp;MH,TH))</f>
        <v>7593199</v>
      </c>
      <c r="I400" s="25">
        <f t="array" ref="I400">SUM(IF("155"&amp;C400=KHC&amp;MH,SL))</f>
        <v>1000</v>
      </c>
      <c r="J400" s="25">
        <f t="array" ref="J400">SUM(IF("155"&amp;C400=KHC&amp;MH,TH))</f>
        <v>7593199</v>
      </c>
      <c r="K400" s="8">
        <f t="shared" si="65"/>
        <v>0</v>
      </c>
      <c r="L400" s="8">
        <f t="shared" si="66"/>
        <v>0</v>
      </c>
      <c r="M400" s="294"/>
    </row>
    <row r="401" spans="1:13" ht="18.75" customHeight="1">
      <c r="A401" s="294" t="str">
        <f t="shared" si="69"/>
        <v>TP</v>
      </c>
      <c r="B401" s="307">
        <f t="shared" si="70"/>
        <v>250</v>
      </c>
      <c r="C401" s="298" t="s">
        <v>1019</v>
      </c>
      <c r="D401" s="306" t="s">
        <v>1428</v>
      </c>
      <c r="E401" s="8"/>
      <c r="F401" s="8"/>
      <c r="G401" s="25">
        <f t="array" ref="G401">SUM(IF("155"&amp;C401=KHN&amp;MH,SL))</f>
        <v>590</v>
      </c>
      <c r="H401" s="25">
        <f t="array" ref="H401">SUM(IF("155"&amp;C401=KHN&amp;MH,TH))</f>
        <v>5305361</v>
      </c>
      <c r="I401" s="25">
        <f t="array" ref="I401">SUM(IF("155"&amp;C401=KHC&amp;MH,SL))</f>
        <v>590</v>
      </c>
      <c r="J401" s="25">
        <f t="array" ref="J401">SUM(IF("155"&amp;C401=KHC&amp;MH,TH))</f>
        <v>5305361</v>
      </c>
      <c r="K401" s="8">
        <f t="shared" si="65"/>
        <v>0</v>
      </c>
      <c r="L401" s="8">
        <f t="shared" si="66"/>
        <v>0</v>
      </c>
      <c r="M401" s="294"/>
    </row>
    <row r="402" spans="1:13" ht="18.75" customHeight="1">
      <c r="A402" s="294" t="str">
        <f t="shared" si="69"/>
        <v>TP</v>
      </c>
      <c r="B402" s="307">
        <f t="shared" si="70"/>
        <v>251</v>
      </c>
      <c r="C402" s="456" t="s">
        <v>1350</v>
      </c>
      <c r="D402" s="306" t="s">
        <v>1428</v>
      </c>
      <c r="E402" s="8"/>
      <c r="F402" s="8"/>
      <c r="G402" s="25">
        <f t="array" ref="G402">SUM(IF("155"&amp;C402=KHN&amp;MH,SL))</f>
        <v>505</v>
      </c>
      <c r="H402" s="25">
        <f t="array" ref="H402">SUM(IF("155"&amp;C402=KHN&amp;MH,TH))</f>
        <v>2987211</v>
      </c>
      <c r="I402" s="25">
        <f t="array" ref="I402">SUM(IF("155"&amp;C402=KHC&amp;MH,SL))</f>
        <v>505</v>
      </c>
      <c r="J402" s="25">
        <f t="array" ref="J402">SUM(IF("155"&amp;C402=KHC&amp;MH,TH))</f>
        <v>2987211</v>
      </c>
      <c r="K402" s="8">
        <f t="shared" si="65"/>
        <v>0</v>
      </c>
      <c r="L402" s="8">
        <f t="shared" si="66"/>
        <v>0</v>
      </c>
      <c r="M402" s="294"/>
    </row>
    <row r="403" spans="1:13" ht="18.75" customHeight="1">
      <c r="A403" s="294" t="str">
        <f t="shared" si="69"/>
        <v>TP</v>
      </c>
      <c r="B403" s="307">
        <f t="shared" si="70"/>
        <v>252</v>
      </c>
      <c r="C403" s="40" t="s">
        <v>1206</v>
      </c>
      <c r="D403" s="306" t="s">
        <v>1428</v>
      </c>
      <c r="E403" s="8"/>
      <c r="F403" s="8"/>
      <c r="G403" s="25">
        <f t="array" ref="G403">SUM(IF("155"&amp;C403=KHN&amp;MH,SL))</f>
        <v>400</v>
      </c>
      <c r="H403" s="25">
        <f t="array" ref="H403">SUM(IF("155"&amp;C403=KHN&amp;MH,TH))</f>
        <v>1122842</v>
      </c>
      <c r="I403" s="25">
        <f t="array" ref="I403">SUM(IF("155"&amp;C403=KHC&amp;MH,SL))</f>
        <v>400</v>
      </c>
      <c r="J403" s="25">
        <f t="array" ref="J403">SUM(IF("155"&amp;C403=KHC&amp;MH,TH))</f>
        <v>1122842</v>
      </c>
      <c r="K403" s="8">
        <f t="shared" si="65"/>
        <v>0</v>
      </c>
      <c r="L403" s="8">
        <f t="shared" si="66"/>
        <v>0</v>
      </c>
      <c r="M403" s="294"/>
    </row>
    <row r="404" spans="1:13" ht="18.75" customHeight="1">
      <c r="A404" s="294" t="str">
        <f t="shared" si="69"/>
        <v>TP</v>
      </c>
      <c r="B404" s="307">
        <f t="shared" si="70"/>
        <v>253</v>
      </c>
      <c r="C404" s="192" t="s">
        <v>1234</v>
      </c>
      <c r="D404" s="306" t="s">
        <v>1428</v>
      </c>
      <c r="E404" s="8"/>
      <c r="F404" s="8"/>
      <c r="G404" s="25">
        <f t="array" ref="G404">SUM(IF("155"&amp;C404=KHN&amp;MH,SL))</f>
        <v>2420</v>
      </c>
      <c r="H404" s="25">
        <f t="array" ref="H404">SUM(IF("155"&amp;C404=KHN&amp;MH,TH))</f>
        <v>25936390</v>
      </c>
      <c r="I404" s="25">
        <f t="array" ref="I404">SUM(IF("155"&amp;C404=KHC&amp;MH,SL))</f>
        <v>2420</v>
      </c>
      <c r="J404" s="25">
        <f t="array" ref="J404">SUM(IF("155"&amp;C404=KHC&amp;MH,TH))</f>
        <v>25936390</v>
      </c>
      <c r="K404" s="8">
        <f t="shared" si="65"/>
        <v>0</v>
      </c>
      <c r="L404" s="8">
        <f t="shared" si="66"/>
        <v>0</v>
      </c>
      <c r="M404" s="294"/>
    </row>
    <row r="405" spans="1:13" ht="18.75" customHeight="1">
      <c r="A405" s="294" t="str">
        <f t="shared" si="69"/>
        <v>TP</v>
      </c>
      <c r="B405" s="307">
        <f t="shared" si="70"/>
        <v>254</v>
      </c>
      <c r="C405" s="192" t="s">
        <v>1236</v>
      </c>
      <c r="D405" s="306" t="s">
        <v>1428</v>
      </c>
      <c r="E405" s="8"/>
      <c r="F405" s="8"/>
      <c r="G405" s="25">
        <f t="array" ref="G405">SUM(IF("155"&amp;C405=KHN&amp;MH,SL))</f>
        <v>2954.1641048824595</v>
      </c>
      <c r="H405" s="25">
        <f t="array" ref="H405">SUM(IF("155"&amp;C405=KHN&amp;MH,TH))</f>
        <v>32108905</v>
      </c>
      <c r="I405" s="25">
        <f t="array" ref="I405">SUM(IF("155"&amp;C405=KHC&amp;MH,SL))</f>
        <v>2954.1641048824595</v>
      </c>
      <c r="J405" s="25">
        <f t="array" ref="J405">SUM(IF("155"&amp;C405=KHC&amp;MH,TH))</f>
        <v>32108905</v>
      </c>
      <c r="K405" s="8">
        <f t="shared" si="65"/>
        <v>0</v>
      </c>
      <c r="L405" s="8">
        <f t="shared" si="66"/>
        <v>0</v>
      </c>
      <c r="M405" s="294"/>
    </row>
    <row r="406" spans="1:13" ht="18.75" customHeight="1">
      <c r="A406" s="294" t="str">
        <f t="shared" si="69"/>
        <v>TP</v>
      </c>
      <c r="B406" s="307">
        <f t="shared" si="70"/>
        <v>255</v>
      </c>
      <c r="C406" s="40" t="s">
        <v>1382</v>
      </c>
      <c r="D406" s="306" t="s">
        <v>1428</v>
      </c>
      <c r="E406" s="8"/>
      <c r="F406" s="8"/>
      <c r="G406" s="25">
        <f t="array" ref="G406">SUM(IF("155"&amp;C406=KHN&amp;MH,SL))</f>
        <v>392</v>
      </c>
      <c r="H406" s="25">
        <f t="array" ref="H406">SUM(IF("155"&amp;C406=KHN&amp;MH,TH))</f>
        <v>3146194</v>
      </c>
      <c r="I406" s="25">
        <f t="array" ref="I406">SUM(IF("155"&amp;C406=KHC&amp;MH,SL))</f>
        <v>392</v>
      </c>
      <c r="J406" s="25">
        <f t="array" ref="J406">SUM(IF("155"&amp;C406=KHC&amp;MH,TH))</f>
        <v>3146194</v>
      </c>
      <c r="K406" s="8">
        <f t="shared" si="65"/>
        <v>0</v>
      </c>
      <c r="L406" s="8">
        <f t="shared" si="66"/>
        <v>0</v>
      </c>
      <c r="M406" s="294"/>
    </row>
    <row r="407" spans="1:13" ht="18.75" customHeight="1">
      <c r="A407" s="294" t="str">
        <f t="shared" si="69"/>
        <v>TP</v>
      </c>
      <c r="B407" s="307">
        <f t="shared" si="70"/>
        <v>256</v>
      </c>
      <c r="C407" s="40" t="s">
        <v>1341</v>
      </c>
      <c r="D407" s="306" t="s">
        <v>1428</v>
      </c>
      <c r="E407" s="8"/>
      <c r="F407" s="8"/>
      <c r="G407" s="25">
        <f t="array" ref="G407">SUM(IF("155"&amp;C407=KHN&amp;MH,SL))</f>
        <v>980</v>
      </c>
      <c r="H407" s="25">
        <f t="array" ref="H407">SUM(IF("155"&amp;C407=KHN&amp;MH,TH))</f>
        <v>16049957</v>
      </c>
      <c r="I407" s="25">
        <f t="array" ref="I407">SUM(IF("155"&amp;C407=KHC&amp;MH,SL))</f>
        <v>980</v>
      </c>
      <c r="J407" s="25">
        <f t="array" ref="J407">SUM(IF("155"&amp;C407=KHC&amp;MH,TH))</f>
        <v>16049957</v>
      </c>
      <c r="K407" s="8">
        <f t="shared" si="65"/>
        <v>0</v>
      </c>
      <c r="L407" s="8">
        <f t="shared" si="66"/>
        <v>0</v>
      </c>
      <c r="M407" s="294"/>
    </row>
    <row r="408" spans="1:13" ht="18.75" customHeight="1">
      <c r="A408" s="294" t="str">
        <f t="shared" si="69"/>
        <v>TP</v>
      </c>
      <c r="B408" s="307">
        <f t="shared" si="70"/>
        <v>257</v>
      </c>
      <c r="C408" s="40" t="s">
        <v>1343</v>
      </c>
      <c r="D408" s="306" t="s">
        <v>1428</v>
      </c>
      <c r="E408" s="8"/>
      <c r="F408" s="8"/>
      <c r="G408" s="25">
        <f t="array" ref="G408">SUM(IF("155"&amp;C408=KHN&amp;MH,SL))</f>
        <v>1990</v>
      </c>
      <c r="H408" s="25">
        <f t="array" ref="H408">SUM(IF("155"&amp;C408=KHN&amp;MH,TH))</f>
        <v>16225630</v>
      </c>
      <c r="I408" s="25">
        <f t="array" ref="I408">SUM(IF("155"&amp;C408=KHC&amp;MH,SL))</f>
        <v>1990</v>
      </c>
      <c r="J408" s="25">
        <f t="array" ref="J408">SUM(IF("155"&amp;C408=KHC&amp;MH,TH))</f>
        <v>16225630</v>
      </c>
      <c r="K408" s="8">
        <f t="shared" ref="K408:K471" si="71">E408+G408-I408</f>
        <v>0</v>
      </c>
      <c r="L408" s="8">
        <f t="shared" ref="L408:L471" si="72">F408+H408-J408</f>
        <v>0</v>
      </c>
      <c r="M408" s="294"/>
    </row>
    <row r="409" spans="1:13" ht="18.75" customHeight="1">
      <c r="A409" s="294" t="str">
        <f t="shared" si="69"/>
        <v>TP</v>
      </c>
      <c r="B409" s="307">
        <f t="shared" si="70"/>
        <v>258</v>
      </c>
      <c r="C409" s="298" t="s">
        <v>1023</v>
      </c>
      <c r="D409" s="306" t="s">
        <v>1428</v>
      </c>
      <c r="E409" s="8"/>
      <c r="F409" s="8"/>
      <c r="G409" s="25">
        <f t="array" ref="G409">SUM(IF("155"&amp;C409=KHN&amp;MH,SL))</f>
        <v>142</v>
      </c>
      <c r="H409" s="25">
        <f t="array" ref="H409">SUM(IF("155"&amp;C409=KHN&amp;MH,TH))</f>
        <v>2657515</v>
      </c>
      <c r="I409" s="25">
        <f t="array" ref="I409">SUM(IF("155"&amp;C409=KHC&amp;MH,SL))</f>
        <v>142</v>
      </c>
      <c r="J409" s="25">
        <f t="array" ref="J409">SUM(IF("155"&amp;C409=KHC&amp;MH,TH))</f>
        <v>2657515</v>
      </c>
      <c r="K409" s="8">
        <f t="shared" si="71"/>
        <v>0</v>
      </c>
      <c r="L409" s="8">
        <f t="shared" si="72"/>
        <v>0</v>
      </c>
      <c r="M409" s="294"/>
    </row>
    <row r="410" spans="1:13" ht="18.75" customHeight="1">
      <c r="A410" s="294" t="str">
        <f t="shared" si="69"/>
        <v>TP</v>
      </c>
      <c r="B410" s="307">
        <f t="shared" si="70"/>
        <v>259</v>
      </c>
      <c r="C410" s="298" t="s">
        <v>736</v>
      </c>
      <c r="D410" s="306" t="s">
        <v>1428</v>
      </c>
      <c r="E410" s="8"/>
      <c r="F410" s="8"/>
      <c r="G410" s="25">
        <f t="array" ref="G410">SUM(IF("155"&amp;C410=KHN&amp;MH,SL))</f>
        <v>101</v>
      </c>
      <c r="H410" s="25">
        <f t="array" ref="H410">SUM(IF("155"&amp;C410=KHN&amp;MH,TH))</f>
        <v>3729477</v>
      </c>
      <c r="I410" s="25">
        <f t="array" ref="I410">SUM(IF("155"&amp;C410=KHC&amp;MH,SL))</f>
        <v>101</v>
      </c>
      <c r="J410" s="25">
        <f t="array" ref="J410">SUM(IF("155"&amp;C410=KHC&amp;MH,TH))</f>
        <v>3729477</v>
      </c>
      <c r="K410" s="8">
        <f t="shared" si="71"/>
        <v>0</v>
      </c>
      <c r="L410" s="8">
        <f t="shared" si="72"/>
        <v>0</v>
      </c>
      <c r="M410" s="294"/>
    </row>
    <row r="411" spans="1:13" ht="18.75" customHeight="1">
      <c r="A411" s="294" t="str">
        <f t="shared" si="69"/>
        <v>TP</v>
      </c>
      <c r="B411" s="307">
        <f t="shared" si="70"/>
        <v>260</v>
      </c>
      <c r="C411" s="298" t="s">
        <v>739</v>
      </c>
      <c r="D411" s="306" t="s">
        <v>1428</v>
      </c>
      <c r="E411" s="8"/>
      <c r="F411" s="8"/>
      <c r="G411" s="25">
        <f t="array" ref="G411">SUM(IF("155"&amp;C411=KHN&amp;MH,SL))</f>
        <v>101</v>
      </c>
      <c r="H411" s="25">
        <f t="array" ref="H411">SUM(IF("155"&amp;C411=KHN&amp;MH,TH))</f>
        <v>3754323</v>
      </c>
      <c r="I411" s="25">
        <f t="array" ref="I411">SUM(IF("155"&amp;C411=KHC&amp;MH,SL))</f>
        <v>101</v>
      </c>
      <c r="J411" s="25">
        <f t="array" ref="J411">SUM(IF("155"&amp;C411=KHC&amp;MH,TH))</f>
        <v>3754323</v>
      </c>
      <c r="K411" s="8">
        <f t="shared" si="71"/>
        <v>0</v>
      </c>
      <c r="L411" s="8">
        <f t="shared" si="72"/>
        <v>0</v>
      </c>
      <c r="M411" s="294"/>
    </row>
    <row r="412" spans="1:13" ht="18.75" customHeight="1">
      <c r="A412" s="294" t="str">
        <f t="shared" si="69"/>
        <v>TP</v>
      </c>
      <c r="B412" s="307">
        <f t="shared" si="70"/>
        <v>261</v>
      </c>
      <c r="C412" s="192" t="s">
        <v>1246</v>
      </c>
      <c r="D412" s="306" t="s">
        <v>1428</v>
      </c>
      <c r="E412" s="8"/>
      <c r="F412" s="8"/>
      <c r="G412" s="25">
        <f t="array" ref="G412">SUM(IF("155"&amp;C412=KHN&amp;MH,SL))</f>
        <v>308</v>
      </c>
      <c r="H412" s="25">
        <f t="array" ref="H412">SUM(IF("155"&amp;C412=KHN&amp;MH,TH))</f>
        <v>1187804</v>
      </c>
      <c r="I412" s="25">
        <f t="array" ref="I412">SUM(IF("155"&amp;C412=KHC&amp;MH,SL))</f>
        <v>308</v>
      </c>
      <c r="J412" s="25">
        <f t="array" ref="J412">SUM(IF("155"&amp;C412=KHC&amp;MH,TH))</f>
        <v>1187804</v>
      </c>
      <c r="K412" s="8">
        <f t="shared" si="71"/>
        <v>0</v>
      </c>
      <c r="L412" s="8">
        <f t="shared" si="72"/>
        <v>0</v>
      </c>
      <c r="M412" s="294"/>
    </row>
    <row r="413" spans="1:13" ht="18.75" customHeight="1">
      <c r="A413" s="294" t="str">
        <f t="shared" si="69"/>
        <v>TP</v>
      </c>
      <c r="B413" s="307">
        <f t="shared" si="70"/>
        <v>262</v>
      </c>
      <c r="C413" s="298" t="s">
        <v>914</v>
      </c>
      <c r="D413" s="306" t="s">
        <v>1428</v>
      </c>
      <c r="E413" s="8"/>
      <c r="F413" s="8"/>
      <c r="G413" s="25">
        <f t="array" ref="G413">SUM(IF("155"&amp;C413=KHN&amp;MH,SL))</f>
        <v>80</v>
      </c>
      <c r="H413" s="25">
        <f t="array" ref="H413">SUM(IF("155"&amp;C413=KHN&amp;MH,TH))</f>
        <v>1256566</v>
      </c>
      <c r="I413" s="25">
        <f t="array" ref="I413">SUM(IF("155"&amp;C413=KHC&amp;MH,SL))</f>
        <v>80</v>
      </c>
      <c r="J413" s="25">
        <f t="array" ref="J413">SUM(IF("155"&amp;C413=KHC&amp;MH,TH))</f>
        <v>1256566</v>
      </c>
      <c r="K413" s="8">
        <f t="shared" si="71"/>
        <v>0</v>
      </c>
      <c r="L413" s="8">
        <f t="shared" si="72"/>
        <v>0</v>
      </c>
      <c r="M413" s="294"/>
    </row>
    <row r="414" spans="1:13" ht="18.75" customHeight="1">
      <c r="A414" s="294" t="str">
        <f t="shared" si="69"/>
        <v>TP</v>
      </c>
      <c r="B414" s="307">
        <f t="shared" si="70"/>
        <v>263</v>
      </c>
      <c r="C414" s="298" t="s">
        <v>874</v>
      </c>
      <c r="D414" s="306" t="s">
        <v>1428</v>
      </c>
      <c r="E414" s="8"/>
      <c r="F414" s="8"/>
      <c r="G414" s="25">
        <f t="array" ref="G414">SUM(IF("155"&amp;C414=KHN&amp;MH,SL))</f>
        <v>5</v>
      </c>
      <c r="H414" s="25">
        <f t="array" ref="H414">SUM(IF("155"&amp;C414=KHN&amp;MH,TH))</f>
        <v>29043</v>
      </c>
      <c r="I414" s="25">
        <f t="array" ref="I414">SUM(IF("155"&amp;C414=KHC&amp;MH,SL))</f>
        <v>5</v>
      </c>
      <c r="J414" s="25">
        <f t="array" ref="J414">SUM(IF("155"&amp;C414=KHC&amp;MH,TH))</f>
        <v>29043</v>
      </c>
      <c r="K414" s="8">
        <f t="shared" si="71"/>
        <v>0</v>
      </c>
      <c r="L414" s="8">
        <f t="shared" si="72"/>
        <v>0</v>
      </c>
      <c r="M414" s="294"/>
    </row>
    <row r="415" spans="1:13" ht="18.75" customHeight="1">
      <c r="A415" s="294" t="str">
        <f t="shared" si="69"/>
        <v>TP</v>
      </c>
      <c r="B415" s="307">
        <f t="shared" si="70"/>
        <v>264</v>
      </c>
      <c r="C415" s="298" t="s">
        <v>877</v>
      </c>
      <c r="D415" s="306" t="s">
        <v>1428</v>
      </c>
      <c r="E415" s="8"/>
      <c r="F415" s="8"/>
      <c r="G415" s="25">
        <f t="array" ref="G415">SUM(IF("155"&amp;C415=KHN&amp;MH,SL))</f>
        <v>9</v>
      </c>
      <c r="H415" s="25">
        <f t="array" ref="H415">SUM(IF("155"&amp;C415=KHN&amp;MH,TH))</f>
        <v>69836</v>
      </c>
      <c r="I415" s="25">
        <f t="array" ref="I415">SUM(IF("155"&amp;C415=KHC&amp;MH,SL))</f>
        <v>9</v>
      </c>
      <c r="J415" s="25">
        <f t="array" ref="J415">SUM(IF("155"&amp;C415=KHC&amp;MH,TH))</f>
        <v>69836</v>
      </c>
      <c r="K415" s="8">
        <f t="shared" si="71"/>
        <v>0</v>
      </c>
      <c r="L415" s="8">
        <f t="shared" si="72"/>
        <v>0</v>
      </c>
      <c r="M415" s="294"/>
    </row>
    <row r="416" spans="1:13" ht="18.75" customHeight="1">
      <c r="A416" s="294" t="str">
        <f t="shared" si="69"/>
        <v>TP</v>
      </c>
      <c r="B416" s="307">
        <f t="shared" si="70"/>
        <v>265</v>
      </c>
      <c r="C416" s="298" t="s">
        <v>872</v>
      </c>
      <c r="D416" s="306" t="s">
        <v>1428</v>
      </c>
      <c r="E416" s="8"/>
      <c r="F416" s="8"/>
      <c r="G416" s="25">
        <f t="array" ref="G416">SUM(IF("155"&amp;C416=KHN&amp;MH,SL))</f>
        <v>16</v>
      </c>
      <c r="H416" s="25">
        <f t="array" ref="H416">SUM(IF("155"&amp;C416=KHN&amp;MH,TH))</f>
        <v>119736</v>
      </c>
      <c r="I416" s="25">
        <f t="array" ref="I416">SUM(IF("155"&amp;C416=KHC&amp;MH,SL))</f>
        <v>16</v>
      </c>
      <c r="J416" s="25">
        <f t="array" ref="J416">SUM(IF("155"&amp;C416=KHC&amp;MH,TH))</f>
        <v>119736</v>
      </c>
      <c r="K416" s="8">
        <f t="shared" si="71"/>
        <v>0</v>
      </c>
      <c r="L416" s="8">
        <f t="shared" si="72"/>
        <v>0</v>
      </c>
      <c r="M416" s="294"/>
    </row>
    <row r="417" spans="1:13" ht="18.75" customHeight="1">
      <c r="A417" s="294" t="str">
        <f t="shared" ref="A417:A448" si="73">IF(B417&lt;&gt;"","TP","")</f>
        <v>TP</v>
      </c>
      <c r="B417" s="307">
        <f t="shared" ref="B417:B448" si="74">IF(C417&lt;&gt;"",B416+1,"")</f>
        <v>266</v>
      </c>
      <c r="C417" s="298" t="s">
        <v>878</v>
      </c>
      <c r="D417" s="306" t="s">
        <v>1428</v>
      </c>
      <c r="E417" s="8"/>
      <c r="F417" s="8"/>
      <c r="G417" s="25">
        <f t="array" ref="G417">SUM(IF("155"&amp;C417=KHN&amp;MH,SL))</f>
        <v>8</v>
      </c>
      <c r="H417" s="25">
        <f t="array" ref="H417">SUM(IF("155"&amp;C417=KHN&amp;MH,TH))</f>
        <v>79836</v>
      </c>
      <c r="I417" s="25">
        <f t="array" ref="I417">SUM(IF("155"&amp;C417=KHC&amp;MH,SL))</f>
        <v>8</v>
      </c>
      <c r="J417" s="25">
        <f t="array" ref="J417">SUM(IF("155"&amp;C417=KHC&amp;MH,TH))</f>
        <v>79836</v>
      </c>
      <c r="K417" s="8">
        <f t="shared" si="71"/>
        <v>0</v>
      </c>
      <c r="L417" s="8">
        <f t="shared" si="72"/>
        <v>0</v>
      </c>
      <c r="M417" s="294"/>
    </row>
    <row r="418" spans="1:13" ht="18.75" customHeight="1">
      <c r="A418" s="294" t="str">
        <f t="shared" si="73"/>
        <v>TP</v>
      </c>
      <c r="B418" s="307">
        <f t="shared" si="74"/>
        <v>267</v>
      </c>
      <c r="C418" s="298" t="s">
        <v>879</v>
      </c>
      <c r="D418" s="306" t="s">
        <v>1428</v>
      </c>
      <c r="E418" s="8"/>
      <c r="F418" s="8"/>
      <c r="G418" s="25">
        <f t="array" ref="G418">SUM(IF("155"&amp;C418=KHN&amp;MH,SL))</f>
        <v>7</v>
      </c>
      <c r="H418" s="25">
        <f t="array" ref="H418">SUM(IF("155"&amp;C418=KHN&amp;MH,TH))</f>
        <v>69857</v>
      </c>
      <c r="I418" s="25">
        <f t="array" ref="I418">SUM(IF("155"&amp;C418=KHC&amp;MH,SL))</f>
        <v>7</v>
      </c>
      <c r="J418" s="25">
        <f t="array" ref="J418">SUM(IF("155"&amp;C418=KHC&amp;MH,TH))</f>
        <v>69857</v>
      </c>
      <c r="K418" s="8">
        <f t="shared" si="71"/>
        <v>0</v>
      </c>
      <c r="L418" s="8">
        <f t="shared" si="72"/>
        <v>0</v>
      </c>
      <c r="M418" s="294"/>
    </row>
    <row r="419" spans="1:13" ht="18.75" customHeight="1">
      <c r="A419" s="294" t="str">
        <f t="shared" si="73"/>
        <v>TP</v>
      </c>
      <c r="B419" s="307">
        <f t="shared" si="74"/>
        <v>268</v>
      </c>
      <c r="C419" s="298" t="s">
        <v>882</v>
      </c>
      <c r="D419" s="306" t="s">
        <v>1428</v>
      </c>
      <c r="E419" s="8"/>
      <c r="F419" s="8"/>
      <c r="G419" s="25">
        <f t="array" ref="G419">SUM(IF("155"&amp;C419=KHN&amp;MH,SL))</f>
        <v>5</v>
      </c>
      <c r="H419" s="25">
        <f t="array" ref="H419">SUM(IF("155"&amp;C419=KHN&amp;MH,TH))</f>
        <v>64733</v>
      </c>
      <c r="I419" s="25">
        <f t="array" ref="I419">SUM(IF("155"&amp;C419=KHC&amp;MH,SL))</f>
        <v>5</v>
      </c>
      <c r="J419" s="25">
        <f t="array" ref="J419">SUM(IF("155"&amp;C419=KHC&amp;MH,TH))</f>
        <v>64733</v>
      </c>
      <c r="K419" s="8">
        <f t="shared" si="71"/>
        <v>0</v>
      </c>
      <c r="L419" s="8">
        <f t="shared" si="72"/>
        <v>0</v>
      </c>
      <c r="M419" s="294"/>
    </row>
    <row r="420" spans="1:13" ht="18.75" customHeight="1">
      <c r="A420" s="294" t="str">
        <f t="shared" si="73"/>
        <v>TP</v>
      </c>
      <c r="B420" s="307">
        <f t="shared" si="74"/>
        <v>269</v>
      </c>
      <c r="C420" s="298" t="s">
        <v>869</v>
      </c>
      <c r="D420" s="306" t="s">
        <v>1428</v>
      </c>
      <c r="E420" s="8"/>
      <c r="F420" s="8"/>
      <c r="G420" s="25">
        <f t="array" ref="G420">SUM(IF("155"&amp;C420=KHN&amp;MH,SL))</f>
        <v>4</v>
      </c>
      <c r="H420" s="25">
        <f t="array" ref="H420">SUM(IF("155"&amp;C420=KHN&amp;MH,TH))</f>
        <v>39918</v>
      </c>
      <c r="I420" s="25">
        <f t="array" ref="I420">SUM(IF("155"&amp;C420=KHC&amp;MH,SL))</f>
        <v>4</v>
      </c>
      <c r="J420" s="25">
        <f t="array" ref="J420">SUM(IF("155"&amp;C420=KHC&amp;MH,TH))</f>
        <v>39918</v>
      </c>
      <c r="K420" s="8">
        <f t="shared" si="71"/>
        <v>0</v>
      </c>
      <c r="L420" s="8">
        <f t="shared" si="72"/>
        <v>0</v>
      </c>
      <c r="M420" s="294"/>
    </row>
    <row r="421" spans="1:13" ht="18.75" customHeight="1">
      <c r="A421" s="294" t="str">
        <f t="shared" si="73"/>
        <v>TP</v>
      </c>
      <c r="B421" s="307">
        <f t="shared" si="74"/>
        <v>270</v>
      </c>
      <c r="C421" s="298" t="s">
        <v>880</v>
      </c>
      <c r="D421" s="306" t="s">
        <v>1428</v>
      </c>
      <c r="E421" s="8"/>
      <c r="F421" s="8"/>
      <c r="G421" s="25">
        <f t="array" ref="G421">SUM(IF("155"&amp;C421=KHN&amp;MH,SL))</f>
        <v>13</v>
      </c>
      <c r="H421" s="25">
        <f t="array" ref="H421">SUM(IF("155"&amp;C421=KHN&amp;MH,TH))</f>
        <v>168305</v>
      </c>
      <c r="I421" s="25">
        <f t="array" ref="I421">SUM(IF("155"&amp;C421=KHC&amp;MH,SL))</f>
        <v>13</v>
      </c>
      <c r="J421" s="25">
        <f t="array" ref="J421">SUM(IF("155"&amp;C421=KHC&amp;MH,TH))</f>
        <v>168305</v>
      </c>
      <c r="K421" s="8">
        <f t="shared" si="71"/>
        <v>0</v>
      </c>
      <c r="L421" s="8">
        <f t="shared" si="72"/>
        <v>0</v>
      </c>
      <c r="M421" s="294"/>
    </row>
    <row r="422" spans="1:13" ht="18.75" customHeight="1">
      <c r="A422" s="294" t="str">
        <f t="shared" si="73"/>
        <v>TP</v>
      </c>
      <c r="B422" s="307">
        <f t="shared" si="74"/>
        <v>271</v>
      </c>
      <c r="C422" s="298" t="s">
        <v>884</v>
      </c>
      <c r="D422" s="306" t="s">
        <v>1428</v>
      </c>
      <c r="E422" s="8"/>
      <c r="F422" s="8"/>
      <c r="G422" s="25">
        <f t="array" ref="G422">SUM(IF("155"&amp;C422=KHN&amp;MH,SL))</f>
        <v>245</v>
      </c>
      <c r="H422" s="25">
        <f t="array" ref="H422">SUM(IF("155"&amp;C422=KHN&amp;MH,TH))</f>
        <v>1833461</v>
      </c>
      <c r="I422" s="25">
        <f t="array" ref="I422">SUM(IF("155"&amp;C422=KHC&amp;MH,SL))</f>
        <v>245</v>
      </c>
      <c r="J422" s="25">
        <f t="array" ref="J422">SUM(IF("155"&amp;C422=KHC&amp;MH,TH))</f>
        <v>1833461</v>
      </c>
      <c r="K422" s="8">
        <f t="shared" si="71"/>
        <v>0</v>
      </c>
      <c r="L422" s="8">
        <f t="shared" si="72"/>
        <v>0</v>
      </c>
      <c r="M422" s="294"/>
    </row>
    <row r="423" spans="1:13" ht="18.75" customHeight="1">
      <c r="A423" s="294" t="str">
        <f t="shared" si="73"/>
        <v>TP</v>
      </c>
      <c r="B423" s="307">
        <f t="shared" si="74"/>
        <v>272</v>
      </c>
      <c r="C423" s="298" t="s">
        <v>868</v>
      </c>
      <c r="D423" s="306" t="s">
        <v>1428</v>
      </c>
      <c r="E423" s="8"/>
      <c r="F423" s="8"/>
      <c r="G423" s="25">
        <f t="array" ref="G423">SUM(IF("155"&amp;C423=KHN&amp;MH,SL))</f>
        <v>350</v>
      </c>
      <c r="H423" s="25">
        <f t="array" ref="H423">SUM(IF("155"&amp;C423=KHN&amp;MH,TH))</f>
        <v>3280380</v>
      </c>
      <c r="I423" s="25">
        <f t="array" ref="I423">SUM(IF("155"&amp;C423=KHC&amp;MH,SL))</f>
        <v>350</v>
      </c>
      <c r="J423" s="25">
        <f t="array" ref="J423">SUM(IF("155"&amp;C423=KHC&amp;MH,TH))</f>
        <v>3280380</v>
      </c>
      <c r="K423" s="8">
        <f t="shared" si="71"/>
        <v>0</v>
      </c>
      <c r="L423" s="8">
        <f t="shared" si="72"/>
        <v>0</v>
      </c>
      <c r="M423" s="294"/>
    </row>
    <row r="424" spans="1:13" ht="18.75" customHeight="1">
      <c r="A424" s="294" t="str">
        <f t="shared" si="73"/>
        <v>TP</v>
      </c>
      <c r="B424" s="307">
        <f t="shared" si="74"/>
        <v>273</v>
      </c>
      <c r="C424" s="298" t="s">
        <v>870</v>
      </c>
      <c r="D424" s="306" t="s">
        <v>1428</v>
      </c>
      <c r="E424" s="8"/>
      <c r="F424" s="8"/>
      <c r="G424" s="25">
        <f t="array" ref="G424">SUM(IF("155"&amp;C424=KHN&amp;MH,SL))</f>
        <v>67</v>
      </c>
      <c r="H424" s="25">
        <f t="array" ref="H424">SUM(IF("155"&amp;C424=KHN&amp;MH,TH))</f>
        <v>668627</v>
      </c>
      <c r="I424" s="25">
        <f t="array" ref="I424">SUM(IF("155"&amp;C424=KHC&amp;MH,SL))</f>
        <v>67</v>
      </c>
      <c r="J424" s="25">
        <f t="array" ref="J424">SUM(IF("155"&amp;C424=KHC&amp;MH,TH))</f>
        <v>668627</v>
      </c>
      <c r="K424" s="8">
        <f t="shared" si="71"/>
        <v>0</v>
      </c>
      <c r="L424" s="8">
        <f t="shared" si="72"/>
        <v>0</v>
      </c>
      <c r="M424" s="294"/>
    </row>
    <row r="425" spans="1:13" ht="18.75" customHeight="1">
      <c r="A425" s="294" t="str">
        <f t="shared" si="73"/>
        <v>TP</v>
      </c>
      <c r="B425" s="307">
        <f t="shared" si="74"/>
        <v>274</v>
      </c>
      <c r="C425" s="298" t="s">
        <v>887</v>
      </c>
      <c r="D425" s="306" t="s">
        <v>1428</v>
      </c>
      <c r="E425" s="8"/>
      <c r="F425" s="8"/>
      <c r="G425" s="25">
        <f t="array" ref="G425">SUM(IF("155"&amp;C425=KHN&amp;MH,SL))</f>
        <v>2</v>
      </c>
      <c r="H425" s="25">
        <f t="array" ref="H425">SUM(IF("155"&amp;C425=KHN&amp;MH,TH))</f>
        <v>29715</v>
      </c>
      <c r="I425" s="25">
        <f t="array" ref="I425">SUM(IF("155"&amp;C425=KHC&amp;MH,SL))</f>
        <v>2</v>
      </c>
      <c r="J425" s="25">
        <f t="array" ref="J425">SUM(IF("155"&amp;C425=KHC&amp;MH,TH))</f>
        <v>29715</v>
      </c>
      <c r="K425" s="8">
        <f t="shared" si="71"/>
        <v>0</v>
      </c>
      <c r="L425" s="8">
        <f t="shared" si="72"/>
        <v>0</v>
      </c>
      <c r="M425" s="294"/>
    </row>
    <row r="426" spans="1:13" ht="18.75" customHeight="1">
      <c r="A426" s="294" t="str">
        <f t="shared" si="73"/>
        <v>TP</v>
      </c>
      <c r="B426" s="307">
        <f t="shared" si="74"/>
        <v>275</v>
      </c>
      <c r="C426" s="298" t="s">
        <v>875</v>
      </c>
      <c r="D426" s="306" t="s">
        <v>1428</v>
      </c>
      <c r="E426" s="8"/>
      <c r="F426" s="8"/>
      <c r="G426" s="25">
        <f t="array" ref="G426">SUM(IF("155"&amp;C426=KHN&amp;MH,SL))</f>
        <v>3</v>
      </c>
      <c r="H426" s="25">
        <f t="array" ref="H426">SUM(IF("155"&amp;C426=KHN&amp;MH,TH))</f>
        <v>29939</v>
      </c>
      <c r="I426" s="25">
        <f t="array" ref="I426">SUM(IF("155"&amp;C426=KHC&amp;MH,SL))</f>
        <v>3</v>
      </c>
      <c r="J426" s="25">
        <f t="array" ref="J426">SUM(IF("155"&amp;C426=KHC&amp;MH,TH))</f>
        <v>29939</v>
      </c>
      <c r="K426" s="8">
        <f t="shared" si="71"/>
        <v>0</v>
      </c>
      <c r="L426" s="8">
        <f t="shared" si="72"/>
        <v>0</v>
      </c>
      <c r="M426" s="294"/>
    </row>
    <row r="427" spans="1:13" ht="18.75" customHeight="1">
      <c r="A427" s="294" t="str">
        <f t="shared" si="73"/>
        <v>TP</v>
      </c>
      <c r="B427" s="307">
        <f t="shared" si="74"/>
        <v>276</v>
      </c>
      <c r="C427" s="298" t="s">
        <v>1070</v>
      </c>
      <c r="D427" s="306" t="s">
        <v>1428</v>
      </c>
      <c r="E427" s="8"/>
      <c r="F427" s="8"/>
      <c r="G427" s="25">
        <f t="array" ref="G427">SUM(IF("155"&amp;C427=KHN&amp;MH,SL))</f>
        <v>126</v>
      </c>
      <c r="H427" s="25">
        <f t="array" ref="H427">SUM(IF("155"&amp;C427=KHN&amp;MH,TH))</f>
        <v>1940310</v>
      </c>
      <c r="I427" s="25">
        <f t="array" ref="I427">SUM(IF("155"&amp;C427=KHC&amp;MH,SL))</f>
        <v>126</v>
      </c>
      <c r="J427" s="25">
        <f t="array" ref="J427">SUM(IF("155"&amp;C427=KHC&amp;MH,TH))</f>
        <v>1940310</v>
      </c>
      <c r="K427" s="8">
        <f t="shared" si="71"/>
        <v>0</v>
      </c>
      <c r="L427" s="8">
        <f t="shared" si="72"/>
        <v>0</v>
      </c>
      <c r="M427" s="294"/>
    </row>
    <row r="428" spans="1:13" ht="18.75" customHeight="1">
      <c r="A428" s="294" t="str">
        <f t="shared" si="73"/>
        <v>TP</v>
      </c>
      <c r="B428" s="307">
        <f t="shared" si="74"/>
        <v>277</v>
      </c>
      <c r="C428" s="298" t="s">
        <v>1072</v>
      </c>
      <c r="D428" s="306" t="s">
        <v>1428</v>
      </c>
      <c r="E428" s="8"/>
      <c r="F428" s="8"/>
      <c r="G428" s="25">
        <f t="array" ref="G428">SUM(IF("155"&amp;C428=KHN&amp;MH,SL))</f>
        <v>9</v>
      </c>
      <c r="H428" s="25">
        <f t="array" ref="H428">SUM(IF("155"&amp;C428=KHN&amp;MH,TH))</f>
        <v>115429</v>
      </c>
      <c r="I428" s="25">
        <f t="array" ref="I428">SUM(IF("155"&amp;C428=KHC&amp;MH,SL))</f>
        <v>9</v>
      </c>
      <c r="J428" s="25">
        <f t="array" ref="J428">SUM(IF("155"&amp;C428=KHC&amp;MH,TH))</f>
        <v>115429</v>
      </c>
      <c r="K428" s="8">
        <f t="shared" si="71"/>
        <v>0</v>
      </c>
      <c r="L428" s="8">
        <f t="shared" si="72"/>
        <v>0</v>
      </c>
      <c r="M428" s="294"/>
    </row>
    <row r="429" spans="1:13" ht="18.75" customHeight="1">
      <c r="A429" s="294" t="str">
        <f t="shared" si="73"/>
        <v>TP</v>
      </c>
      <c r="B429" s="307">
        <f t="shared" si="74"/>
        <v>278</v>
      </c>
      <c r="C429" s="298" t="s">
        <v>891</v>
      </c>
      <c r="D429" s="306" t="s">
        <v>1428</v>
      </c>
      <c r="E429" s="8"/>
      <c r="F429" s="8"/>
      <c r="G429" s="25">
        <f t="array" ref="G429">SUM(IF("155"&amp;C429=KHN&amp;MH,SL))</f>
        <v>344</v>
      </c>
      <c r="H429" s="25">
        <f t="array" ref="H429">SUM(IF("155"&amp;C429=KHN&amp;MH,TH))</f>
        <v>5742788</v>
      </c>
      <c r="I429" s="25">
        <f t="array" ref="I429">SUM(IF("155"&amp;C429=KHC&amp;MH,SL))</f>
        <v>344</v>
      </c>
      <c r="J429" s="25">
        <f t="array" ref="J429">SUM(IF("155"&amp;C429=KHC&amp;MH,TH))</f>
        <v>5742788</v>
      </c>
      <c r="K429" s="8">
        <f t="shared" si="71"/>
        <v>0</v>
      </c>
      <c r="L429" s="8">
        <f t="shared" si="72"/>
        <v>0</v>
      </c>
      <c r="M429" s="294"/>
    </row>
    <row r="430" spans="1:13" ht="18.75" customHeight="1">
      <c r="A430" s="294" t="str">
        <f t="shared" si="73"/>
        <v>TP</v>
      </c>
      <c r="B430" s="307">
        <f t="shared" si="74"/>
        <v>279</v>
      </c>
      <c r="C430" s="298" t="s">
        <v>909</v>
      </c>
      <c r="D430" s="306" t="s">
        <v>1428</v>
      </c>
      <c r="E430" s="8"/>
      <c r="F430" s="8"/>
      <c r="G430" s="25">
        <f t="array" ref="G430">SUM(IF("155"&amp;C430=KHN&amp;MH,SL))</f>
        <v>30</v>
      </c>
      <c r="H430" s="25">
        <f t="array" ref="H430">SUM(IF("155"&amp;C430=KHN&amp;MH,TH))</f>
        <v>388395</v>
      </c>
      <c r="I430" s="25">
        <f t="array" ref="I430">SUM(IF("155"&amp;C430=KHC&amp;MH,SL))</f>
        <v>30</v>
      </c>
      <c r="J430" s="25">
        <f t="array" ref="J430">SUM(IF("155"&amp;C430=KHC&amp;MH,TH))</f>
        <v>388395</v>
      </c>
      <c r="K430" s="8">
        <f t="shared" si="71"/>
        <v>0</v>
      </c>
      <c r="L430" s="8">
        <f t="shared" si="72"/>
        <v>0</v>
      </c>
      <c r="M430" s="294"/>
    </row>
    <row r="431" spans="1:13" ht="18.75" customHeight="1">
      <c r="A431" s="294" t="str">
        <f t="shared" si="73"/>
        <v>TP</v>
      </c>
      <c r="B431" s="307">
        <f t="shared" si="74"/>
        <v>280</v>
      </c>
      <c r="C431" s="298" t="s">
        <v>886</v>
      </c>
      <c r="D431" s="306" t="s">
        <v>1428</v>
      </c>
      <c r="E431" s="8"/>
      <c r="F431" s="8"/>
      <c r="G431" s="25">
        <f t="array" ref="G431">SUM(IF("155"&amp;C431=KHN&amp;MH,SL))</f>
        <v>4</v>
      </c>
      <c r="H431" s="25">
        <f t="array" ref="H431">SUM(IF("155"&amp;C431=KHN&amp;MH,TH))</f>
        <v>64574</v>
      </c>
      <c r="I431" s="25">
        <f t="array" ref="I431">SUM(IF("155"&amp;C431=KHC&amp;MH,SL))</f>
        <v>4</v>
      </c>
      <c r="J431" s="25">
        <f t="array" ref="J431">SUM(IF("155"&amp;C431=KHC&amp;MH,TH))</f>
        <v>64574</v>
      </c>
      <c r="K431" s="8">
        <f t="shared" si="71"/>
        <v>0</v>
      </c>
      <c r="L431" s="8">
        <f t="shared" si="72"/>
        <v>0</v>
      </c>
      <c r="M431" s="294"/>
    </row>
    <row r="432" spans="1:13" ht="18.75" customHeight="1">
      <c r="A432" s="294" t="str">
        <f t="shared" si="73"/>
        <v>TP</v>
      </c>
      <c r="B432" s="307">
        <f t="shared" si="74"/>
        <v>281</v>
      </c>
      <c r="C432" s="298" t="s">
        <v>873</v>
      </c>
      <c r="D432" s="306" t="s">
        <v>1428</v>
      </c>
      <c r="E432" s="8"/>
      <c r="F432" s="8"/>
      <c r="G432" s="25">
        <f t="array" ref="G432">SUM(IF("155"&amp;C432=KHN&amp;MH,SL))</f>
        <v>149</v>
      </c>
      <c r="H432" s="25">
        <f t="array" ref="H432">SUM(IF("155"&amp;C432=KHN&amp;MH,TH))</f>
        <v>2405383</v>
      </c>
      <c r="I432" s="25">
        <f t="array" ref="I432">SUM(IF("155"&amp;C432=KHC&amp;MH,SL))</f>
        <v>149</v>
      </c>
      <c r="J432" s="25">
        <f t="array" ref="J432">SUM(IF("155"&amp;C432=KHC&amp;MH,TH))</f>
        <v>2405383</v>
      </c>
      <c r="K432" s="8">
        <f t="shared" si="71"/>
        <v>0</v>
      </c>
      <c r="L432" s="8">
        <f t="shared" si="72"/>
        <v>0</v>
      </c>
      <c r="M432" s="294"/>
    </row>
    <row r="433" spans="1:13" ht="18.75" customHeight="1">
      <c r="A433" s="294" t="str">
        <f t="shared" si="73"/>
        <v>TP</v>
      </c>
      <c r="B433" s="307">
        <f t="shared" si="74"/>
        <v>282</v>
      </c>
      <c r="C433" s="298" t="s">
        <v>876</v>
      </c>
      <c r="D433" s="306" t="s">
        <v>1428</v>
      </c>
      <c r="E433" s="8"/>
      <c r="F433" s="8"/>
      <c r="G433" s="25">
        <f t="array" ref="G433">SUM(IF("155"&amp;C433=KHN&amp;MH,SL))</f>
        <v>12</v>
      </c>
      <c r="H433" s="25">
        <f t="array" ref="H433">SUM(IF("155"&amp;C433=KHN&amp;MH,TH))</f>
        <v>209814</v>
      </c>
      <c r="I433" s="25">
        <f t="array" ref="I433">SUM(IF("155"&amp;C433=KHC&amp;MH,SL))</f>
        <v>12</v>
      </c>
      <c r="J433" s="25">
        <f t="array" ref="J433">SUM(IF("155"&amp;C433=KHC&amp;MH,TH))</f>
        <v>209814</v>
      </c>
      <c r="K433" s="8">
        <f t="shared" si="71"/>
        <v>0</v>
      </c>
      <c r="L433" s="8">
        <f t="shared" si="72"/>
        <v>0</v>
      </c>
      <c r="M433" s="294"/>
    </row>
    <row r="434" spans="1:13" ht="18.75" customHeight="1">
      <c r="A434" s="294" t="str">
        <f t="shared" si="73"/>
        <v>TP</v>
      </c>
      <c r="B434" s="307">
        <f t="shared" si="74"/>
        <v>283</v>
      </c>
      <c r="C434" s="298" t="s">
        <v>871</v>
      </c>
      <c r="D434" s="306" t="s">
        <v>1428</v>
      </c>
      <c r="E434" s="8"/>
      <c r="F434" s="8"/>
      <c r="G434" s="25">
        <f t="array" ref="G434">SUM(IF("155"&amp;C434=KHN&amp;MH,SL))</f>
        <v>28</v>
      </c>
      <c r="H434" s="25">
        <f t="array" ref="H434">SUM(IF("155"&amp;C434=KHN&amp;MH,TH))</f>
        <v>450733</v>
      </c>
      <c r="I434" s="25">
        <f t="array" ref="I434">SUM(IF("155"&amp;C434=KHC&amp;MH,SL))</f>
        <v>28</v>
      </c>
      <c r="J434" s="25">
        <f t="array" ref="J434">SUM(IF("155"&amp;C434=KHC&amp;MH,TH))</f>
        <v>450733</v>
      </c>
      <c r="K434" s="8">
        <f t="shared" si="71"/>
        <v>0</v>
      </c>
      <c r="L434" s="8">
        <f t="shared" si="72"/>
        <v>0</v>
      </c>
      <c r="M434" s="294"/>
    </row>
    <row r="435" spans="1:13" ht="18.75" customHeight="1">
      <c r="A435" s="294" t="str">
        <f t="shared" si="73"/>
        <v>TP</v>
      </c>
      <c r="B435" s="307">
        <f t="shared" si="74"/>
        <v>284</v>
      </c>
      <c r="C435" s="298" t="s">
        <v>1071</v>
      </c>
      <c r="D435" s="306" t="s">
        <v>1428</v>
      </c>
      <c r="E435" s="8"/>
      <c r="F435" s="8"/>
      <c r="G435" s="25">
        <f t="array" ref="G435">SUM(IF("155"&amp;C435=KHN&amp;MH,SL))</f>
        <v>166</v>
      </c>
      <c r="H435" s="25">
        <f t="array" ref="H435">SUM(IF("155"&amp;C435=KHN&amp;MH,TH))</f>
        <v>2363408</v>
      </c>
      <c r="I435" s="25">
        <f t="array" ref="I435">SUM(IF("155"&amp;C435=KHC&amp;MH,SL))</f>
        <v>166</v>
      </c>
      <c r="J435" s="25">
        <f t="array" ref="J435">SUM(IF("155"&amp;C435=KHC&amp;MH,TH))</f>
        <v>2363408</v>
      </c>
      <c r="K435" s="8">
        <f t="shared" si="71"/>
        <v>0</v>
      </c>
      <c r="L435" s="8">
        <f t="shared" si="72"/>
        <v>0</v>
      </c>
      <c r="M435" s="294"/>
    </row>
    <row r="436" spans="1:13" ht="18.75" customHeight="1">
      <c r="A436" s="294" t="str">
        <f t="shared" si="73"/>
        <v>TP</v>
      </c>
      <c r="B436" s="307">
        <f t="shared" si="74"/>
        <v>285</v>
      </c>
      <c r="C436" s="298" t="s">
        <v>867</v>
      </c>
      <c r="D436" s="306" t="s">
        <v>1428</v>
      </c>
      <c r="E436" s="8"/>
      <c r="F436" s="8"/>
      <c r="G436" s="25">
        <f t="array" ref="G436">SUM(IF("155"&amp;C436=KHN&amp;MH,SL))</f>
        <v>411</v>
      </c>
      <c r="H436" s="25">
        <f t="array" ref="H436">SUM(IF("155"&amp;C436=KHN&amp;MH,TH))</f>
        <v>5840854</v>
      </c>
      <c r="I436" s="25">
        <f t="array" ref="I436">SUM(IF("155"&amp;C436=KHC&amp;MH,SL))</f>
        <v>411</v>
      </c>
      <c r="J436" s="25">
        <f t="array" ref="J436">SUM(IF("155"&amp;C436=KHC&amp;MH,TH))</f>
        <v>5840854</v>
      </c>
      <c r="K436" s="8">
        <f t="shared" si="71"/>
        <v>0</v>
      </c>
      <c r="L436" s="8">
        <f t="shared" si="72"/>
        <v>0</v>
      </c>
      <c r="M436" s="294"/>
    </row>
    <row r="437" spans="1:13" ht="18.75" customHeight="1">
      <c r="A437" s="294" t="str">
        <f t="shared" si="73"/>
        <v>TP</v>
      </c>
      <c r="B437" s="307">
        <f t="shared" si="74"/>
        <v>286</v>
      </c>
      <c r="C437" s="298" t="s">
        <v>883</v>
      </c>
      <c r="D437" s="306" t="s">
        <v>1428</v>
      </c>
      <c r="E437" s="8"/>
      <c r="F437" s="8"/>
      <c r="G437" s="25">
        <f t="array" ref="G437">SUM(IF("155"&amp;C437=KHN&amp;MH,SL))</f>
        <v>22</v>
      </c>
      <c r="H437" s="25">
        <f t="array" ref="H437">SUM(IF("155"&amp;C437=KHN&amp;MH,TH))</f>
        <v>392073</v>
      </c>
      <c r="I437" s="25">
        <f t="array" ref="I437">SUM(IF("155"&amp;C437=KHC&amp;MH,SL))</f>
        <v>22</v>
      </c>
      <c r="J437" s="25">
        <f t="array" ref="J437">SUM(IF("155"&amp;C437=KHC&amp;MH,TH))</f>
        <v>392073</v>
      </c>
      <c r="K437" s="8">
        <f t="shared" si="71"/>
        <v>0</v>
      </c>
      <c r="L437" s="8">
        <f t="shared" si="72"/>
        <v>0</v>
      </c>
      <c r="M437" s="294"/>
    </row>
    <row r="438" spans="1:13" ht="18.75" customHeight="1">
      <c r="A438" s="294" t="str">
        <f t="shared" si="73"/>
        <v>TP</v>
      </c>
      <c r="B438" s="307">
        <f t="shared" si="74"/>
        <v>287</v>
      </c>
      <c r="C438" s="192" t="s">
        <v>1250</v>
      </c>
      <c r="D438" s="306" t="s">
        <v>1428</v>
      </c>
      <c r="E438" s="8"/>
      <c r="F438" s="8"/>
      <c r="G438" s="25">
        <f t="array" ref="G438">SUM(IF("155"&amp;C438=KHN&amp;MH,SL))</f>
        <v>165</v>
      </c>
      <c r="H438" s="25">
        <f t="array" ref="H438">SUM(IF("155"&amp;C438=KHN&amp;MH,TH))</f>
        <v>3388169</v>
      </c>
      <c r="I438" s="25">
        <f t="array" ref="I438">SUM(IF("155"&amp;C438=KHC&amp;MH,SL))</f>
        <v>165</v>
      </c>
      <c r="J438" s="25">
        <f t="array" ref="J438">SUM(IF("155"&amp;C438=KHC&amp;MH,TH))</f>
        <v>3388169</v>
      </c>
      <c r="K438" s="8">
        <f t="shared" si="71"/>
        <v>0</v>
      </c>
      <c r="L438" s="8">
        <f t="shared" si="72"/>
        <v>0</v>
      </c>
      <c r="M438" s="294"/>
    </row>
    <row r="439" spans="1:13" ht="18.75" customHeight="1">
      <c r="A439" s="294" t="str">
        <f t="shared" si="73"/>
        <v>TP</v>
      </c>
      <c r="B439" s="307">
        <f t="shared" si="74"/>
        <v>288</v>
      </c>
      <c r="C439" s="192" t="s">
        <v>1252</v>
      </c>
      <c r="D439" s="306" t="s">
        <v>1428</v>
      </c>
      <c r="E439" s="8"/>
      <c r="F439" s="8"/>
      <c r="G439" s="25">
        <f t="array" ref="G439">SUM(IF("155"&amp;C439=KHN&amp;MH,SL))</f>
        <v>571</v>
      </c>
      <c r="H439" s="25">
        <f t="array" ref="H439">SUM(IF("155"&amp;C439=KHN&amp;MH,TH))</f>
        <v>8438675</v>
      </c>
      <c r="I439" s="25">
        <f t="array" ref="I439">SUM(IF("155"&amp;C439=KHC&amp;MH,SL))</f>
        <v>571</v>
      </c>
      <c r="J439" s="25">
        <f t="array" ref="J439">SUM(IF("155"&amp;C439=KHC&amp;MH,TH))</f>
        <v>8438675</v>
      </c>
      <c r="K439" s="8">
        <f t="shared" si="71"/>
        <v>0</v>
      </c>
      <c r="L439" s="8">
        <f t="shared" si="72"/>
        <v>0</v>
      </c>
      <c r="M439" s="294"/>
    </row>
    <row r="440" spans="1:13" ht="18.75" customHeight="1">
      <c r="A440" s="294" t="str">
        <f t="shared" si="73"/>
        <v>TP</v>
      </c>
      <c r="B440" s="307">
        <f t="shared" si="74"/>
        <v>289</v>
      </c>
      <c r="C440" s="192" t="s">
        <v>1245</v>
      </c>
      <c r="D440" s="306" t="s">
        <v>1428</v>
      </c>
      <c r="E440" s="8"/>
      <c r="F440" s="8"/>
      <c r="G440" s="25">
        <f t="array" ref="G440">SUM(IF("155"&amp;C440=KHN&amp;MH,SL))</f>
        <v>301</v>
      </c>
      <c r="H440" s="25">
        <f t="array" ref="H440">SUM(IF("155"&amp;C440=KHN&amp;MH,TH))</f>
        <v>1949890</v>
      </c>
      <c r="I440" s="25">
        <f t="array" ref="I440">SUM(IF("155"&amp;C440=KHC&amp;MH,SL))</f>
        <v>301</v>
      </c>
      <c r="J440" s="25">
        <f t="array" ref="J440">SUM(IF("155"&amp;C440=KHC&amp;MH,TH))</f>
        <v>1949890</v>
      </c>
      <c r="K440" s="8">
        <f t="shared" si="71"/>
        <v>0</v>
      </c>
      <c r="L440" s="8">
        <f t="shared" si="72"/>
        <v>0</v>
      </c>
      <c r="M440" s="294"/>
    </row>
    <row r="441" spans="1:13" ht="18.75" customHeight="1">
      <c r="A441" s="294" t="str">
        <f t="shared" si="73"/>
        <v>TP</v>
      </c>
      <c r="B441" s="307">
        <f t="shared" si="74"/>
        <v>290</v>
      </c>
      <c r="C441" s="192" t="s">
        <v>1247</v>
      </c>
      <c r="D441" s="306" t="s">
        <v>1428</v>
      </c>
      <c r="E441" s="8"/>
      <c r="F441" s="8"/>
      <c r="G441" s="25">
        <f t="array" ref="G441">SUM(IF("155"&amp;C441=KHN&amp;MH,SL))</f>
        <v>506</v>
      </c>
      <c r="H441" s="25">
        <f t="array" ref="H441">SUM(IF("155"&amp;C441=KHN&amp;MH,TH))</f>
        <v>2940052</v>
      </c>
      <c r="I441" s="25">
        <f t="array" ref="I441">SUM(IF("155"&amp;C441=KHC&amp;MH,SL))</f>
        <v>506</v>
      </c>
      <c r="J441" s="25">
        <f t="array" ref="J441">SUM(IF("155"&amp;C441=KHC&amp;MH,TH))</f>
        <v>2940052</v>
      </c>
      <c r="K441" s="8">
        <f t="shared" si="71"/>
        <v>0</v>
      </c>
      <c r="L441" s="8">
        <f t="shared" si="72"/>
        <v>0</v>
      </c>
      <c r="M441" s="294"/>
    </row>
    <row r="442" spans="1:13" ht="18.75" customHeight="1">
      <c r="A442" s="294" t="str">
        <f t="shared" si="73"/>
        <v>TP</v>
      </c>
      <c r="B442" s="307">
        <f t="shared" si="74"/>
        <v>291</v>
      </c>
      <c r="C442" s="192" t="s">
        <v>1243</v>
      </c>
      <c r="D442" s="306" t="s">
        <v>1428</v>
      </c>
      <c r="E442" s="8"/>
      <c r="F442" s="8"/>
      <c r="G442" s="25">
        <f t="array" ref="G442">SUM(IF("155"&amp;C442=KHN&amp;MH,SL))</f>
        <v>401</v>
      </c>
      <c r="H442" s="25">
        <f t="array" ref="H442">SUM(IF("155"&amp;C442=KHN&amp;MH,TH))</f>
        <v>1962141</v>
      </c>
      <c r="I442" s="25">
        <f t="array" ref="I442">SUM(IF("155"&amp;C442=KHC&amp;MH,SL))</f>
        <v>401</v>
      </c>
      <c r="J442" s="25">
        <f t="array" ref="J442">SUM(IF("155"&amp;C442=KHC&amp;MH,TH))</f>
        <v>1962141</v>
      </c>
      <c r="K442" s="8">
        <f t="shared" si="71"/>
        <v>0</v>
      </c>
      <c r="L442" s="8">
        <f t="shared" si="72"/>
        <v>0</v>
      </c>
      <c r="M442" s="294"/>
    </row>
    <row r="443" spans="1:13" ht="18.75" customHeight="1">
      <c r="A443" s="294" t="str">
        <f t="shared" si="73"/>
        <v>TP</v>
      </c>
      <c r="B443" s="307">
        <f t="shared" si="74"/>
        <v>292</v>
      </c>
      <c r="C443" s="456" t="s">
        <v>1348</v>
      </c>
      <c r="D443" s="306" t="s">
        <v>1428</v>
      </c>
      <c r="E443" s="8"/>
      <c r="F443" s="8"/>
      <c r="G443" s="25">
        <f t="array" ref="G443">SUM(IF("155"&amp;C443=KHN&amp;MH,SL))</f>
        <v>470</v>
      </c>
      <c r="H443" s="25">
        <f t="array" ref="H443">SUM(IF("155"&amp;C443=KHN&amp;MH,TH))</f>
        <v>8336628</v>
      </c>
      <c r="I443" s="25">
        <f t="array" ref="I443">SUM(IF("155"&amp;C443=KHC&amp;MH,SL))</f>
        <v>470</v>
      </c>
      <c r="J443" s="25">
        <f t="array" ref="J443">SUM(IF("155"&amp;C443=KHC&amp;MH,TH))</f>
        <v>8336628</v>
      </c>
      <c r="K443" s="8">
        <f t="shared" si="71"/>
        <v>0</v>
      </c>
      <c r="L443" s="8">
        <f t="shared" si="72"/>
        <v>0</v>
      </c>
      <c r="M443" s="294"/>
    </row>
    <row r="444" spans="1:13" ht="18.75" customHeight="1">
      <c r="A444" s="294" t="str">
        <f t="shared" si="73"/>
        <v>TP</v>
      </c>
      <c r="B444" s="307">
        <f t="shared" si="74"/>
        <v>293</v>
      </c>
      <c r="C444" s="298" t="s">
        <v>1029</v>
      </c>
      <c r="D444" s="306" t="s">
        <v>1428</v>
      </c>
      <c r="E444" s="8"/>
      <c r="F444" s="8"/>
      <c r="G444" s="25">
        <f t="array" ref="G444">SUM(IF("155"&amp;C444=KHN&amp;MH,SL))</f>
        <v>44</v>
      </c>
      <c r="H444" s="25">
        <f t="array" ref="H444">SUM(IF("155"&amp;C444=KHN&amp;MH,TH))</f>
        <v>293542</v>
      </c>
      <c r="I444" s="25">
        <f t="array" ref="I444">SUM(IF("155"&amp;C444=KHC&amp;MH,SL))</f>
        <v>44</v>
      </c>
      <c r="J444" s="25">
        <f t="array" ref="J444">SUM(IF("155"&amp;C444=KHC&amp;MH,TH))</f>
        <v>293542</v>
      </c>
      <c r="K444" s="8">
        <f t="shared" si="71"/>
        <v>0</v>
      </c>
      <c r="L444" s="8">
        <f t="shared" si="72"/>
        <v>0</v>
      </c>
      <c r="M444" s="294"/>
    </row>
    <row r="445" spans="1:13" ht="18.75" customHeight="1">
      <c r="A445" s="294" t="str">
        <f t="shared" si="73"/>
        <v>TP</v>
      </c>
      <c r="B445" s="307">
        <f t="shared" si="74"/>
        <v>294</v>
      </c>
      <c r="C445" s="298" t="s">
        <v>1028</v>
      </c>
      <c r="D445" s="306" t="s">
        <v>1428</v>
      </c>
      <c r="E445" s="8"/>
      <c r="F445" s="8"/>
      <c r="G445" s="25">
        <f t="array" ref="G445">SUM(IF("155"&amp;C445=KHN&amp;MH,SL))</f>
        <v>385</v>
      </c>
      <c r="H445" s="25">
        <f t="array" ref="H445">SUM(IF("155"&amp;C445=KHN&amp;MH,TH))</f>
        <v>2902003</v>
      </c>
      <c r="I445" s="25">
        <f t="array" ref="I445">SUM(IF("155"&amp;C445=KHC&amp;MH,SL))</f>
        <v>385</v>
      </c>
      <c r="J445" s="25">
        <f t="array" ref="J445">SUM(IF("155"&amp;C445=KHC&amp;MH,TH))</f>
        <v>2902003</v>
      </c>
      <c r="K445" s="8">
        <f t="shared" si="71"/>
        <v>0</v>
      </c>
      <c r="L445" s="8">
        <f t="shared" si="72"/>
        <v>0</v>
      </c>
      <c r="M445" s="294"/>
    </row>
    <row r="446" spans="1:13" ht="18.75" customHeight="1">
      <c r="A446" s="294" t="str">
        <f t="shared" si="73"/>
        <v>TP</v>
      </c>
      <c r="B446" s="307">
        <f t="shared" si="74"/>
        <v>295</v>
      </c>
      <c r="C446" s="298" t="s">
        <v>1027</v>
      </c>
      <c r="D446" s="306" t="s">
        <v>1428</v>
      </c>
      <c r="E446" s="8"/>
      <c r="F446" s="8"/>
      <c r="G446" s="25">
        <f t="array" ref="G446">SUM(IF("155"&amp;C446=KHN&amp;MH,SL))</f>
        <v>200</v>
      </c>
      <c r="H446" s="25">
        <f t="array" ref="H446">SUM(IF("155"&amp;C446=KHN&amp;MH,TH))</f>
        <v>1478880</v>
      </c>
      <c r="I446" s="25">
        <f t="array" ref="I446">SUM(IF("155"&amp;C446=KHC&amp;MH,SL))</f>
        <v>200</v>
      </c>
      <c r="J446" s="25">
        <f t="array" ref="J446">SUM(IF("155"&amp;C446=KHC&amp;MH,TH))</f>
        <v>1478880</v>
      </c>
      <c r="K446" s="8">
        <f t="shared" si="71"/>
        <v>0</v>
      </c>
      <c r="L446" s="8">
        <f t="shared" si="72"/>
        <v>0</v>
      </c>
      <c r="M446" s="294"/>
    </row>
    <row r="447" spans="1:13" ht="18.75" customHeight="1">
      <c r="A447" s="294" t="str">
        <f t="shared" si="73"/>
        <v>TP</v>
      </c>
      <c r="B447" s="307">
        <f t="shared" si="74"/>
        <v>296</v>
      </c>
      <c r="C447" s="40" t="s">
        <v>1399</v>
      </c>
      <c r="D447" s="306" t="s">
        <v>1428</v>
      </c>
      <c r="E447" s="8"/>
      <c r="F447" s="8"/>
      <c r="G447" s="25">
        <f t="array" ref="G447">SUM(IF("155"&amp;C447=KHN&amp;MH,SL))</f>
        <v>1</v>
      </c>
      <c r="H447" s="25">
        <f t="array" ref="H447">SUM(IF("155"&amp;C447=KHN&amp;MH,TH))</f>
        <v>14754</v>
      </c>
      <c r="I447" s="25">
        <f t="array" ref="I447">SUM(IF("155"&amp;C447=KHC&amp;MH,SL))</f>
        <v>1</v>
      </c>
      <c r="J447" s="25">
        <f t="array" ref="J447">SUM(IF("155"&amp;C447=KHC&amp;MH,TH))</f>
        <v>14754</v>
      </c>
      <c r="K447" s="8">
        <f t="shared" si="71"/>
        <v>0</v>
      </c>
      <c r="L447" s="8">
        <f t="shared" si="72"/>
        <v>0</v>
      </c>
      <c r="M447" s="294"/>
    </row>
    <row r="448" spans="1:13" ht="18.75" customHeight="1">
      <c r="A448" s="294" t="str">
        <f t="shared" si="73"/>
        <v>TP</v>
      </c>
      <c r="B448" s="307">
        <f t="shared" si="74"/>
        <v>297</v>
      </c>
      <c r="C448" s="40" t="s">
        <v>1397</v>
      </c>
      <c r="D448" s="306" t="s">
        <v>1428</v>
      </c>
      <c r="E448" s="8"/>
      <c r="F448" s="8"/>
      <c r="G448" s="25">
        <f t="array" ref="G448">SUM(IF("155"&amp;C448=KHN&amp;MH,SL))</f>
        <v>2</v>
      </c>
      <c r="H448" s="25">
        <f t="array" ref="H448">SUM(IF("155"&amp;C448=KHN&amp;MH,TH))</f>
        <v>29507</v>
      </c>
      <c r="I448" s="25">
        <f t="array" ref="I448">SUM(IF("155"&amp;C448=KHC&amp;MH,SL))</f>
        <v>2</v>
      </c>
      <c r="J448" s="25">
        <f t="array" ref="J448">SUM(IF("155"&amp;C448=KHC&amp;MH,TH))</f>
        <v>29507</v>
      </c>
      <c r="K448" s="8">
        <f t="shared" si="71"/>
        <v>0</v>
      </c>
      <c r="L448" s="8">
        <f t="shared" si="72"/>
        <v>0</v>
      </c>
      <c r="M448" s="294"/>
    </row>
    <row r="449" spans="1:13" ht="18.75" customHeight="1">
      <c r="A449" s="294" t="str">
        <f t="shared" ref="A449:A468" si="75">IF(B449&lt;&gt;"","TP","")</f>
        <v>TP</v>
      </c>
      <c r="B449" s="307">
        <f t="shared" ref="B449:B468" si="76">IF(C449&lt;&gt;"",B448+1,"")</f>
        <v>298</v>
      </c>
      <c r="C449" s="298" t="s">
        <v>1051</v>
      </c>
      <c r="D449" s="306" t="s">
        <v>1428</v>
      </c>
      <c r="E449" s="8"/>
      <c r="F449" s="8"/>
      <c r="G449" s="25">
        <f t="array" ref="G449">SUM(IF("155"&amp;C449=KHN&amp;MH,SL))</f>
        <v>41</v>
      </c>
      <c r="H449" s="25">
        <f t="array" ref="H449">SUM(IF("155"&amp;C449=KHN&amp;MH,TH))</f>
        <v>430578</v>
      </c>
      <c r="I449" s="25">
        <f t="array" ref="I449">SUM(IF("155"&amp;C449=KHC&amp;MH,SL))</f>
        <v>41</v>
      </c>
      <c r="J449" s="25">
        <f t="array" ref="J449">SUM(IF("155"&amp;C449=KHC&amp;MH,TH))</f>
        <v>430578</v>
      </c>
      <c r="K449" s="8">
        <f t="shared" si="71"/>
        <v>0</v>
      </c>
      <c r="L449" s="8">
        <f t="shared" si="72"/>
        <v>0</v>
      </c>
      <c r="M449" s="294"/>
    </row>
    <row r="450" spans="1:13" ht="18.75" customHeight="1">
      <c r="A450" s="294" t="str">
        <f t="shared" si="75"/>
        <v>TP</v>
      </c>
      <c r="B450" s="307">
        <f t="shared" si="76"/>
        <v>299</v>
      </c>
      <c r="C450" s="298" t="s">
        <v>1073</v>
      </c>
      <c r="D450" s="306" t="s">
        <v>1428</v>
      </c>
      <c r="E450" s="8"/>
      <c r="F450" s="8"/>
      <c r="G450" s="25">
        <f t="array" ref="G450">SUM(IF("155"&amp;C450=KHN&amp;MH,SL))</f>
        <v>86</v>
      </c>
      <c r="H450" s="25">
        <f t="array" ref="H450">SUM(IF("155"&amp;C450=KHN&amp;MH,TH))</f>
        <v>573740</v>
      </c>
      <c r="I450" s="25">
        <f t="array" ref="I450">SUM(IF("155"&amp;C450=KHC&amp;MH,SL))</f>
        <v>86</v>
      </c>
      <c r="J450" s="25">
        <f t="array" ref="J450">SUM(IF("155"&amp;C450=KHC&amp;MH,TH))</f>
        <v>573740</v>
      </c>
      <c r="K450" s="8">
        <f t="shared" si="71"/>
        <v>0</v>
      </c>
      <c r="L450" s="8">
        <f t="shared" si="72"/>
        <v>0</v>
      </c>
      <c r="M450" s="294"/>
    </row>
    <row r="451" spans="1:13" ht="18.75" customHeight="1">
      <c r="A451" s="294" t="str">
        <f t="shared" si="75"/>
        <v>TP</v>
      </c>
      <c r="B451" s="307">
        <f t="shared" si="76"/>
        <v>300</v>
      </c>
      <c r="C451" s="298" t="s">
        <v>1056</v>
      </c>
      <c r="D451" s="306" t="s">
        <v>1428</v>
      </c>
      <c r="E451" s="8"/>
      <c r="F451" s="8"/>
      <c r="G451" s="25">
        <f t="array" ref="G451">SUM(IF("155"&amp;C451=KHN&amp;MH,SL))</f>
        <v>106</v>
      </c>
      <c r="H451" s="25">
        <f t="array" ref="H451">SUM(IF("155"&amp;C451=KHN&amp;MH,TH))</f>
        <v>783806</v>
      </c>
      <c r="I451" s="25">
        <f t="array" ref="I451">SUM(IF("155"&amp;C451=KHC&amp;MH,SL))</f>
        <v>106</v>
      </c>
      <c r="J451" s="25">
        <f t="array" ref="J451">SUM(IF("155"&amp;C451=KHC&amp;MH,TH))</f>
        <v>783806</v>
      </c>
      <c r="K451" s="8">
        <f t="shared" si="71"/>
        <v>0</v>
      </c>
      <c r="L451" s="8">
        <f t="shared" si="72"/>
        <v>0</v>
      </c>
      <c r="M451" s="294"/>
    </row>
    <row r="452" spans="1:13" ht="18.75" customHeight="1">
      <c r="A452" s="294" t="str">
        <f t="shared" si="75"/>
        <v>TP</v>
      </c>
      <c r="B452" s="307">
        <f t="shared" si="76"/>
        <v>301</v>
      </c>
      <c r="C452" s="298" t="s">
        <v>1055</v>
      </c>
      <c r="D452" s="306" t="s">
        <v>1428</v>
      </c>
      <c r="E452" s="8"/>
      <c r="F452" s="8"/>
      <c r="G452" s="25">
        <f t="array" ref="G452">SUM(IF("155"&amp;C452=KHN&amp;MH,SL))</f>
        <v>434</v>
      </c>
      <c r="H452" s="25">
        <f t="array" ref="H452">SUM(IF("155"&amp;C452=KHN&amp;MH,TH))</f>
        <v>3265372</v>
      </c>
      <c r="I452" s="25">
        <f t="array" ref="I452">SUM(IF("155"&amp;C452=KHC&amp;MH,SL))</f>
        <v>434</v>
      </c>
      <c r="J452" s="25">
        <f t="array" ref="J452">SUM(IF("155"&amp;C452=KHC&amp;MH,TH))</f>
        <v>3265372</v>
      </c>
      <c r="K452" s="8">
        <f t="shared" si="71"/>
        <v>0</v>
      </c>
      <c r="L452" s="8">
        <f t="shared" si="72"/>
        <v>0</v>
      </c>
      <c r="M452" s="294"/>
    </row>
    <row r="453" spans="1:13" ht="18.75" customHeight="1">
      <c r="A453" s="294" t="str">
        <f t="shared" si="75"/>
        <v>TP</v>
      </c>
      <c r="B453" s="307">
        <f t="shared" si="76"/>
        <v>302</v>
      </c>
      <c r="C453" s="298" t="s">
        <v>1022</v>
      </c>
      <c r="D453" s="306" t="s">
        <v>1428</v>
      </c>
      <c r="E453" s="8"/>
      <c r="F453" s="8"/>
      <c r="G453" s="25">
        <f t="array" ref="G453">SUM(IF("155"&amp;C453=KHN&amp;MH,SL))</f>
        <v>52</v>
      </c>
      <c r="H453" s="25">
        <f t="array" ref="H453">SUM(IF("155"&amp;C453=KHN&amp;MH,TH))</f>
        <v>486845</v>
      </c>
      <c r="I453" s="25">
        <f t="array" ref="I453">SUM(IF("155"&amp;C453=KHC&amp;MH,SL))</f>
        <v>52</v>
      </c>
      <c r="J453" s="25">
        <f t="array" ref="J453">SUM(IF("155"&amp;C453=KHC&amp;MH,TH))</f>
        <v>486845</v>
      </c>
      <c r="K453" s="8">
        <f t="shared" si="71"/>
        <v>0</v>
      </c>
      <c r="L453" s="8">
        <f t="shared" si="72"/>
        <v>0</v>
      </c>
      <c r="M453" s="294"/>
    </row>
    <row r="454" spans="1:13" ht="18.75" customHeight="1">
      <c r="A454" s="294" t="str">
        <f t="shared" si="75"/>
        <v>TP</v>
      </c>
      <c r="B454" s="307">
        <f t="shared" si="76"/>
        <v>303</v>
      </c>
      <c r="C454" s="298" t="s">
        <v>1021</v>
      </c>
      <c r="D454" s="306" t="s">
        <v>1428</v>
      </c>
      <c r="E454" s="8"/>
      <c r="F454" s="8"/>
      <c r="G454" s="25">
        <f t="array" ref="G454">SUM(IF("155"&amp;C454=KHN&amp;MH,SL))</f>
        <v>122</v>
      </c>
      <c r="H454" s="25">
        <f t="array" ref="H454">SUM(IF("155"&amp;C454=KHN&amp;MH,TH))</f>
        <v>1469051</v>
      </c>
      <c r="I454" s="25">
        <f t="array" ref="I454">SUM(IF("155"&amp;C454=KHC&amp;MH,SL))</f>
        <v>122</v>
      </c>
      <c r="J454" s="25">
        <f t="array" ref="J454">SUM(IF("155"&amp;C454=KHC&amp;MH,TH))</f>
        <v>1469051</v>
      </c>
      <c r="K454" s="8">
        <f t="shared" si="71"/>
        <v>0</v>
      </c>
      <c r="L454" s="8">
        <f t="shared" si="72"/>
        <v>0</v>
      </c>
      <c r="M454" s="294"/>
    </row>
    <row r="455" spans="1:13" ht="18.75" customHeight="1">
      <c r="A455" s="294" t="str">
        <f t="shared" si="75"/>
        <v>TP</v>
      </c>
      <c r="B455" s="307">
        <f t="shared" si="76"/>
        <v>304</v>
      </c>
      <c r="C455" s="298" t="s">
        <v>1020</v>
      </c>
      <c r="D455" s="306" t="s">
        <v>1428</v>
      </c>
      <c r="E455" s="8"/>
      <c r="F455" s="8"/>
      <c r="G455" s="25">
        <f t="array" ref="G455">SUM(IF("155"&amp;C455=KHN&amp;MH,SL))</f>
        <v>123</v>
      </c>
      <c r="H455" s="25">
        <f t="array" ref="H455">SUM(IF("155"&amp;C455=KHN&amp;MH,TH))</f>
        <v>2301933</v>
      </c>
      <c r="I455" s="25">
        <f t="array" ref="I455">SUM(IF("155"&amp;C455=KHC&amp;MH,SL))</f>
        <v>123</v>
      </c>
      <c r="J455" s="25">
        <f t="array" ref="J455">SUM(IF("155"&amp;C455=KHC&amp;MH,TH))</f>
        <v>2301933</v>
      </c>
      <c r="K455" s="8">
        <f t="shared" si="71"/>
        <v>0</v>
      </c>
      <c r="L455" s="8">
        <f t="shared" si="72"/>
        <v>0</v>
      </c>
      <c r="M455" s="294"/>
    </row>
    <row r="456" spans="1:13" ht="18.75" customHeight="1">
      <c r="A456" s="294" t="str">
        <f t="shared" si="75"/>
        <v>TP</v>
      </c>
      <c r="B456" s="307">
        <f t="shared" si="76"/>
        <v>305</v>
      </c>
      <c r="C456" s="192" t="s">
        <v>1249</v>
      </c>
      <c r="D456" s="306" t="s">
        <v>1428</v>
      </c>
      <c r="E456" s="8"/>
      <c r="F456" s="8"/>
      <c r="G456" s="25">
        <f t="array" ref="G456">SUM(IF("155"&amp;C456=KHN&amp;MH,SL))</f>
        <v>280</v>
      </c>
      <c r="H456" s="25">
        <f t="array" ref="H456">SUM(IF("155"&amp;C456=KHN&amp;MH,TH))</f>
        <v>606831</v>
      </c>
      <c r="I456" s="25">
        <f t="array" ref="I456">SUM(IF("155"&amp;C456=KHC&amp;MH,SL))</f>
        <v>280</v>
      </c>
      <c r="J456" s="25">
        <f t="array" ref="J456">SUM(IF("155"&amp;C456=KHC&amp;MH,TH))</f>
        <v>606831</v>
      </c>
      <c r="K456" s="8">
        <f t="shared" si="71"/>
        <v>0</v>
      </c>
      <c r="L456" s="8">
        <f t="shared" si="72"/>
        <v>0</v>
      </c>
      <c r="M456" s="294"/>
    </row>
    <row r="457" spans="1:13" ht="18.75" customHeight="1">
      <c r="A457" s="294" t="str">
        <f t="shared" si="75"/>
        <v>TP</v>
      </c>
      <c r="B457" s="307">
        <f t="shared" si="76"/>
        <v>306</v>
      </c>
      <c r="C457" s="192" t="s">
        <v>1248</v>
      </c>
      <c r="D457" s="306" t="s">
        <v>1428</v>
      </c>
      <c r="E457" s="8"/>
      <c r="F457" s="8"/>
      <c r="G457" s="25">
        <f t="array" ref="G457">SUM(IF("155"&amp;C457=KHN&amp;MH,SL))</f>
        <v>396</v>
      </c>
      <c r="H457" s="25">
        <f t="array" ref="H457">SUM(IF("155"&amp;C457=KHN&amp;MH,TH))</f>
        <v>1729947</v>
      </c>
      <c r="I457" s="25">
        <f t="array" ref="I457">SUM(IF("155"&amp;C457=KHC&amp;MH,SL))</f>
        <v>396</v>
      </c>
      <c r="J457" s="25">
        <f t="array" ref="J457">SUM(IF("155"&amp;C457=KHC&amp;MH,TH))</f>
        <v>1729947</v>
      </c>
      <c r="K457" s="8">
        <f t="shared" si="71"/>
        <v>0</v>
      </c>
      <c r="L457" s="8">
        <f t="shared" si="72"/>
        <v>0</v>
      </c>
      <c r="M457" s="294"/>
    </row>
    <row r="458" spans="1:13" ht="18.75" customHeight="1">
      <c r="A458" s="294" t="str">
        <f t="shared" si="75"/>
        <v>TP</v>
      </c>
      <c r="B458" s="307">
        <f t="shared" si="76"/>
        <v>307</v>
      </c>
      <c r="C458" s="192" t="s">
        <v>1241</v>
      </c>
      <c r="D458" s="306" t="s">
        <v>1428</v>
      </c>
      <c r="E458" s="8"/>
      <c r="F458" s="8"/>
      <c r="G458" s="25">
        <f t="array" ref="G458">SUM(IF("155"&amp;C458=KHN&amp;MH,SL))</f>
        <v>564</v>
      </c>
      <c r="H458" s="25">
        <f t="array" ref="H458">SUM(IF("155"&amp;C458=KHN&amp;MH,TH))</f>
        <v>2383966</v>
      </c>
      <c r="I458" s="25">
        <f t="array" ref="I458">SUM(IF("155"&amp;C458=KHC&amp;MH,SL))</f>
        <v>564</v>
      </c>
      <c r="J458" s="25">
        <f t="array" ref="J458">SUM(IF("155"&amp;C458=KHC&amp;MH,TH))</f>
        <v>2383966</v>
      </c>
      <c r="K458" s="8">
        <f t="shared" si="71"/>
        <v>0</v>
      </c>
      <c r="L458" s="8">
        <f t="shared" si="72"/>
        <v>0</v>
      </c>
      <c r="M458" s="294"/>
    </row>
    <row r="459" spans="1:13" ht="18.75" customHeight="1">
      <c r="A459" s="294" t="str">
        <f t="shared" si="75"/>
        <v>TP</v>
      </c>
      <c r="B459" s="307">
        <f t="shared" si="76"/>
        <v>308</v>
      </c>
      <c r="C459" s="192" t="s">
        <v>1244</v>
      </c>
      <c r="D459" s="306" t="s">
        <v>1428</v>
      </c>
      <c r="E459" s="8"/>
      <c r="F459" s="8"/>
      <c r="G459" s="25">
        <f t="array" ref="G459">SUM(IF("155"&amp;C459=KHN&amp;MH,SL))</f>
        <v>506</v>
      </c>
      <c r="H459" s="25">
        <f t="array" ref="H459">SUM(IF("155"&amp;C459=KHN&amp;MH,TH))</f>
        <v>2365244</v>
      </c>
      <c r="I459" s="25">
        <f t="array" ref="I459">SUM(IF("155"&amp;C459=KHC&amp;MH,SL))</f>
        <v>506</v>
      </c>
      <c r="J459" s="25">
        <f t="array" ref="J459">SUM(IF("155"&amp;C459=KHC&amp;MH,TH))</f>
        <v>2365244</v>
      </c>
      <c r="K459" s="8">
        <f t="shared" si="71"/>
        <v>0</v>
      </c>
      <c r="L459" s="8">
        <f t="shared" si="72"/>
        <v>0</v>
      </c>
      <c r="M459" s="294"/>
    </row>
    <row r="460" spans="1:13" ht="18.75" customHeight="1">
      <c r="A460" s="294" t="str">
        <f t="shared" si="75"/>
        <v>TP</v>
      </c>
      <c r="B460" s="307">
        <f t="shared" si="76"/>
        <v>309</v>
      </c>
      <c r="C460" s="40" t="s">
        <v>1400</v>
      </c>
      <c r="D460" s="306" t="s">
        <v>1428</v>
      </c>
      <c r="E460" s="8"/>
      <c r="F460" s="8"/>
      <c r="G460" s="25">
        <f t="array" ref="G460">SUM(IF("155"&amp;C460=KHN&amp;MH,SL))</f>
        <v>1</v>
      </c>
      <c r="H460" s="25">
        <f t="array" ref="H460">SUM(IF("155"&amp;C460=KHN&amp;MH,TH))</f>
        <v>17738</v>
      </c>
      <c r="I460" s="25">
        <f t="array" ref="I460">SUM(IF("155"&amp;C460=KHC&amp;MH,SL))</f>
        <v>1</v>
      </c>
      <c r="J460" s="25">
        <f t="array" ref="J460">SUM(IF("155"&amp;C460=KHC&amp;MH,TH))</f>
        <v>17738</v>
      </c>
      <c r="K460" s="8">
        <f t="shared" si="71"/>
        <v>0</v>
      </c>
      <c r="L460" s="8">
        <f t="shared" si="72"/>
        <v>0</v>
      </c>
      <c r="M460" s="294"/>
    </row>
    <row r="461" spans="1:13" ht="18.75" customHeight="1">
      <c r="A461" s="294" t="str">
        <f t="shared" si="75"/>
        <v>TP</v>
      </c>
      <c r="B461" s="307">
        <f t="shared" si="76"/>
        <v>310</v>
      </c>
      <c r="C461" s="298" t="s">
        <v>929</v>
      </c>
      <c r="D461" s="306" t="s">
        <v>383</v>
      </c>
      <c r="E461" s="8"/>
      <c r="F461" s="8"/>
      <c r="G461" s="25">
        <f t="array" ref="G461">SUM(IF("155"&amp;C461=KHN&amp;MH,SL))</f>
        <v>2176</v>
      </c>
      <c r="H461" s="25">
        <f t="array" ref="H461">SUM(IF("155"&amp;C461=KHN&amp;MH,TH))</f>
        <v>8246463</v>
      </c>
      <c r="I461" s="25">
        <f t="array" ref="I461">SUM(IF("155"&amp;C461=KHC&amp;MH,SL))</f>
        <v>2176</v>
      </c>
      <c r="J461" s="25">
        <f t="array" ref="J461">SUM(IF("155"&amp;C461=KHC&amp;MH,TH))</f>
        <v>8246463</v>
      </c>
      <c r="K461" s="8">
        <f t="shared" si="71"/>
        <v>0</v>
      </c>
      <c r="L461" s="8">
        <f t="shared" si="72"/>
        <v>0</v>
      </c>
      <c r="M461" s="294"/>
    </row>
    <row r="462" spans="1:13" ht="18.75" customHeight="1">
      <c r="A462" s="294" t="str">
        <f t="shared" si="75"/>
        <v>TP</v>
      </c>
      <c r="B462" s="307">
        <f t="shared" si="76"/>
        <v>311</v>
      </c>
      <c r="C462" s="40" t="s">
        <v>1317</v>
      </c>
      <c r="D462" s="306" t="s">
        <v>383</v>
      </c>
      <c r="E462" s="8"/>
      <c r="F462" s="8"/>
      <c r="G462" s="25">
        <f t="array" ref="G462">SUM(IF("155"&amp;C462=KHN&amp;MH,SL))</f>
        <v>60</v>
      </c>
      <c r="H462" s="25">
        <f t="array" ref="H462">SUM(IF("155"&amp;C462=KHN&amp;MH,TH))</f>
        <v>91256</v>
      </c>
      <c r="I462" s="25">
        <f t="array" ref="I462">SUM(IF("155"&amp;C462=KHC&amp;MH,SL))</f>
        <v>60</v>
      </c>
      <c r="J462" s="25">
        <f t="array" ref="J462">SUM(IF("155"&amp;C462=KHC&amp;MH,TH))</f>
        <v>91256</v>
      </c>
      <c r="K462" s="8">
        <f t="shared" si="71"/>
        <v>0</v>
      </c>
      <c r="L462" s="8">
        <f t="shared" si="72"/>
        <v>0</v>
      </c>
      <c r="M462" s="294"/>
    </row>
    <row r="463" spans="1:13" ht="18.75" customHeight="1">
      <c r="A463" s="294" t="str">
        <f t="shared" si="75"/>
        <v>TP</v>
      </c>
      <c r="B463" s="307">
        <f t="shared" si="76"/>
        <v>312</v>
      </c>
      <c r="C463" s="40" t="s">
        <v>1377</v>
      </c>
      <c r="D463" s="306" t="s">
        <v>383</v>
      </c>
      <c r="E463" s="8"/>
      <c r="F463" s="8"/>
      <c r="G463" s="25">
        <f t="array" ref="G463">SUM(IF("155"&amp;C463=KHN&amp;MH,SL))</f>
        <v>274</v>
      </c>
      <c r="H463" s="25">
        <f t="array" ref="H463">SUM(IF("155"&amp;C463=KHN&amp;MH,TH))</f>
        <v>546771</v>
      </c>
      <c r="I463" s="25">
        <f t="array" ref="I463">SUM(IF("155"&amp;C463=KHC&amp;MH,SL))</f>
        <v>274</v>
      </c>
      <c r="J463" s="25">
        <f t="array" ref="J463">SUM(IF("155"&amp;C463=KHC&amp;MH,TH))</f>
        <v>546771</v>
      </c>
      <c r="K463" s="8">
        <f t="shared" si="71"/>
        <v>0</v>
      </c>
      <c r="L463" s="8">
        <f t="shared" si="72"/>
        <v>0</v>
      </c>
      <c r="M463" s="294"/>
    </row>
    <row r="464" spans="1:13" ht="18.75" customHeight="1">
      <c r="A464" s="294" t="str">
        <f t="shared" si="75"/>
        <v>TP</v>
      </c>
      <c r="B464" s="307">
        <f t="shared" si="76"/>
        <v>313</v>
      </c>
      <c r="C464" s="40" t="s">
        <v>1378</v>
      </c>
      <c r="D464" s="306" t="s">
        <v>383</v>
      </c>
      <c r="E464" s="8"/>
      <c r="F464" s="8"/>
      <c r="G464" s="25">
        <f t="array" ref="G464">SUM(IF("155"&amp;C464=KHN&amp;MH,SL))</f>
        <v>44</v>
      </c>
      <c r="H464" s="25">
        <f t="array" ref="H464">SUM(IF("155"&amp;C464=KHN&amp;MH,TH))</f>
        <v>84416</v>
      </c>
      <c r="I464" s="25">
        <f t="array" ref="I464">SUM(IF("155"&amp;C464=KHC&amp;MH,SL))</f>
        <v>44</v>
      </c>
      <c r="J464" s="25">
        <f t="array" ref="J464">SUM(IF("155"&amp;C464=KHC&amp;MH,TH))</f>
        <v>84416</v>
      </c>
      <c r="K464" s="8">
        <f t="shared" si="71"/>
        <v>0</v>
      </c>
      <c r="L464" s="8">
        <f t="shared" si="72"/>
        <v>0</v>
      </c>
      <c r="M464" s="294"/>
    </row>
    <row r="465" spans="1:13" ht="18.75" customHeight="1">
      <c r="A465" s="294" t="str">
        <f t="shared" si="75"/>
        <v>TP</v>
      </c>
      <c r="B465" s="307">
        <f t="shared" si="76"/>
        <v>314</v>
      </c>
      <c r="C465" s="40" t="s">
        <v>1379</v>
      </c>
      <c r="D465" s="306" t="s">
        <v>383</v>
      </c>
      <c r="E465" s="8"/>
      <c r="F465" s="8"/>
      <c r="G465" s="25">
        <f t="array" ref="G465">SUM(IF("155"&amp;C465=KHN&amp;MH,SL))</f>
        <v>262</v>
      </c>
      <c r="H465" s="25">
        <f t="array" ref="H465">SUM(IF("155"&amp;C465=KHN&amp;MH,TH))</f>
        <v>435464</v>
      </c>
      <c r="I465" s="25">
        <f t="array" ref="I465">SUM(IF("155"&amp;C465=KHC&amp;MH,SL))</f>
        <v>262</v>
      </c>
      <c r="J465" s="25">
        <f t="array" ref="J465">SUM(IF("155"&amp;C465=KHC&amp;MH,TH))</f>
        <v>435464</v>
      </c>
      <c r="K465" s="8">
        <f t="shared" si="71"/>
        <v>0</v>
      </c>
      <c r="L465" s="8">
        <f t="shared" si="72"/>
        <v>0</v>
      </c>
      <c r="M465" s="294"/>
    </row>
    <row r="466" spans="1:13" ht="18.75" customHeight="1">
      <c r="A466" s="294" t="str">
        <f t="shared" si="75"/>
        <v>TP</v>
      </c>
      <c r="B466" s="307">
        <f t="shared" si="76"/>
        <v>315</v>
      </c>
      <c r="C466" s="40" t="s">
        <v>1326</v>
      </c>
      <c r="D466" s="306" t="s">
        <v>383</v>
      </c>
      <c r="E466" s="8"/>
      <c r="F466" s="8"/>
      <c r="G466" s="25">
        <f t="array" ref="G466">SUM(IF("155"&amp;C466=KHN&amp;MH,SL))</f>
        <v>82</v>
      </c>
      <c r="H466" s="25">
        <f t="array" ref="H466">SUM(IF("155"&amp;C466=KHN&amp;MH,TH))</f>
        <v>128722</v>
      </c>
      <c r="I466" s="25">
        <f t="array" ref="I466">SUM(IF("155"&amp;C466=KHC&amp;MH,SL))</f>
        <v>82</v>
      </c>
      <c r="J466" s="25">
        <f t="array" ref="J466">SUM(IF("155"&amp;C466=KHC&amp;MH,TH))</f>
        <v>128722</v>
      </c>
      <c r="K466" s="8">
        <f t="shared" si="71"/>
        <v>0</v>
      </c>
      <c r="L466" s="8">
        <f t="shared" si="72"/>
        <v>0</v>
      </c>
      <c r="M466" s="294"/>
    </row>
    <row r="467" spans="1:13" ht="18.75" customHeight="1">
      <c r="A467" s="294" t="str">
        <f t="shared" si="75"/>
        <v>TP</v>
      </c>
      <c r="B467" s="307">
        <f t="shared" si="76"/>
        <v>316</v>
      </c>
      <c r="C467" s="40" t="s">
        <v>1325</v>
      </c>
      <c r="D467" s="306" t="s">
        <v>383</v>
      </c>
      <c r="E467" s="8"/>
      <c r="F467" s="8"/>
      <c r="G467" s="25">
        <f t="array" ref="G467">SUM(IF("155"&amp;C467=KHN&amp;MH,SL))</f>
        <v>308</v>
      </c>
      <c r="H467" s="25">
        <f t="array" ref="H467">SUM(IF("155"&amp;C467=KHN&amp;MH,TH))</f>
        <v>470278</v>
      </c>
      <c r="I467" s="25">
        <f t="array" ref="I467">SUM(IF("155"&amp;C467=KHC&amp;MH,SL))</f>
        <v>308</v>
      </c>
      <c r="J467" s="25">
        <f t="array" ref="J467">SUM(IF("155"&amp;C467=KHC&amp;MH,TH))</f>
        <v>470278</v>
      </c>
      <c r="K467" s="8">
        <f t="shared" si="71"/>
        <v>0</v>
      </c>
      <c r="L467" s="8">
        <f t="shared" si="72"/>
        <v>0</v>
      </c>
      <c r="M467" s="294"/>
    </row>
    <row r="468" spans="1:13" ht="18.75" customHeight="1">
      <c r="A468" s="294" t="str">
        <f t="shared" si="75"/>
        <v>TP</v>
      </c>
      <c r="B468" s="307">
        <f t="shared" si="76"/>
        <v>317</v>
      </c>
      <c r="C468" s="40" t="s">
        <v>1390</v>
      </c>
      <c r="D468" s="306" t="s">
        <v>383</v>
      </c>
      <c r="E468" s="8"/>
      <c r="F468" s="8"/>
      <c r="G468" s="25">
        <f t="array" ref="G468">SUM(IF("155"&amp;C468=KHN&amp;MH,SL))</f>
        <v>1140</v>
      </c>
      <c r="H468" s="25">
        <f t="array" ref="H468">SUM(IF("155"&amp;C468=KHN&amp;MH,TH))</f>
        <v>2017814</v>
      </c>
      <c r="I468" s="25">
        <f t="array" ref="I468">SUM(IF("155"&amp;C468=KHC&amp;MH,SL))</f>
        <v>1140</v>
      </c>
      <c r="J468" s="25">
        <f t="array" ref="J468">SUM(IF("155"&amp;C468=KHC&amp;MH,TH))</f>
        <v>2017814</v>
      </c>
      <c r="K468" s="8">
        <f t="shared" si="71"/>
        <v>0</v>
      </c>
      <c r="L468" s="8">
        <f t="shared" si="72"/>
        <v>0</v>
      </c>
      <c r="M468" s="294"/>
    </row>
    <row r="469" spans="1:13" ht="18.75" customHeight="1">
      <c r="A469" s="294" t="str">
        <f t="shared" ref="A469:A476" si="77">IF(B469&lt;&gt;"","TP","")</f>
        <v>TP</v>
      </c>
      <c r="B469" s="307">
        <f t="shared" ref="B469:B476" si="78">IF(C469&lt;&gt;"",B468+1,"")</f>
        <v>318</v>
      </c>
      <c r="C469" s="40" t="s">
        <v>1316</v>
      </c>
      <c r="D469" s="306" t="s">
        <v>383</v>
      </c>
      <c r="E469" s="8"/>
      <c r="F469" s="8"/>
      <c r="G469" s="25">
        <f t="array" ref="G469">SUM(IF("155"&amp;C469=KHN&amp;MH,SL))</f>
        <v>630</v>
      </c>
      <c r="H469" s="25">
        <f t="array" ref="H469">SUM(IF("155"&amp;C469=KHN&amp;MH,TH))</f>
        <v>975097</v>
      </c>
      <c r="I469" s="25">
        <f t="array" ref="I469">SUM(IF("155"&amp;C469=KHC&amp;MH,SL))</f>
        <v>630</v>
      </c>
      <c r="J469" s="25">
        <f t="array" ref="J469">SUM(IF("155"&amp;C469=KHC&amp;MH,TH))</f>
        <v>975097</v>
      </c>
      <c r="K469" s="8">
        <f t="shared" si="71"/>
        <v>0</v>
      </c>
      <c r="L469" s="8">
        <f t="shared" si="72"/>
        <v>0</v>
      </c>
      <c r="M469" s="294"/>
    </row>
    <row r="470" spans="1:13" ht="18.75" customHeight="1">
      <c r="A470" s="294" t="str">
        <f t="shared" si="77"/>
        <v>TP</v>
      </c>
      <c r="B470" s="307">
        <f t="shared" si="78"/>
        <v>319</v>
      </c>
      <c r="C470" s="40" t="s">
        <v>1318</v>
      </c>
      <c r="D470" s="306" t="s">
        <v>383</v>
      </c>
      <c r="E470" s="8"/>
      <c r="F470" s="8"/>
      <c r="G470" s="25">
        <f t="array" ref="G470">SUM(IF("155"&amp;C470=KHN&amp;MH,SL))</f>
        <v>240</v>
      </c>
      <c r="H470" s="25">
        <f t="array" ref="H470">SUM(IF("155"&amp;C470=KHN&amp;MH,TH))</f>
        <v>407830</v>
      </c>
      <c r="I470" s="25">
        <f t="array" ref="I470">SUM(IF("155"&amp;C470=KHC&amp;MH,SL))</f>
        <v>240</v>
      </c>
      <c r="J470" s="25">
        <f t="array" ref="J470">SUM(IF("155"&amp;C470=KHC&amp;MH,TH))</f>
        <v>407830</v>
      </c>
      <c r="K470" s="8">
        <f t="shared" si="71"/>
        <v>0</v>
      </c>
      <c r="L470" s="8">
        <f t="shared" si="72"/>
        <v>0</v>
      </c>
      <c r="M470" s="294"/>
    </row>
    <row r="471" spans="1:13" ht="18.75" customHeight="1">
      <c r="A471" s="294" t="str">
        <f t="shared" si="77"/>
        <v>TP</v>
      </c>
      <c r="B471" s="307">
        <f t="shared" si="78"/>
        <v>320</v>
      </c>
      <c r="C471" s="40" t="s">
        <v>1315</v>
      </c>
      <c r="D471" s="306" t="s">
        <v>383</v>
      </c>
      <c r="E471" s="8"/>
      <c r="F471" s="8"/>
      <c r="G471" s="25">
        <f t="array" ref="G471">SUM(IF("155"&amp;C471=KHN&amp;MH,SL))</f>
        <v>238</v>
      </c>
      <c r="H471" s="25">
        <f t="array" ref="H471">SUM(IF("155"&amp;C471=KHN&amp;MH,TH))</f>
        <v>396335</v>
      </c>
      <c r="I471" s="25">
        <f t="array" ref="I471">SUM(IF("155"&amp;C471=KHC&amp;MH,SL))</f>
        <v>238</v>
      </c>
      <c r="J471" s="25">
        <f t="array" ref="J471">SUM(IF("155"&amp;C471=KHC&amp;MH,TH))</f>
        <v>396335</v>
      </c>
      <c r="K471" s="8">
        <f t="shared" si="71"/>
        <v>0</v>
      </c>
      <c r="L471" s="8">
        <f t="shared" si="72"/>
        <v>0</v>
      </c>
      <c r="M471" s="294"/>
    </row>
    <row r="472" spans="1:13" ht="18.75" customHeight="1">
      <c r="A472" s="294" t="str">
        <f t="shared" si="77"/>
        <v>TP</v>
      </c>
      <c r="B472" s="307">
        <f t="shared" si="78"/>
        <v>321</v>
      </c>
      <c r="C472" s="40" t="s">
        <v>1370</v>
      </c>
      <c r="D472" s="306" t="s">
        <v>383</v>
      </c>
      <c r="E472" s="8"/>
      <c r="F472" s="8"/>
      <c r="G472" s="25">
        <f t="array" ref="G472">SUM(IF("155"&amp;C472=KHN&amp;MH,SL))</f>
        <v>272</v>
      </c>
      <c r="H472" s="25">
        <f t="array" ref="H472">SUM(IF("155"&amp;C472=KHN&amp;MH,TH))</f>
        <v>585933</v>
      </c>
      <c r="I472" s="25">
        <f t="array" ref="I472">SUM(IF("155"&amp;C472=KHC&amp;MH,SL))</f>
        <v>272</v>
      </c>
      <c r="J472" s="25">
        <f t="array" ref="J472">SUM(IF("155"&amp;C472=KHC&amp;MH,TH))</f>
        <v>585933</v>
      </c>
      <c r="K472" s="8">
        <f t="shared" ref="K472:K483" si="79">E472+G472-I472</f>
        <v>0</v>
      </c>
      <c r="L472" s="8">
        <f t="shared" ref="L472:L483" si="80">F472+H472-J472</f>
        <v>0</v>
      </c>
      <c r="M472" s="294"/>
    </row>
    <row r="473" spans="1:13" ht="18.75" customHeight="1">
      <c r="A473" s="294" t="str">
        <f t="shared" si="77"/>
        <v>TP</v>
      </c>
      <c r="B473" s="307">
        <f t="shared" si="78"/>
        <v>322</v>
      </c>
      <c r="C473" s="40" t="s">
        <v>1324</v>
      </c>
      <c r="D473" s="306" t="s">
        <v>383</v>
      </c>
      <c r="E473" s="8"/>
      <c r="F473" s="8"/>
      <c r="G473" s="25">
        <f t="array" ref="G473">SUM(IF("155"&amp;C473=KHN&amp;MH,SL))</f>
        <v>66</v>
      </c>
      <c r="H473" s="25">
        <f t="array" ref="H473">SUM(IF("155"&amp;C473=KHN&amp;MH,TH))</f>
        <v>111971</v>
      </c>
      <c r="I473" s="25">
        <f t="array" ref="I473">SUM(IF("155"&amp;C473=KHC&amp;MH,SL))</f>
        <v>66</v>
      </c>
      <c r="J473" s="25">
        <f t="array" ref="J473">SUM(IF("155"&amp;C473=KHC&amp;MH,TH))</f>
        <v>111971</v>
      </c>
      <c r="K473" s="8">
        <f t="shared" si="79"/>
        <v>0</v>
      </c>
      <c r="L473" s="8">
        <f t="shared" si="80"/>
        <v>0</v>
      </c>
      <c r="M473" s="294"/>
    </row>
    <row r="474" spans="1:13" ht="18.75" customHeight="1">
      <c r="A474" s="294" t="str">
        <f t="shared" si="77"/>
        <v>TP</v>
      </c>
      <c r="B474" s="307">
        <f t="shared" si="78"/>
        <v>323</v>
      </c>
      <c r="C474" s="40" t="s">
        <v>1371</v>
      </c>
      <c r="D474" s="306" t="s">
        <v>383</v>
      </c>
      <c r="E474" s="8"/>
      <c r="F474" s="8"/>
      <c r="G474" s="25">
        <f t="array" ref="G474">SUM(IF("155"&amp;C474=KHN&amp;MH,SL))</f>
        <v>60</v>
      </c>
      <c r="H474" s="25">
        <f t="array" ref="H474">SUM(IF("155"&amp;C474=KHN&amp;MH,TH))</f>
        <v>112657</v>
      </c>
      <c r="I474" s="25">
        <f t="array" ref="I474">SUM(IF("155"&amp;C474=KHC&amp;MH,SL))</f>
        <v>60</v>
      </c>
      <c r="J474" s="25">
        <f t="array" ref="J474">SUM(IF("155"&amp;C474=KHC&amp;MH,TH))</f>
        <v>112657</v>
      </c>
      <c r="K474" s="8">
        <f t="shared" si="79"/>
        <v>0</v>
      </c>
      <c r="L474" s="8">
        <f t="shared" si="80"/>
        <v>0</v>
      </c>
      <c r="M474" s="294"/>
    </row>
    <row r="475" spans="1:13" ht="18.75" customHeight="1">
      <c r="A475" s="294" t="str">
        <f t="shared" si="77"/>
        <v>TP</v>
      </c>
      <c r="B475" s="307">
        <f t="shared" si="78"/>
        <v>324</v>
      </c>
      <c r="C475" s="40" t="s">
        <v>1322</v>
      </c>
      <c r="D475" s="306" t="s">
        <v>383</v>
      </c>
      <c r="E475" s="8"/>
      <c r="F475" s="8"/>
      <c r="G475" s="25">
        <f t="array" ref="G475">SUM(IF("155"&amp;C475=KHN&amp;MH,SL))</f>
        <v>272</v>
      </c>
      <c r="H475" s="25">
        <f t="array" ref="H475">SUM(IF("155"&amp;C475=KHN&amp;MH,TH))</f>
        <v>415479</v>
      </c>
      <c r="I475" s="25">
        <f t="array" ref="I475">SUM(IF("155"&amp;C475=KHC&amp;MH,SL))</f>
        <v>272</v>
      </c>
      <c r="J475" s="25">
        <f t="array" ref="J475">SUM(IF("155"&amp;C475=KHC&amp;MH,TH))</f>
        <v>415479</v>
      </c>
      <c r="K475" s="8">
        <f t="shared" si="79"/>
        <v>0</v>
      </c>
      <c r="L475" s="8">
        <f t="shared" si="80"/>
        <v>0</v>
      </c>
      <c r="M475" s="294"/>
    </row>
    <row r="476" spans="1:13" ht="18.75" customHeight="1">
      <c r="A476" s="294" t="str">
        <f t="shared" si="77"/>
        <v>TP</v>
      </c>
      <c r="B476" s="307">
        <f t="shared" si="78"/>
        <v>325</v>
      </c>
      <c r="C476" s="40" t="s">
        <v>1320</v>
      </c>
      <c r="D476" s="306" t="s">
        <v>383</v>
      </c>
      <c r="E476" s="8"/>
      <c r="F476" s="8"/>
      <c r="G476" s="25">
        <f t="array" ref="G476">SUM(IF("155"&amp;C476=KHN&amp;MH,SL))</f>
        <v>298</v>
      </c>
      <c r="H476" s="25">
        <f t="array" ref="H476">SUM(IF("155"&amp;C476=KHN&amp;MH,TH))</f>
        <v>536198</v>
      </c>
      <c r="I476" s="25">
        <f t="array" ref="I476">SUM(IF("155"&amp;C476=KHC&amp;MH,SL))</f>
        <v>298</v>
      </c>
      <c r="J476" s="25">
        <f t="array" ref="J476">SUM(IF("155"&amp;C476=KHC&amp;MH,TH))</f>
        <v>536198</v>
      </c>
      <c r="K476" s="8">
        <f t="shared" si="79"/>
        <v>0</v>
      </c>
      <c r="L476" s="8">
        <f t="shared" si="80"/>
        <v>0</v>
      </c>
      <c r="M476" s="294"/>
    </row>
    <row r="477" spans="1:13" ht="18.75" customHeight="1">
      <c r="A477" s="294" t="str">
        <f>IF(B477&lt;&gt;"","TP","")</f>
        <v>TP</v>
      </c>
      <c r="B477" s="307">
        <f>IF(C477&lt;&gt;"",B476+1,"")</f>
        <v>326</v>
      </c>
      <c r="C477" s="40" t="s">
        <v>1380</v>
      </c>
      <c r="D477" s="306" t="s">
        <v>383</v>
      </c>
      <c r="E477" s="8"/>
      <c r="F477" s="8"/>
      <c r="G477" s="25">
        <f t="array" ref="G477">SUM(IF("155"&amp;C477=KHN&amp;MH,SL))</f>
        <v>262</v>
      </c>
      <c r="H477" s="25">
        <f t="array" ref="H477">SUM(IF("155"&amp;C477=KHN&amp;MH,TH))</f>
        <v>572948</v>
      </c>
      <c r="I477" s="25">
        <f t="array" ref="I477">SUM(IF("155"&amp;C477=KHC&amp;MH,SL))</f>
        <v>262</v>
      </c>
      <c r="J477" s="25">
        <f t="array" ref="J477">SUM(IF("155"&amp;C477=KHC&amp;MH,TH))</f>
        <v>572948</v>
      </c>
      <c r="K477" s="8">
        <f t="shared" si="79"/>
        <v>0</v>
      </c>
      <c r="L477" s="8">
        <f t="shared" si="80"/>
        <v>0</v>
      </c>
      <c r="M477" s="294"/>
    </row>
    <row r="478" spans="1:13" ht="18.75" customHeight="1">
      <c r="A478" s="294" t="str">
        <f t="shared" ref="A478:A483" si="81">IF(B478&lt;&gt;"","TP","")</f>
        <v>TP</v>
      </c>
      <c r="B478" s="307">
        <f t="shared" ref="B478:B483" si="82">IF(C478&lt;&gt;"",B477+1,"")</f>
        <v>327</v>
      </c>
      <c r="C478" s="40" t="s">
        <v>1321</v>
      </c>
      <c r="D478" s="306" t="s">
        <v>383</v>
      </c>
      <c r="E478" s="8"/>
      <c r="F478" s="8"/>
      <c r="G478" s="25">
        <f t="array" ref="G478">SUM(IF("155"&amp;C478=KHN&amp;MH,SL))</f>
        <v>272</v>
      </c>
      <c r="H478" s="25">
        <f t="array" ref="H478">SUM(IF("155"&amp;C478=KHN&amp;MH,TH))</f>
        <v>524550</v>
      </c>
      <c r="I478" s="25">
        <f t="array" ref="I478">SUM(IF("155"&amp;C478=KHC&amp;MH,SL))</f>
        <v>272</v>
      </c>
      <c r="J478" s="25">
        <f t="array" ref="J478">SUM(IF("155"&amp;C478=KHC&amp;MH,TH))</f>
        <v>524550</v>
      </c>
      <c r="K478" s="8">
        <f t="shared" si="79"/>
        <v>0</v>
      </c>
      <c r="L478" s="8">
        <f t="shared" si="80"/>
        <v>0</v>
      </c>
      <c r="M478" s="294"/>
    </row>
    <row r="479" spans="1:13" ht="18.75" customHeight="1">
      <c r="A479" s="294" t="str">
        <f t="shared" si="81"/>
        <v>TP</v>
      </c>
      <c r="B479" s="307">
        <f t="shared" si="82"/>
        <v>328</v>
      </c>
      <c r="C479" s="40" t="s">
        <v>1381</v>
      </c>
      <c r="D479" s="306" t="s">
        <v>383</v>
      </c>
      <c r="E479" s="8"/>
      <c r="F479" s="8"/>
      <c r="G479" s="25">
        <f t="array" ref="G479">SUM(IF("155"&amp;C479=KHN&amp;MH,SL))</f>
        <v>1458</v>
      </c>
      <c r="H479" s="25">
        <f t="array" ref="H479">SUM(IF("155"&amp;C479=KHN&amp;MH,TH))</f>
        <v>2676286</v>
      </c>
      <c r="I479" s="25">
        <f t="array" ref="I479">SUM(IF("155"&amp;C479=KHC&amp;MH,SL))</f>
        <v>1458</v>
      </c>
      <c r="J479" s="25">
        <f t="array" ref="J479">SUM(IF("155"&amp;C479=KHC&amp;MH,TH))</f>
        <v>2676286</v>
      </c>
      <c r="K479" s="8">
        <f t="shared" si="79"/>
        <v>0</v>
      </c>
      <c r="L479" s="8">
        <f t="shared" si="80"/>
        <v>0</v>
      </c>
      <c r="M479" s="294"/>
    </row>
    <row r="480" spans="1:13" ht="18.75" customHeight="1">
      <c r="A480" s="294" t="str">
        <f t="shared" si="81"/>
        <v>TP</v>
      </c>
      <c r="B480" s="307">
        <f t="shared" si="82"/>
        <v>329</v>
      </c>
      <c r="C480" s="40" t="s">
        <v>1323</v>
      </c>
      <c r="D480" s="306" t="s">
        <v>383</v>
      </c>
      <c r="E480" s="8"/>
      <c r="F480" s="8"/>
      <c r="G480" s="25">
        <f t="array" ref="G480">SUM(IF("155"&amp;C480=KHN&amp;MH,SL))</f>
        <v>33</v>
      </c>
      <c r="H480" s="25">
        <f t="array" ref="H480">SUM(IF("155"&amp;C480=KHN&amp;MH,TH))</f>
        <v>60367</v>
      </c>
      <c r="I480" s="25">
        <f t="array" ref="I480">SUM(IF("155"&amp;C480=KHC&amp;MH,SL))</f>
        <v>33</v>
      </c>
      <c r="J480" s="25">
        <f t="array" ref="J480">SUM(IF("155"&amp;C480=KHC&amp;MH,TH))</f>
        <v>60367</v>
      </c>
      <c r="K480" s="8">
        <f t="shared" si="79"/>
        <v>0</v>
      </c>
      <c r="L480" s="8">
        <f t="shared" si="80"/>
        <v>0</v>
      </c>
      <c r="M480" s="294"/>
    </row>
    <row r="481" spans="1:13" ht="18.75" customHeight="1">
      <c r="A481" s="294" t="str">
        <f t="shared" si="81"/>
        <v>TP</v>
      </c>
      <c r="B481" s="307">
        <f t="shared" si="82"/>
        <v>330</v>
      </c>
      <c r="C481" s="40" t="s">
        <v>1319</v>
      </c>
      <c r="D481" s="306" t="s">
        <v>383</v>
      </c>
      <c r="E481" s="8"/>
      <c r="F481" s="8"/>
      <c r="G481" s="25">
        <f t="array" ref="G481">SUM(IF("155"&amp;C481=KHN&amp;MH,SL))</f>
        <v>149</v>
      </c>
      <c r="H481" s="25">
        <f t="array" ref="H481">SUM(IF("155"&amp;C481=KHN&amp;MH,TH))</f>
        <v>279185</v>
      </c>
      <c r="I481" s="25">
        <f t="array" ref="I481">SUM(IF("155"&amp;C481=KHC&amp;MH,SL))</f>
        <v>149</v>
      </c>
      <c r="J481" s="25">
        <f t="array" ref="J481">SUM(IF("155"&amp;C481=KHC&amp;MH,TH))</f>
        <v>279185</v>
      </c>
      <c r="K481" s="8">
        <f t="shared" si="79"/>
        <v>0</v>
      </c>
      <c r="L481" s="8">
        <f t="shared" si="80"/>
        <v>0</v>
      </c>
      <c r="M481" s="294"/>
    </row>
    <row r="482" spans="1:13" ht="18.75" customHeight="1">
      <c r="A482" s="294" t="str">
        <f t="shared" si="81"/>
        <v>TP</v>
      </c>
      <c r="B482" s="307">
        <f t="shared" si="82"/>
        <v>331</v>
      </c>
      <c r="C482" s="40" t="s">
        <v>1327</v>
      </c>
      <c r="D482" s="306" t="s">
        <v>383</v>
      </c>
      <c r="E482" s="8"/>
      <c r="F482" s="8"/>
      <c r="G482" s="25">
        <f t="array" ref="G482">SUM(IF("155"&amp;C482=KHN&amp;MH,SL))</f>
        <v>41</v>
      </c>
      <c r="H482" s="25">
        <f t="array" ref="H482">SUM(IF("155"&amp;C482=KHN&amp;MH,TH))</f>
        <v>102177</v>
      </c>
      <c r="I482" s="25">
        <f t="array" ref="I482">SUM(IF("155"&amp;C482=KHC&amp;MH,SL))</f>
        <v>41</v>
      </c>
      <c r="J482" s="25">
        <f t="array" ref="J482">SUM(IF("155"&amp;C482=KHC&amp;MH,TH))</f>
        <v>102177</v>
      </c>
      <c r="K482" s="8">
        <f t="shared" si="79"/>
        <v>0</v>
      </c>
      <c r="L482" s="8">
        <f t="shared" si="80"/>
        <v>0</v>
      </c>
      <c r="M482" s="294"/>
    </row>
    <row r="483" spans="1:13" ht="18.75" customHeight="1">
      <c r="A483" s="294" t="str">
        <f t="shared" si="81"/>
        <v>TP</v>
      </c>
      <c r="B483" s="307">
        <f t="shared" si="82"/>
        <v>332</v>
      </c>
      <c r="C483" s="298" t="s">
        <v>1057</v>
      </c>
      <c r="D483" s="306" t="s">
        <v>383</v>
      </c>
      <c r="E483" s="8"/>
      <c r="F483" s="8"/>
      <c r="G483" s="25">
        <f t="array" ref="G483">SUM(IF("155"&amp;C483=KHN&amp;MH,SL))</f>
        <v>150</v>
      </c>
      <c r="H483" s="25">
        <f t="array" ref="H483">SUM(IF("155"&amp;C483=KHN&amp;MH,TH))</f>
        <v>667035</v>
      </c>
      <c r="I483" s="25">
        <f t="array" ref="I483">SUM(IF("155"&amp;C483=KHC&amp;MH,SL))</f>
        <v>150</v>
      </c>
      <c r="J483" s="25">
        <f t="array" ref="J483">SUM(IF("155"&amp;C483=KHC&amp;MH,TH))</f>
        <v>667035</v>
      </c>
      <c r="K483" s="8">
        <f t="shared" si="79"/>
        <v>0</v>
      </c>
      <c r="L483" s="8">
        <f t="shared" si="80"/>
        <v>0</v>
      </c>
      <c r="M483" s="294"/>
    </row>
    <row r="484" spans="1:13" ht="18.75" customHeight="1">
      <c r="A484" s="294" t="str">
        <f t="shared" ref="A484:A486" si="83">IF(B484&lt;&gt;"","TP","")</f>
        <v/>
      </c>
      <c r="B484" s="307" t="str">
        <f>IF(C484&lt;&gt;"",#REF!+1,"")</f>
        <v/>
      </c>
      <c r="C484" s="309"/>
      <c r="D484" s="304"/>
      <c r="E484" s="8"/>
      <c r="F484" s="8"/>
      <c r="G484" s="305"/>
      <c r="H484" s="305"/>
      <c r="I484" s="305"/>
      <c r="J484" s="305"/>
      <c r="K484" s="305"/>
      <c r="L484" s="305"/>
      <c r="M484" s="294"/>
    </row>
    <row r="485" spans="1:13" ht="19.5" customHeight="1">
      <c r="A485" s="294" t="str">
        <f t="shared" si="83"/>
        <v/>
      </c>
      <c r="B485" s="293"/>
      <c r="C485" s="302" t="s">
        <v>193</v>
      </c>
      <c r="D485" s="293"/>
      <c r="E485" s="13">
        <f t="shared" ref="E485:L485" si="84">SUM(E152:E484)</f>
        <v>0</v>
      </c>
      <c r="F485" s="13">
        <f t="shared" si="84"/>
        <v>0</v>
      </c>
      <c r="G485" s="13">
        <f t="shared" si="84"/>
        <v>98880.164104882453</v>
      </c>
      <c r="H485" s="13">
        <f t="shared" si="84"/>
        <v>957706400</v>
      </c>
      <c r="I485" s="13">
        <f t="shared" si="84"/>
        <v>98880.164104882453</v>
      </c>
      <c r="J485" s="13">
        <f t="shared" si="84"/>
        <v>957706400</v>
      </c>
      <c r="K485" s="13">
        <f t="shared" si="84"/>
        <v>0</v>
      </c>
      <c r="L485" s="13">
        <f t="shared" si="84"/>
        <v>0</v>
      </c>
      <c r="M485" s="294"/>
    </row>
    <row r="486" spans="1:13" ht="18.75" hidden="1" customHeight="1">
      <c r="A486" s="294" t="str">
        <f t="shared" si="83"/>
        <v/>
      </c>
      <c r="B486" s="489"/>
      <c r="C486" s="489"/>
      <c r="D486" s="488"/>
      <c r="E486" s="490">
        <f>F485-F486</f>
        <v>0</v>
      </c>
      <c r="F486" s="490">
        <f>CDPS!C22</f>
        <v>0</v>
      </c>
      <c r="G486" s="490">
        <f>H485-H486</f>
        <v>0</v>
      </c>
      <c r="H486" s="490">
        <f>CDPS!E22</f>
        <v>957706400</v>
      </c>
      <c r="I486" s="490">
        <f>J485-J486</f>
        <v>0</v>
      </c>
      <c r="J486" s="490">
        <f>CDPS!F22</f>
        <v>957706400</v>
      </c>
      <c r="K486" s="490">
        <f>L485-L486</f>
        <v>0</v>
      </c>
      <c r="L486" s="490">
        <f>CDPS!G22</f>
        <v>0</v>
      </c>
      <c r="M486" s="308"/>
    </row>
    <row r="487" spans="1:13" ht="18.75" hidden="1" customHeight="1"/>
    <row r="488" spans="1:13" ht="19.5" hidden="1" customHeight="1"/>
    <row r="489" spans="1:13" ht="19.5" customHeight="1">
      <c r="C489" s="1001"/>
      <c r="D489" s="1001"/>
      <c r="E489" s="1001"/>
      <c r="F489" s="920"/>
      <c r="G489" s="920"/>
      <c r="H489" s="920"/>
      <c r="I489" s="920"/>
      <c r="J489" s="1001" t="s">
        <v>1443</v>
      </c>
      <c r="K489" s="1001"/>
      <c r="L489" s="1001"/>
    </row>
    <row r="490" spans="1:13" ht="19.5" customHeight="1">
      <c r="C490" s="921"/>
      <c r="D490" s="921"/>
      <c r="E490" s="921"/>
      <c r="F490" s="1001"/>
      <c r="G490" s="1001"/>
      <c r="H490" s="1001"/>
      <c r="I490" s="920"/>
      <c r="J490" s="1001" t="s">
        <v>101</v>
      </c>
      <c r="K490" s="1001"/>
      <c r="L490" s="1001"/>
    </row>
    <row r="491" spans="1:13" ht="19.5" customHeight="1">
      <c r="C491" s="921"/>
      <c r="D491" s="921"/>
      <c r="E491" s="921"/>
      <c r="F491" s="1001"/>
      <c r="G491" s="1001"/>
      <c r="H491" s="1001"/>
      <c r="I491" s="289"/>
      <c r="J491" s="1001" t="s">
        <v>128</v>
      </c>
      <c r="K491" s="1001"/>
      <c r="L491" s="1001"/>
    </row>
    <row r="492" spans="1:13" ht="20.25" customHeight="1"/>
    <row r="493" spans="1:13" ht="20.25" customHeight="1"/>
    <row r="494" spans="1:13" ht="20.25" customHeight="1"/>
    <row r="495" spans="1:13" ht="20.25" customHeight="1"/>
    <row r="496" spans="1:13" ht="20.25" customHeight="1"/>
    <row r="497" ht="20.25" customHeight="1"/>
    <row r="498" ht="20.2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  <row r="516" ht="19.5" customHeight="1"/>
    <row r="517" ht="19.5" customHeight="1"/>
  </sheetData>
  <autoFilter ref="A11:N486"/>
  <sortState ref="A151:N509">
    <sortCondition ref="C151:C509"/>
  </sortState>
  <mergeCells count="20">
    <mergeCell ref="C7:L7"/>
    <mergeCell ref="F491:H491"/>
    <mergeCell ref="J491:L491"/>
    <mergeCell ref="C489:E489"/>
    <mergeCell ref="J489:L489"/>
    <mergeCell ref="F490:H490"/>
    <mergeCell ref="J490:L49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3" customWidth="1"/>
    <col min="2" max="2" width="29.7109375" style="313" customWidth="1"/>
    <col min="3" max="3" width="5.7109375" style="313" customWidth="1"/>
    <col min="4" max="4" width="6.7109375" style="313" customWidth="1"/>
    <col min="5" max="5" width="12.7109375" style="313" customWidth="1"/>
    <col min="6" max="6" width="9.85546875" style="313" customWidth="1"/>
    <col min="7" max="7" width="11" style="313" customWidth="1"/>
    <col min="8" max="8" width="14" style="313" customWidth="1"/>
    <col min="9" max="9" width="4.28515625" style="313" customWidth="1"/>
    <col min="10" max="10" width="7.5703125" style="313" customWidth="1"/>
    <col min="11" max="11" width="3.140625" style="313" customWidth="1"/>
    <col min="12" max="12" width="5.7109375" style="313" customWidth="1"/>
    <col min="13" max="13" width="2.7109375" style="313" customWidth="1"/>
    <col min="14" max="14" width="4" style="313" customWidth="1"/>
    <col min="15" max="15" width="3.7109375" style="313" customWidth="1"/>
    <col min="16" max="16384" width="9.140625" style="313"/>
  </cols>
  <sheetData>
    <row r="1" spans="1:17" ht="5.25" hidden="1" customHeight="1"/>
    <row r="2" spans="1:17" s="685" customFormat="1" ht="12" customHeight="1">
      <c r="A2" s="684" t="str">
        <f>TH!A1</f>
        <v>Đơn vị: CÔNG TY TNHH SX TM KIM DUNG PHÁT</v>
      </c>
      <c r="G2" s="686" t="str">
        <f>+IF(LEFT($D$7,1)="N","Mẫu số 01 - VT","Mẫu số 02 - VT")</f>
        <v>Mẫu số 02 - VT</v>
      </c>
    </row>
    <row r="3" spans="1:17" s="685" customFormat="1" ht="12" customHeight="1">
      <c r="A3" s="687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86" t="s">
        <v>96</v>
      </c>
      <c r="O3" s="688"/>
      <c r="P3" s="689">
        <f>IF(J5="Quý I",1,IF(J5="Quý II",4,IF(J5="Quý III",7,IF(J5="Quý IV",10,""))))</f>
        <v>10</v>
      </c>
      <c r="Q3" s="689">
        <f>IF(J5="Quý I",3,IF(J5="Quý II",6,IF(J5="Quý III",9,IF(J5="Quý IV",12,""))))</f>
        <v>12</v>
      </c>
    </row>
    <row r="4" spans="1:17" s="685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90"/>
      <c r="M4" s="691"/>
      <c r="N4" s="686" t="s">
        <v>97</v>
      </c>
      <c r="O4" s="688"/>
    </row>
    <row r="5" spans="1:17" ht="18" customHeight="1" thickBot="1">
      <c r="D5" s="317" t="str">
        <f>+IF(LEFT($L$5,1)="N","PHIẾU NHẬP KHO","PHIẾU XUẤT KHO")</f>
        <v>PHIẾU XUẤT KHO</v>
      </c>
      <c r="J5" s="681" t="s">
        <v>1403</v>
      </c>
      <c r="K5" s="318"/>
      <c r="L5" s="682" t="s">
        <v>1430</v>
      </c>
      <c r="M5" s="319"/>
      <c r="N5" s="683">
        <v>2</v>
      </c>
      <c r="O5" s="314"/>
      <c r="P5" s="314"/>
    </row>
    <row r="6" spans="1:17" ht="10.5" customHeight="1">
      <c r="D6" s="693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694"/>
      <c r="M6" s="316"/>
      <c r="O6" s="314"/>
    </row>
    <row r="7" spans="1:17" ht="10.5" customHeight="1">
      <c r="C7" s="695" t="str">
        <f xml:space="preserve"> "Số:"</f>
        <v>Số:</v>
      </c>
      <c r="D7" s="696" t="str">
        <f xml:space="preserve"> RIGHT($L$5,2)&amp;"/"&amp;LEFT($L$5,1)&amp;IF($N$5&gt;=10,$N$5,"0"&amp;$N$5)</f>
        <v>TP/X02</v>
      </c>
      <c r="G7" s="313" t="str">
        <f ca="1">"Nợ:  "&amp;IF(ROWS($1:1)&gt;COUNT(Dong10),"",OFFSET(TH!L$1,SMALL(Dong10,ROWS($1:1)),))</f>
        <v>Nợ:  131</v>
      </c>
      <c r="M7" s="316"/>
      <c r="O7" s="314"/>
    </row>
    <row r="8" spans="1:17" ht="10.5" customHeight="1">
      <c r="D8" s="71"/>
      <c r="G8" s="313" t="str">
        <f ca="1">"Có:  "&amp;IF(ROWS($1:1)&gt;COUNT(Dong10),"",OFFSET(TH!M$1,SMALL(Dong10,ROWS($1:1)),))</f>
        <v>Có:  5112</v>
      </c>
      <c r="M8" s="316"/>
      <c r="O8" s="697"/>
    </row>
    <row r="9" spans="1:17" ht="11.25" customHeight="1">
      <c r="A9" s="31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316"/>
    </row>
    <row r="10" spans="1:17" ht="11.25" customHeight="1">
      <c r="A10" s="313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3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2" t="s">
        <v>34</v>
      </c>
      <c r="B14" s="1042" t="s">
        <v>194</v>
      </c>
      <c r="C14" s="1042" t="s">
        <v>195</v>
      </c>
      <c r="D14" s="1042" t="s">
        <v>186</v>
      </c>
      <c r="E14" s="1044" t="s">
        <v>196</v>
      </c>
      <c r="F14" s="1044"/>
      <c r="G14" s="1042" t="s">
        <v>197</v>
      </c>
      <c r="H14" s="1042" t="s">
        <v>198</v>
      </c>
    </row>
    <row r="15" spans="1:17" ht="12.75" customHeight="1">
      <c r="A15" s="1043"/>
      <c r="B15" s="1043"/>
      <c r="C15" s="1043"/>
      <c r="D15" s="1043"/>
      <c r="E15" s="698" t="s">
        <v>199</v>
      </c>
      <c r="F15" s="698" t="str">
        <f>IF(LEFT($D$7,1)="N","Thực nhập","Thực xuất")</f>
        <v>Thực xuất</v>
      </c>
      <c r="G15" s="1043"/>
      <c r="H15" s="1043"/>
    </row>
    <row r="16" spans="1:17" s="71" customFormat="1" ht="8.25" customHeight="1">
      <c r="A16" s="699" t="s">
        <v>2</v>
      </c>
      <c r="B16" s="699" t="s">
        <v>3</v>
      </c>
      <c r="C16" s="699" t="s">
        <v>4</v>
      </c>
      <c r="D16" s="699" t="s">
        <v>5</v>
      </c>
      <c r="E16" s="699">
        <v>1</v>
      </c>
      <c r="F16" s="699">
        <v>2</v>
      </c>
      <c r="G16" s="699">
        <v>3</v>
      </c>
      <c r="H16" s="699">
        <v>4</v>
      </c>
    </row>
    <row r="17" spans="1:8" ht="11.25" customHeight="1">
      <c r="A17" s="700">
        <f ca="1">IF(B17="","",ROW()-16)</f>
        <v>1</v>
      </c>
      <c r="B17" s="701" t="str">
        <f ca="1">IF(ROWS($1:1)&gt;COUNT(Dong10),"",OFFSET(TH!F$1,SMALL(Dong10,ROWS($1:1)),))</f>
        <v>Thùng carton (69x41x29)</v>
      </c>
      <c r="C17" s="702"/>
      <c r="D17" s="703" t="str">
        <f ca="1">IF(ISNA(VLOOKUP(B17,NXT!$C$12:$D$484,2,0)),"",VLOOKUP(B17,NXT!$C$12:$D$484,2,0))</f>
        <v>thùng</v>
      </c>
      <c r="E17" s="704"/>
      <c r="F17" s="705">
        <f ca="1">IF(ROWS($1:1)&gt;COUNT(Dong10),"",OFFSET(TH!I$1,SMALL(Dong10,ROWS($1:1)),))</f>
        <v>2954.1641048824595</v>
      </c>
      <c r="G17" s="705">
        <f ca="1">IF(ROWS($1:1)&gt;COUNT(Dong10),"",OFFSET(TH!J$1,SMALL(Dong10,ROWS($1:1)),))</f>
        <v>19908</v>
      </c>
      <c r="H17" s="704">
        <f ca="1">IF(F17&lt;&gt;"",ROUND(F17*G17,0),0)</f>
        <v>58811499</v>
      </c>
    </row>
    <row r="18" spans="1:8" ht="11.25" customHeight="1">
      <c r="A18" s="700" t="str">
        <f t="shared" ref="A18:A20" ca="1" si="0">IF(B18="","",A17+1)</f>
        <v/>
      </c>
      <c r="B18" s="701" t="str">
        <f ca="1">IF(ROWS($1:2)&gt;COUNT(Dong10),"",OFFSET(TH!F$1,SMALL(Dong10,ROWS($1:2)),))</f>
        <v/>
      </c>
      <c r="C18" s="702"/>
      <c r="D18" s="703" t="str">
        <f ca="1">IF(ISNA(VLOOKUP(B18,NXT!$C$12:$D$484,2,0)),"",VLOOKUP(B18,NXT!$C$12:$D$484,2,0))</f>
        <v/>
      </c>
      <c r="E18" s="704"/>
      <c r="F18" s="705" t="str">
        <f ca="1">IF(ROWS($1:2)&gt;COUNT(Dong10),"",OFFSET(TH!I$1,SMALL(Dong10,ROWS($1:2)),))</f>
        <v/>
      </c>
      <c r="G18" s="705" t="str">
        <f ca="1">IF(ROWS($1:2)&gt;COUNT(Dong10),"",OFFSET(TH!J$1,SMALL(Dong10,ROWS($1:2)),))</f>
        <v/>
      </c>
      <c r="H18" s="704">
        <f t="shared" ref="H18:H24" ca="1" si="1">IF(F18&lt;&gt;"",ROUND(F18*G18,0),0)</f>
        <v>0</v>
      </c>
    </row>
    <row r="19" spans="1:8" ht="11.25" customHeight="1">
      <c r="A19" s="700" t="str">
        <f t="shared" ca="1" si="0"/>
        <v/>
      </c>
      <c r="B19" s="701" t="str">
        <f ca="1">IF(ROWS($1:3)&gt;COUNT(Dong10),"",OFFSET(TH!F$1,SMALL(Dong10,ROWS($1:3)),))</f>
        <v/>
      </c>
      <c r="C19" s="702"/>
      <c r="D19" s="703" t="str">
        <f ca="1">IF(ISNA(VLOOKUP(B19,NXT!$C$12:$D$484,2,0)),"",VLOOKUP(B19,NXT!$C$12:$D$484,2,0))</f>
        <v/>
      </c>
      <c r="E19" s="704"/>
      <c r="F19" s="705" t="str">
        <f ca="1">IF(ROWS($1:3)&gt;COUNT(Dong10),"",OFFSET(TH!I$1,SMALL(Dong10,ROWS($1:3)),))</f>
        <v/>
      </c>
      <c r="G19" s="705" t="str">
        <f ca="1">IF(ROWS($1:3)&gt;COUNT(Dong10),"",OFFSET(TH!J$1,SMALL(Dong10,ROWS($1:3)),))</f>
        <v/>
      </c>
      <c r="H19" s="704">
        <f t="shared" ca="1" si="1"/>
        <v>0</v>
      </c>
    </row>
    <row r="20" spans="1:8" ht="11.25" customHeight="1">
      <c r="A20" s="700" t="str">
        <f t="shared" ca="1" si="0"/>
        <v/>
      </c>
      <c r="B20" s="701" t="str">
        <f ca="1">IF(ROWS($1:4)&gt;COUNT(Dong10),"",OFFSET(TH!F$1,SMALL(Dong10,ROWS($1:4)),))</f>
        <v/>
      </c>
      <c r="C20" s="702"/>
      <c r="D20" s="703" t="str">
        <f ca="1">IF(ISNA(VLOOKUP(B20,NXT!$C$12:$D$484,2,0)),"",VLOOKUP(B20,NXT!$C$12:$D$484,2,0))</f>
        <v/>
      </c>
      <c r="E20" s="704"/>
      <c r="F20" s="705" t="str">
        <f ca="1">IF(ROWS($1:4)&gt;COUNT(Dong10),"",OFFSET(TH!I$1,SMALL(Dong10,ROWS($1:4)),))</f>
        <v/>
      </c>
      <c r="G20" s="705" t="str">
        <f ca="1">IF(ROWS($1:4)&gt;COUNT(Dong10),"",OFFSET(TH!J$1,SMALL(Dong10,ROWS($1:4)),))</f>
        <v/>
      </c>
      <c r="H20" s="704">
        <f t="shared" ca="1" si="1"/>
        <v>0</v>
      </c>
    </row>
    <row r="21" spans="1:8" ht="11.25" customHeight="1">
      <c r="A21" s="700" t="str">
        <f t="shared" ref="A21:A23" ca="1" si="2">IF(B21="","",A20+1)</f>
        <v/>
      </c>
      <c r="B21" s="701" t="str">
        <f ca="1">IF(ROWS($1:5)&gt;COUNT(Dong10),"",OFFSET(TH!F$1,SMALL(Dong10,ROWS($1:5)),))</f>
        <v/>
      </c>
      <c r="C21" s="702"/>
      <c r="D21" s="703" t="str">
        <f ca="1">IF(ISNA(VLOOKUP(B21,NXT!$C$12:$D$484,2,0)),"",VLOOKUP(B21,NXT!$C$12:$D$484,2,0))</f>
        <v/>
      </c>
      <c r="E21" s="704"/>
      <c r="F21" s="705" t="str">
        <f ca="1">IF(ROWS($1:5)&gt;COUNT(Dong10),"",OFFSET(TH!I$1,SMALL(Dong10,ROWS($1:5)),))</f>
        <v/>
      </c>
      <c r="G21" s="705" t="str">
        <f ca="1">IF(ROWS($1:5)&gt;COUNT(Dong10),"",OFFSET(TH!J$1,SMALL(Dong10,ROWS($1:5)),))</f>
        <v/>
      </c>
      <c r="H21" s="704">
        <f t="shared" ca="1" si="1"/>
        <v>0</v>
      </c>
    </row>
    <row r="22" spans="1:8" ht="11.25" customHeight="1">
      <c r="A22" s="700" t="str">
        <f t="shared" ca="1" si="2"/>
        <v/>
      </c>
      <c r="B22" s="701" t="str">
        <f ca="1">IF(ROWS($1:6)&gt;COUNT(Dong10),"",OFFSET(TH!F$1,SMALL(Dong10,ROWS($1:6)),))</f>
        <v/>
      </c>
      <c r="C22" s="702"/>
      <c r="D22" s="703" t="str">
        <f ca="1">IF(ISNA(VLOOKUP(B22,NXT!$C$12:$D$484,2,0)),"",VLOOKUP(B22,NXT!$C$12:$D$484,2,0))</f>
        <v/>
      </c>
      <c r="E22" s="704"/>
      <c r="F22" s="705" t="str">
        <f ca="1">IF(ROWS($1:6)&gt;COUNT(Dong10),"",OFFSET(TH!I$1,SMALL(Dong10,ROWS($1:6)),))</f>
        <v/>
      </c>
      <c r="G22" s="705" t="str">
        <f ca="1">IF(ROWS($1:6)&gt;COUNT(Dong10),"",OFFSET(TH!J$1,SMALL(Dong10,ROWS($1:6)),))</f>
        <v/>
      </c>
      <c r="H22" s="704">
        <f t="shared" ca="1" si="1"/>
        <v>0</v>
      </c>
    </row>
    <row r="23" spans="1:8" ht="11.25" customHeight="1">
      <c r="A23" s="700" t="str">
        <f t="shared" ca="1" si="2"/>
        <v/>
      </c>
      <c r="B23" s="701" t="str">
        <f ca="1">IF(ROWS($1:7)&gt;COUNT(Dong10),"",OFFSET(TH!F$1,SMALL(Dong10,ROWS($1:7)),))</f>
        <v/>
      </c>
      <c r="C23" s="702"/>
      <c r="D23" s="703" t="str">
        <f ca="1">IF(ISNA(VLOOKUP(B23,NXT!$C$12:$D$484,2,0)),"",VLOOKUP(B23,NXT!$C$12:$D$484,2,0))</f>
        <v/>
      </c>
      <c r="E23" s="704"/>
      <c r="F23" s="705" t="str">
        <f ca="1">IF(ROWS($1:7)&gt;COUNT(Dong10),"",OFFSET(TH!I$1,SMALL(Dong10,ROWS($1:7)),))</f>
        <v/>
      </c>
      <c r="G23" s="705" t="str">
        <f ca="1">IF(ROWS($1:7)&gt;COUNT(Dong10),"",OFFSET(TH!J$1,SMALL(Dong10,ROWS($1:7)),))</f>
        <v/>
      </c>
      <c r="H23" s="704">
        <f t="shared" ca="1" si="1"/>
        <v>0</v>
      </c>
    </row>
    <row r="24" spans="1:8" ht="11.25" customHeight="1">
      <c r="A24" s="700" t="str">
        <f t="shared" ref="A24" ca="1" si="3">IF(B24="","",A23+1)</f>
        <v/>
      </c>
      <c r="B24" s="701" t="str">
        <f ca="1">IF(ROWS($1:8)&gt;COUNT(Dong10),"",OFFSET(TH!F$1,SMALL(Dong10,ROWS($1:8)),))</f>
        <v/>
      </c>
      <c r="C24" s="702"/>
      <c r="D24" s="703" t="str">
        <f ca="1">IF(ISNA(VLOOKUP(B24,NXT!$C$12:$D$484,2,0)),"",VLOOKUP(B24,NXT!$C$12:$D$484,2,0))</f>
        <v/>
      </c>
      <c r="E24" s="704"/>
      <c r="F24" s="705" t="str">
        <f ca="1">IF(ROWS($1:8)&gt;COUNT(Dong10),"",OFFSET(TH!I$1,SMALL(Dong10,ROWS($1:8)),))</f>
        <v/>
      </c>
      <c r="G24" s="705" t="str">
        <f ca="1">IF(ROWS($1:8)&gt;COUNT(Dong10),"",OFFSET(TH!J$1,SMALL(Dong10,ROWS($1:8)),))</f>
        <v/>
      </c>
      <c r="H24" s="704">
        <f t="shared" ca="1" si="1"/>
        <v>0</v>
      </c>
    </row>
    <row r="25" spans="1:8" ht="11.25" customHeight="1">
      <c r="A25" s="700" t="str">
        <f t="shared" ref="A25" ca="1" si="4">IF(B25="","",A24+1)</f>
        <v/>
      </c>
      <c r="B25" s="701" t="str">
        <f ca="1">IF(ROWS($1:9)&gt;COUNT(Dong10),"",OFFSET(TH!F$1,SMALL(Dong10,ROWS($1:9)),))</f>
        <v/>
      </c>
      <c r="C25" s="702"/>
      <c r="D25" s="703" t="str">
        <f ca="1">IF(ISNA(VLOOKUP(B25,NXT!$C$12:$D$484,2,0)),"",VLOOKUP(B25,NXT!$C$12:$D$484,2,0))</f>
        <v/>
      </c>
      <c r="E25" s="704"/>
      <c r="F25" s="705" t="str">
        <f ca="1">IF(ROWS($1:9)&gt;COUNT(Dong10),"",OFFSET(TH!I$1,SMALL(Dong10,ROWS($1:9)),))</f>
        <v/>
      </c>
      <c r="G25" s="705" t="str">
        <f ca="1">IF(ROWS($1:9)&gt;COUNT(Dong10),"",OFFSET(TH!J$1,SMALL(Dong10,ROWS($1:9)),))</f>
        <v/>
      </c>
      <c r="H25" s="704">
        <f t="shared" ref="H25" ca="1" si="5">IF(F25&lt;&gt;"",ROUND(F25*G25,0),0)</f>
        <v>0</v>
      </c>
    </row>
    <row r="26" spans="1:8" ht="11.25" customHeight="1">
      <c r="A26" s="700"/>
      <c r="B26" s="701"/>
      <c r="C26" s="702"/>
      <c r="D26" s="703"/>
      <c r="E26" s="704"/>
      <c r="F26" s="705"/>
      <c r="G26" s="706"/>
      <c r="H26" s="704"/>
    </row>
    <row r="27" spans="1:8" ht="11.25" customHeight="1">
      <c r="A27" s="1044" t="s">
        <v>200</v>
      </c>
      <c r="B27" s="1044"/>
      <c r="C27" s="707"/>
      <c r="D27" s="707"/>
      <c r="E27" s="708"/>
      <c r="F27" s="708"/>
      <c r="G27" s="708"/>
      <c r="H27" s="708">
        <f ca="1">SUM(H17:H26)</f>
        <v>58811499</v>
      </c>
    </row>
    <row r="28" spans="1:8" ht="3" customHeight="1">
      <c r="A28" s="709"/>
      <c r="B28" s="709"/>
      <c r="C28" s="316"/>
      <c r="D28" s="316"/>
      <c r="E28" s="710"/>
      <c r="F28" s="710"/>
      <c r="G28" s="710"/>
      <c r="H28" s="710"/>
    </row>
    <row r="29" spans="1:8" ht="11.25" customHeight="1">
      <c r="A29" s="313" t="e">
        <f ca="1">"Tổng số tiền (viết bằng chữ):  "&amp;[3]!VND(H27, TRUE)</f>
        <v>#NAME?</v>
      </c>
    </row>
    <row r="30" spans="1:8" ht="11.25" customHeight="1">
      <c r="A30" s="313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315" customFormat="1" ht="11.25" customHeight="1">
      <c r="A32" s="711" t="s">
        <v>201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96" t="s">
        <v>202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96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2" customFormat="1" ht="11.25" customHeight="1"/>
    <row r="39" spans="1:8" ht="11.25" customHeight="1">
      <c r="A39" s="321"/>
      <c r="F39" s="32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4" customWidth="1"/>
    <col min="2" max="2" width="8.5703125" style="324" customWidth="1"/>
    <col min="3" max="3" width="11" style="324" customWidth="1"/>
    <col min="4" max="4" width="41.7109375" style="324" customWidth="1"/>
    <col min="5" max="5" width="8" style="337" customWidth="1"/>
    <col min="6" max="6" width="8.85546875" style="324" customWidth="1"/>
    <col min="7" max="7" width="9" style="324" customWidth="1"/>
    <col min="8" max="8" width="14.140625" style="324" customWidth="1"/>
    <col min="9" max="9" width="8.85546875" style="324" customWidth="1"/>
    <col min="10" max="10" width="13.42578125" style="324" customWidth="1"/>
    <col min="11" max="11" width="10.140625" style="324" customWidth="1"/>
    <col min="12" max="12" width="13" style="324" customWidth="1"/>
    <col min="13" max="13" width="7.140625" style="324" customWidth="1"/>
    <col min="14" max="14" width="2" style="324" customWidth="1"/>
    <col min="15" max="15" width="5.5703125" style="324" customWidth="1"/>
    <col min="16" max="16" width="4.42578125" style="324" customWidth="1"/>
    <col min="17" max="16384" width="23.85546875" style="324"/>
  </cols>
  <sheetData>
    <row r="1" spans="1:17">
      <c r="A1" s="323" t="s">
        <v>203</v>
      </c>
      <c r="E1" s="324"/>
      <c r="O1" s="325"/>
    </row>
    <row r="2" spans="1:17" s="264" customFormat="1" ht="16.5" customHeight="1">
      <c r="B2" s="326" t="str">
        <f>TH!A1</f>
        <v>Đơn vị: CÔNG TY TNHH SX TM KIM DUNG PHÁT</v>
      </c>
      <c r="C2" s="327"/>
      <c r="D2" s="328"/>
      <c r="E2" s="329"/>
      <c r="F2" s="2"/>
      <c r="J2" s="1052" t="s">
        <v>204</v>
      </c>
      <c r="K2" s="1052"/>
      <c r="L2" s="1052"/>
      <c r="M2" s="1052"/>
      <c r="N2" s="330"/>
    </row>
    <row r="3" spans="1:17" s="264" customFormat="1" ht="16.5" customHeight="1">
      <c r="B3" s="632" t="str">
        <f>TH!A2</f>
        <v>Địa chỉ: 1A227/1 Ấp 1, Phạm Văn Hai, Bình Chánh, TPHCM</v>
      </c>
      <c r="C3" s="326"/>
      <c r="D3" s="326"/>
      <c r="E3" s="331"/>
      <c r="F3" s="326"/>
      <c r="J3" s="1053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3"/>
      <c r="L3" s="1053"/>
      <c r="M3" s="1053"/>
      <c r="N3" s="332"/>
    </row>
    <row r="4" spans="1:17" s="264" customFormat="1" ht="16.5" customHeight="1">
      <c r="B4" s="326"/>
      <c r="C4" s="326"/>
      <c r="D4" s="326"/>
      <c r="E4" s="331"/>
      <c r="F4" s="326"/>
      <c r="J4" s="1053"/>
      <c r="K4" s="1053"/>
      <c r="L4" s="1053"/>
      <c r="M4" s="1053"/>
      <c r="N4" s="332"/>
    </row>
    <row r="5" spans="1:17" ht="18.75" customHeight="1">
      <c r="B5" s="1054" t="s">
        <v>205</v>
      </c>
      <c r="C5" s="1054"/>
      <c r="D5" s="1054"/>
      <c r="E5" s="1054"/>
      <c r="F5" s="1054"/>
      <c r="G5" s="1054"/>
      <c r="H5" s="1054"/>
      <c r="I5" s="1054"/>
      <c r="J5" s="1054"/>
      <c r="K5" s="1054"/>
      <c r="L5" s="1054"/>
      <c r="M5" s="1054"/>
      <c r="N5" s="333"/>
    </row>
    <row r="6" spans="1:17" s="334" customFormat="1" ht="12.75">
      <c r="B6" s="1055" t="s">
        <v>206</v>
      </c>
      <c r="C6" s="1055"/>
      <c r="D6" s="1055"/>
      <c r="E6" s="1055"/>
      <c r="F6" s="1055"/>
      <c r="G6" s="1055"/>
      <c r="H6" s="1055"/>
      <c r="I6" s="1055"/>
      <c r="J6" s="1055"/>
      <c r="K6" s="1055"/>
      <c r="L6" s="1055"/>
      <c r="M6" s="1055"/>
      <c r="N6" s="335"/>
    </row>
    <row r="7" spans="1:17">
      <c r="C7" s="336"/>
      <c r="D7" s="336"/>
      <c r="F7" s="338" t="s">
        <v>272</v>
      </c>
      <c r="G7" s="477" t="str">
        <f>IF($O$10="VL","1522",IF($O$10="NL","1521",IF($O$10="TP","155","")))</f>
        <v>1521</v>
      </c>
      <c r="H7" s="338" t="s">
        <v>207</v>
      </c>
      <c r="I7" s="336" t="str">
        <f>IF($O$10="NL","Nguyên Liệu",IF($O$10="TP","Thành Phẩm",IF($O$10="VL","Vật Liệu","")))</f>
        <v>Nguyên Liệu</v>
      </c>
      <c r="J7" s="336"/>
      <c r="K7" s="336"/>
      <c r="L7" s="336"/>
      <c r="M7" s="336"/>
      <c r="N7" s="337"/>
    </row>
    <row r="8" spans="1:17">
      <c r="B8" s="337"/>
      <c r="C8" s="336"/>
      <c r="D8" s="336"/>
      <c r="F8" s="337" t="s">
        <v>208</v>
      </c>
      <c r="H8" s="336"/>
      <c r="I8" s="336"/>
      <c r="J8" s="1056" t="s">
        <v>387</v>
      </c>
      <c r="K8" s="1056"/>
      <c r="L8" s="1056"/>
      <c r="M8" s="336"/>
      <c r="N8" s="336"/>
    </row>
    <row r="9" spans="1:17">
      <c r="D9" s="339"/>
      <c r="E9" s="340"/>
      <c r="F9" s="339"/>
      <c r="G9" s="339"/>
      <c r="H9" s="339"/>
      <c r="I9" s="339"/>
      <c r="J9" s="339"/>
      <c r="K9" s="339" t="s">
        <v>115</v>
      </c>
      <c r="M9" s="341"/>
      <c r="N9" s="342"/>
    </row>
    <row r="10" spans="1:17" ht="15.75" customHeight="1">
      <c r="A10" s="1046" t="s">
        <v>34</v>
      </c>
      <c r="B10" s="1047" t="s">
        <v>1</v>
      </c>
      <c r="C10" s="1047"/>
      <c r="D10" s="1048" t="s">
        <v>0</v>
      </c>
      <c r="E10" s="1048" t="s">
        <v>209</v>
      </c>
      <c r="F10" s="1048" t="s">
        <v>197</v>
      </c>
      <c r="G10" s="1050" t="s">
        <v>210</v>
      </c>
      <c r="H10" s="1051"/>
      <c r="I10" s="1050" t="s">
        <v>211</v>
      </c>
      <c r="J10" s="1051"/>
      <c r="K10" s="1050" t="s">
        <v>212</v>
      </c>
      <c r="L10" s="1051"/>
      <c r="M10" s="1048" t="s">
        <v>119</v>
      </c>
      <c r="N10" s="343"/>
      <c r="O10" s="344" t="s">
        <v>203</v>
      </c>
    </row>
    <row r="11" spans="1:17" ht="31.5" customHeight="1">
      <c r="A11" s="1046"/>
      <c r="B11" s="345" t="s">
        <v>15</v>
      </c>
      <c r="C11" s="345" t="s">
        <v>31</v>
      </c>
      <c r="D11" s="1048"/>
      <c r="E11" s="1048"/>
      <c r="F11" s="1048"/>
      <c r="G11" s="345" t="s">
        <v>196</v>
      </c>
      <c r="H11" s="345" t="s">
        <v>198</v>
      </c>
      <c r="I11" s="345" t="s">
        <v>196</v>
      </c>
      <c r="J11" s="345" t="s">
        <v>198</v>
      </c>
      <c r="K11" s="345" t="s">
        <v>196</v>
      </c>
      <c r="L11" s="345" t="s">
        <v>198</v>
      </c>
      <c r="M11" s="1048"/>
      <c r="N11" s="343"/>
    </row>
    <row r="12" spans="1:17" s="337" customFormat="1">
      <c r="A12" s="346"/>
      <c r="B12" s="347" t="s">
        <v>2</v>
      </c>
      <c r="C12" s="348" t="s">
        <v>3</v>
      </c>
      <c r="D12" s="348" t="s">
        <v>4</v>
      </c>
      <c r="E12" s="347" t="s">
        <v>5</v>
      </c>
      <c r="F12" s="347">
        <v>1</v>
      </c>
      <c r="G12" s="347">
        <v>2</v>
      </c>
      <c r="H12" s="347" t="s">
        <v>214</v>
      </c>
      <c r="I12" s="347">
        <v>4</v>
      </c>
      <c r="J12" s="347" t="s">
        <v>215</v>
      </c>
      <c r="K12" s="347">
        <v>6</v>
      </c>
      <c r="L12" s="347" t="s">
        <v>216</v>
      </c>
      <c r="M12" s="347"/>
      <c r="N12" s="349"/>
    </row>
    <row r="13" spans="1:17">
      <c r="A13" s="350"/>
      <c r="B13" s="350"/>
      <c r="C13" s="350"/>
      <c r="D13" s="351" t="s">
        <v>136</v>
      </c>
      <c r="E13" s="352"/>
      <c r="F13" s="353"/>
      <c r="G13" s="353"/>
      <c r="H13" s="353"/>
      <c r="I13" s="353"/>
      <c r="J13" s="353"/>
      <c r="K13" s="354">
        <f>VLOOKUP($J$8,NXT!$C$12:$L$484,3,0)</f>
        <v>0</v>
      </c>
      <c r="L13" s="354">
        <f>VLOOKUP($J$8,NXT!$C$12:$L$484,4,0)</f>
        <v>0</v>
      </c>
      <c r="M13" s="353"/>
      <c r="N13" s="349"/>
    </row>
    <row r="14" spans="1:17">
      <c r="A14" s="320">
        <f ca="1">IF(B14="","",ROW()-13)</f>
        <v>1</v>
      </c>
      <c r="B14" s="355" t="str">
        <f ca="1">IF(ROWS($1:1)&gt;COUNT(Dong11),"",OFFSET(TH!D$1,SMALL(Dong11,ROWS($1:1)),))</f>
        <v>NL/N02</v>
      </c>
      <c r="C14" s="356">
        <f ca="1">IF(ROWS($1:1)&gt;COUNT(Dong11),"",OFFSET(TH!E$1,SMALL(Dong11,ROWS($1:1)),))</f>
        <v>40646</v>
      </c>
      <c r="D14" s="357" t="str">
        <f ca="1">IF(ROWS($1:1)&gt;COUNT(Dong11),"",OFFSET(TH!H$1,SMALL(Dong11,ROWS($1:1)),))</f>
        <v>Cty CP Hợp Tác Kinh Tế &amp; Xuất Nhập Khẩu</v>
      </c>
      <c r="E14" s="355" t="str">
        <f ca="1">IF(ROWS($1:1)&gt;COUNT(Dong11),"",IF(OFFSET(TH!L$1,SMALL(Dong11,ROWS($1:1)),)=$G$7,OFFSET(TH!M$1,SMALL(Dong11,ROWS($1:1)),),OFFSET(TH!L$1,SMALL(Dong11,ROWS($1:1)),)))</f>
        <v>331</v>
      </c>
      <c r="F14" s="358">
        <f ca="1">IF(ROWS($1:1)&gt;COUNT(Dong11),0,OFFSET(TH!J$1,SMALL(Dong11,ROWS($1:1)),))</f>
        <v>4449</v>
      </c>
      <c r="G14" s="358">
        <f ca="1">IF(ROWS($1:1)&gt;COUNT(Dong11),0,IF(MID(OFFSET(TH!D$1,SMALL(Dong11,ROWS($1:1)),),4,1)="N",OFFSET(TH!I$1,SMALL(Dong11,ROWS($1:1)),),0))</f>
        <v>2500</v>
      </c>
      <c r="H14" s="359">
        <f ca="1">ROUND(F14*G14,0)</f>
        <v>11122500</v>
      </c>
      <c r="I14" s="358">
        <f ca="1">IF(ROWS($1:1)&gt;COUNT(Dong11),0,IF(MID(OFFSET(TH!D$1,SMALL(Dong11,ROWS($1:1)),),4,1)="X",OFFSET(TH!I$1,SMALL(Dong11,ROWS($1:1)),),0))</f>
        <v>0</v>
      </c>
      <c r="J14" s="359">
        <f ca="1">ROUND(F14*I14,0)</f>
        <v>0</v>
      </c>
      <c r="K14" s="359">
        <f ca="1">IF(D14&lt;&gt;"",K13+G14-I14,0)</f>
        <v>2500</v>
      </c>
      <c r="L14" s="359">
        <f ca="1">IF(D14&lt;&gt;"",L13+H14-J14,0)</f>
        <v>11122500</v>
      </c>
      <c r="M14" s="359"/>
      <c r="N14" s="349"/>
    </row>
    <row r="15" spans="1:17">
      <c r="A15" s="320">
        <f t="shared" ref="A15:A24" ca="1" si="0">IF(B15="","",A14+1)</f>
        <v>2</v>
      </c>
      <c r="B15" s="355" t="str">
        <f ca="1">IF(ROWS($1:2)&gt;COUNT(Dong11),"",OFFSET(TH!D$1,SMALL(Dong11,ROWS($1:2)),))</f>
        <v>NL/X02</v>
      </c>
      <c r="C15" s="356">
        <f ca="1">IF(ROWS($1:2)&gt;COUNT(Dong11),"",OFFSET(TH!E$1,SMALL(Dong11,ROWS($1:2)),))</f>
        <v>40670</v>
      </c>
      <c r="D15" s="357" t="str">
        <f ca="1">IF(ROWS($1:2)&gt;COUNT(Dong11),"",OFFSET(TH!H$1,SMALL(Dong11,ROWS($1:2)),))</f>
        <v>Bộ phận SX</v>
      </c>
      <c r="E15" s="355" t="str">
        <f ca="1">IF(ROWS($1:2)&gt;COUNT(Dong11),"",IF(OFFSET(TH!L$1,SMALL(Dong11,ROWS($1:2)),)=$G$7,OFFSET(TH!M$1,SMALL(Dong11,ROWS($1:2)),),OFFSET(TH!L$1,SMALL(Dong11,ROWS($1:2)),)))</f>
        <v>154</v>
      </c>
      <c r="F15" s="358">
        <f ca="1">IF(ROWS($1:2)&gt;COUNT(Dong11),0,OFFSET(TH!J$1,SMALL(Dong11,ROWS($1:2)),))</f>
        <v>4449</v>
      </c>
      <c r="G15" s="358">
        <f ca="1">IF(ROWS($1:2)&gt;COUNT(Dong11),0,IF(MID(OFFSET(TH!D$1,SMALL(Dong11,ROWS($1:2)),),4,1)="N",OFFSET(TH!I$1,SMALL(Dong11,ROWS($1:2)),),0))</f>
        <v>0</v>
      </c>
      <c r="H15" s="359">
        <f t="shared" ref="H15:H24" ca="1" si="1">ROUND(F15*G15,0)</f>
        <v>0</v>
      </c>
      <c r="I15" s="358">
        <f ca="1">IF(ROWS($1:2)&gt;COUNT(Dong11),0,IF(MID(OFFSET(TH!D$1,SMALL(Dong11,ROWS($1:2)),),4,1)="X",OFFSET(TH!I$1,SMALL(Dong11,ROWS($1:2)),),0))</f>
        <v>75</v>
      </c>
      <c r="J15" s="359">
        <f t="shared" ref="J15:J24" ca="1" si="2">ROUND(F15*I15,0)</f>
        <v>333675</v>
      </c>
      <c r="K15" s="359">
        <f t="shared" ref="K15:K24" ca="1" si="3">IF(D15&lt;&gt;"",K14+G15-I15,0)</f>
        <v>2425</v>
      </c>
      <c r="L15" s="359">
        <f t="shared" ref="L15:L24" ca="1" si="4">IF(D15&lt;&gt;"",L14+H15-J15,0)</f>
        <v>10788825</v>
      </c>
      <c r="M15" s="359"/>
      <c r="N15" s="349"/>
      <c r="Q15" s="360"/>
    </row>
    <row r="16" spans="1:17">
      <c r="A16" s="320">
        <f t="shared" ca="1" si="0"/>
        <v>3</v>
      </c>
      <c r="B16" s="355" t="str">
        <f ca="1">IF(ROWS($1:3)&gt;COUNT(Dong11),"",OFFSET(TH!D$1,SMALL(Dong11,ROWS($1:3)),))</f>
        <v>NL/X02</v>
      </c>
      <c r="C16" s="356">
        <f ca="1">IF(ROWS($1:3)&gt;COUNT(Dong11),"",OFFSET(TH!E$1,SMALL(Dong11,ROWS($1:3)),))</f>
        <v>40670</v>
      </c>
      <c r="D16" s="357" t="str">
        <f ca="1">IF(ROWS($1:3)&gt;COUNT(Dong11),"",OFFSET(TH!H$1,SMALL(Dong11,ROWS($1:3)),))</f>
        <v>Bộ phận SX</v>
      </c>
      <c r="E16" s="355" t="str">
        <f ca="1">IF(ROWS($1:3)&gt;COUNT(Dong11),"",IF(OFFSET(TH!L$1,SMALL(Dong11,ROWS($1:3)),)=$G$7,OFFSET(TH!M$1,SMALL(Dong11,ROWS($1:3)),),OFFSET(TH!L$1,SMALL(Dong11,ROWS($1:3)),)))</f>
        <v>154</v>
      </c>
      <c r="F16" s="358">
        <f ca="1">IF(ROWS($1:3)&gt;COUNT(Dong11),0,OFFSET(TH!J$1,SMALL(Dong11,ROWS($1:3)),))</f>
        <v>4449</v>
      </c>
      <c r="G16" s="358">
        <f ca="1">IF(ROWS($1:3)&gt;COUNT(Dong11),0,IF(MID(OFFSET(TH!D$1,SMALL(Dong11,ROWS($1:3)),),4,1)="N",OFFSET(TH!I$1,SMALL(Dong11,ROWS($1:3)),),0))</f>
        <v>0</v>
      </c>
      <c r="H16" s="359">
        <f t="shared" ca="1" si="1"/>
        <v>0</v>
      </c>
      <c r="I16" s="358">
        <f ca="1">IF(ROWS($1:3)&gt;COUNT(Dong11),0,IF(MID(OFFSET(TH!D$1,SMALL(Dong11,ROWS($1:3)),),4,1)="X",OFFSET(TH!I$1,SMALL(Dong11,ROWS($1:3)),),0))</f>
        <v>45</v>
      </c>
      <c r="J16" s="359">
        <f t="shared" ca="1" si="2"/>
        <v>200205</v>
      </c>
      <c r="K16" s="359">
        <f t="shared" ca="1" si="3"/>
        <v>2380</v>
      </c>
      <c r="L16" s="359">
        <f t="shared" ca="1" si="4"/>
        <v>10588620</v>
      </c>
      <c r="M16" s="359"/>
      <c r="N16" s="349"/>
    </row>
    <row r="17" spans="1:16">
      <c r="A17" s="320">
        <f t="shared" ca="1" si="0"/>
        <v>4</v>
      </c>
      <c r="B17" s="355" t="str">
        <f ca="1">IF(ROWS($1:4)&gt;COUNT(Dong11),"",OFFSET(TH!D$1,SMALL(Dong11,ROWS($1:4)),))</f>
        <v>NL/X03</v>
      </c>
      <c r="C17" s="356">
        <f ca="1">IF(ROWS($1:4)&gt;COUNT(Dong11),"",OFFSET(TH!E$1,SMALL(Dong11,ROWS($1:4)),))</f>
        <v>40675</v>
      </c>
      <c r="D17" s="357" t="str">
        <f ca="1">IF(ROWS($1:4)&gt;COUNT(Dong11),"",OFFSET(TH!H$1,SMALL(Dong11,ROWS($1:4)),))</f>
        <v>Bộ phận SX</v>
      </c>
      <c r="E17" s="355" t="str">
        <f ca="1">IF(ROWS($1:4)&gt;COUNT(Dong11),"",IF(OFFSET(TH!L$1,SMALL(Dong11,ROWS($1:4)),)=$G$7,OFFSET(TH!M$1,SMALL(Dong11,ROWS($1:4)),),OFFSET(TH!L$1,SMALL(Dong11,ROWS($1:4)),)))</f>
        <v>154</v>
      </c>
      <c r="F17" s="358">
        <f ca="1">IF(ROWS($1:4)&gt;COUNT(Dong11),0,OFFSET(TH!J$1,SMALL(Dong11,ROWS($1:4)),))</f>
        <v>4449</v>
      </c>
      <c r="G17" s="358">
        <f ca="1">IF(ROWS($1:4)&gt;COUNT(Dong11),0,IF(MID(OFFSET(TH!D$1,SMALL(Dong11,ROWS($1:4)),),4,1)="N",OFFSET(TH!I$1,SMALL(Dong11,ROWS($1:4)),),0))</f>
        <v>0</v>
      </c>
      <c r="H17" s="359">
        <f t="shared" ca="1" si="1"/>
        <v>0</v>
      </c>
      <c r="I17" s="358">
        <f ca="1">IF(ROWS($1:4)&gt;COUNT(Dong11),0,IF(MID(OFFSET(TH!D$1,SMALL(Dong11,ROWS($1:4)),),4,1)="X",OFFSET(TH!I$1,SMALL(Dong11,ROWS($1:4)),),0))</f>
        <v>4</v>
      </c>
      <c r="J17" s="359">
        <f t="shared" ca="1" si="2"/>
        <v>17796</v>
      </c>
      <c r="K17" s="359">
        <f t="shared" ca="1" si="3"/>
        <v>2376</v>
      </c>
      <c r="L17" s="359">
        <f t="shared" ca="1" si="4"/>
        <v>10570824</v>
      </c>
      <c r="M17" s="359"/>
      <c r="N17" s="349"/>
      <c r="P17" s="361"/>
    </row>
    <row r="18" spans="1:16">
      <c r="A18" s="320">
        <f t="shared" ca="1" si="0"/>
        <v>5</v>
      </c>
      <c r="B18" s="355" t="str">
        <f ca="1">IF(ROWS($1:5)&gt;COUNT(Dong11),"",OFFSET(TH!D$1,SMALL(Dong11,ROWS($1:5)),))</f>
        <v>NL/X03</v>
      </c>
      <c r="C18" s="356">
        <f ca="1">IF(ROWS($1:5)&gt;COUNT(Dong11),"",OFFSET(TH!E$1,SMALL(Dong11,ROWS($1:5)),))</f>
        <v>40675</v>
      </c>
      <c r="D18" s="357" t="str">
        <f ca="1">IF(ROWS($1:5)&gt;COUNT(Dong11),"",OFFSET(TH!H$1,SMALL(Dong11,ROWS($1:5)),))</f>
        <v>Bộ phận SX</v>
      </c>
      <c r="E18" s="355" t="str">
        <f ca="1">IF(ROWS($1:5)&gt;COUNT(Dong11),"",IF(OFFSET(TH!L$1,SMALL(Dong11,ROWS($1:5)),)=$G$7,OFFSET(TH!M$1,SMALL(Dong11,ROWS($1:5)),),OFFSET(TH!L$1,SMALL(Dong11,ROWS($1:5)),)))</f>
        <v>154</v>
      </c>
      <c r="F18" s="358">
        <f ca="1">IF(ROWS($1:5)&gt;COUNT(Dong11),0,OFFSET(TH!J$1,SMALL(Dong11,ROWS($1:5)),))</f>
        <v>4449</v>
      </c>
      <c r="G18" s="358">
        <f ca="1">IF(ROWS($1:5)&gt;COUNT(Dong11),0,IF(MID(OFFSET(TH!D$1,SMALL(Dong11,ROWS($1:5)),),4,1)="N",OFFSET(TH!I$1,SMALL(Dong11,ROWS($1:5)),),0))</f>
        <v>0</v>
      </c>
      <c r="H18" s="359">
        <f t="shared" ca="1" si="1"/>
        <v>0</v>
      </c>
      <c r="I18" s="358">
        <f ca="1">IF(ROWS($1:5)&gt;COUNT(Dong11),0,IF(MID(OFFSET(TH!D$1,SMALL(Dong11,ROWS($1:5)),),4,1)="X",OFFSET(TH!I$1,SMALL(Dong11,ROWS($1:5)),),0))</f>
        <v>1</v>
      </c>
      <c r="J18" s="359">
        <f t="shared" ca="1" si="2"/>
        <v>4449</v>
      </c>
      <c r="K18" s="359">
        <f t="shared" ca="1" si="3"/>
        <v>2375</v>
      </c>
      <c r="L18" s="359">
        <f t="shared" ca="1" si="4"/>
        <v>10566375</v>
      </c>
      <c r="M18" s="359"/>
      <c r="N18" s="349"/>
    </row>
    <row r="19" spans="1:16">
      <c r="A19" s="320">
        <f t="shared" ca="1" si="0"/>
        <v>6</v>
      </c>
      <c r="B19" s="355" t="str">
        <f ca="1">IF(ROWS($1:6)&gt;COUNT(Dong11),"",OFFSET(TH!D$1,SMALL(Dong11,ROWS($1:6)),))</f>
        <v>NL/X05</v>
      </c>
      <c r="C19" s="356">
        <f ca="1">IF(ROWS($1:6)&gt;COUNT(Dong11),"",OFFSET(TH!E$1,SMALL(Dong11,ROWS($1:6)),))</f>
        <v>40681</v>
      </c>
      <c r="D19" s="357" t="str">
        <f ca="1">IF(ROWS($1:6)&gt;COUNT(Dong11),"",OFFSET(TH!H$1,SMALL(Dong11,ROWS($1:6)),))</f>
        <v>Bộ phận SX</v>
      </c>
      <c r="E19" s="355" t="str">
        <f ca="1">IF(ROWS($1:6)&gt;COUNT(Dong11),"",IF(OFFSET(TH!L$1,SMALL(Dong11,ROWS($1:6)),)=$G$7,OFFSET(TH!M$1,SMALL(Dong11,ROWS($1:6)),),OFFSET(TH!L$1,SMALL(Dong11,ROWS($1:6)),)))</f>
        <v>154</v>
      </c>
      <c r="F19" s="358">
        <f ca="1">IF(ROWS($1:6)&gt;COUNT(Dong11),0,OFFSET(TH!J$1,SMALL(Dong11,ROWS($1:6)),))</f>
        <v>4449</v>
      </c>
      <c r="G19" s="358">
        <f ca="1">IF(ROWS($1:6)&gt;COUNT(Dong11),0,IF(MID(OFFSET(TH!D$1,SMALL(Dong11,ROWS($1:6)),),4,1)="N",OFFSET(TH!I$1,SMALL(Dong11,ROWS($1:6)),),0))</f>
        <v>0</v>
      </c>
      <c r="H19" s="359">
        <f t="shared" ca="1" si="1"/>
        <v>0</v>
      </c>
      <c r="I19" s="358">
        <f ca="1">IF(ROWS($1:6)&gt;COUNT(Dong11),0,IF(MID(OFFSET(TH!D$1,SMALL(Dong11,ROWS($1:6)),),4,1)="X",OFFSET(TH!I$1,SMALL(Dong11,ROWS($1:6)),),0))</f>
        <v>64</v>
      </c>
      <c r="J19" s="359">
        <f t="shared" ca="1" si="2"/>
        <v>284736</v>
      </c>
      <c r="K19" s="359">
        <f t="shared" ca="1" si="3"/>
        <v>2311</v>
      </c>
      <c r="L19" s="359">
        <f t="shared" ca="1" si="4"/>
        <v>10281639</v>
      </c>
      <c r="M19" s="359"/>
      <c r="N19" s="349"/>
    </row>
    <row r="20" spans="1:16">
      <c r="A20" s="320">
        <f t="shared" ca="1" si="0"/>
        <v>7</v>
      </c>
      <c r="B20" s="355" t="str">
        <f ca="1">IF(ROWS($1:7)&gt;COUNT(Dong11),"",OFFSET(TH!D$1,SMALL(Dong11,ROWS($1:7)),))</f>
        <v>NL/X06</v>
      </c>
      <c r="C20" s="356">
        <f ca="1">IF(ROWS($1:7)&gt;COUNT(Dong11),"",OFFSET(TH!E$1,SMALL(Dong11,ROWS($1:7)),))</f>
        <v>40684</v>
      </c>
      <c r="D20" s="357" t="str">
        <f ca="1">IF(ROWS($1:7)&gt;COUNT(Dong11),"",OFFSET(TH!H$1,SMALL(Dong11,ROWS($1:7)),))</f>
        <v>Bộ phận SX</v>
      </c>
      <c r="E20" s="355" t="str">
        <f ca="1">IF(ROWS($1:7)&gt;COUNT(Dong11),"",IF(OFFSET(TH!L$1,SMALL(Dong11,ROWS($1:7)),)=$G$7,OFFSET(TH!M$1,SMALL(Dong11,ROWS($1:7)),),OFFSET(TH!L$1,SMALL(Dong11,ROWS($1:7)),)))</f>
        <v>154</v>
      </c>
      <c r="F20" s="358">
        <f ca="1">IF(ROWS($1:7)&gt;COUNT(Dong11),0,OFFSET(TH!J$1,SMALL(Dong11,ROWS($1:7)),))</f>
        <v>4449</v>
      </c>
      <c r="G20" s="358">
        <f ca="1">IF(ROWS($1:7)&gt;COUNT(Dong11),0,IF(MID(OFFSET(TH!D$1,SMALL(Dong11,ROWS($1:7)),),4,1)="N",OFFSET(TH!I$1,SMALL(Dong11,ROWS($1:7)),),0))</f>
        <v>0</v>
      </c>
      <c r="H20" s="359">
        <f t="shared" ca="1" si="1"/>
        <v>0</v>
      </c>
      <c r="I20" s="358">
        <f ca="1">IF(ROWS($1:7)&gt;COUNT(Dong11),0,IF(MID(OFFSET(TH!D$1,SMALL(Dong11,ROWS($1:7)),),4,1)="X",OFFSET(TH!I$1,SMALL(Dong11,ROWS($1:7)),),0))</f>
        <v>5</v>
      </c>
      <c r="J20" s="359">
        <f t="shared" ca="1" si="2"/>
        <v>22245</v>
      </c>
      <c r="K20" s="359">
        <f t="shared" ca="1" si="3"/>
        <v>2306</v>
      </c>
      <c r="L20" s="359">
        <f t="shared" ca="1" si="4"/>
        <v>10259394</v>
      </c>
      <c r="M20" s="359"/>
      <c r="N20" s="349"/>
    </row>
    <row r="21" spans="1:16">
      <c r="A21" s="320">
        <f t="shared" ca="1" si="0"/>
        <v>8</v>
      </c>
      <c r="B21" s="355" t="str">
        <f ca="1">IF(ROWS($1:8)&gt;COUNT(Dong11),"",OFFSET(TH!D$1,SMALL(Dong11,ROWS($1:8)),))</f>
        <v>NL/X08</v>
      </c>
      <c r="C21" s="356">
        <f ca="1">IF(ROWS($1:8)&gt;COUNT(Dong11),"",OFFSET(TH!E$1,SMALL(Dong11,ROWS($1:8)),))</f>
        <v>40688</v>
      </c>
      <c r="D21" s="357" t="str">
        <f ca="1">IF(ROWS($1:8)&gt;COUNT(Dong11),"",OFFSET(TH!H$1,SMALL(Dong11,ROWS($1:8)),))</f>
        <v>Bộ phận SX</v>
      </c>
      <c r="E21" s="355" t="str">
        <f ca="1">IF(ROWS($1:8)&gt;COUNT(Dong11),"",IF(OFFSET(TH!L$1,SMALL(Dong11,ROWS($1:8)),)=$G$7,OFFSET(TH!M$1,SMALL(Dong11,ROWS($1:8)),),OFFSET(TH!L$1,SMALL(Dong11,ROWS($1:8)),)))</f>
        <v>154</v>
      </c>
      <c r="F21" s="358">
        <f ca="1">IF(ROWS($1:8)&gt;COUNT(Dong11),0,OFFSET(TH!J$1,SMALL(Dong11,ROWS($1:8)),))</f>
        <v>4449</v>
      </c>
      <c r="G21" s="358">
        <f ca="1">IF(ROWS($1:8)&gt;COUNT(Dong11),0,IF(MID(OFFSET(TH!D$1,SMALL(Dong11,ROWS($1:8)),),4,1)="N",OFFSET(TH!I$1,SMALL(Dong11,ROWS($1:8)),),0))</f>
        <v>0</v>
      </c>
      <c r="H21" s="359">
        <f t="shared" ca="1" si="1"/>
        <v>0</v>
      </c>
      <c r="I21" s="358">
        <f ca="1">IF(ROWS($1:8)&gt;COUNT(Dong11),0,IF(MID(OFFSET(TH!D$1,SMALL(Dong11,ROWS($1:8)),),4,1)="X",OFFSET(TH!I$1,SMALL(Dong11,ROWS($1:8)),),0))</f>
        <v>239</v>
      </c>
      <c r="J21" s="359">
        <f t="shared" ca="1" si="2"/>
        <v>1063311</v>
      </c>
      <c r="K21" s="359">
        <f t="shared" ca="1" si="3"/>
        <v>2067</v>
      </c>
      <c r="L21" s="359">
        <f t="shared" ca="1" si="4"/>
        <v>9196083</v>
      </c>
      <c r="M21" s="359"/>
      <c r="N21" s="349"/>
    </row>
    <row r="22" spans="1:16">
      <c r="A22" s="320">
        <f t="shared" ca="1" si="0"/>
        <v>9</v>
      </c>
      <c r="B22" s="355" t="str">
        <f ca="1">IF(ROWS($1:9)&gt;COUNT(Dong11),"",OFFSET(TH!D$1,SMALL(Dong11,ROWS($1:9)),))</f>
        <v>NL/X08</v>
      </c>
      <c r="C22" s="356">
        <f ca="1">IF(ROWS($1:9)&gt;COUNT(Dong11),"",OFFSET(TH!E$1,SMALL(Dong11,ROWS($1:9)),))</f>
        <v>40688</v>
      </c>
      <c r="D22" s="357" t="str">
        <f ca="1">IF(ROWS($1:9)&gt;COUNT(Dong11),"",OFFSET(TH!H$1,SMALL(Dong11,ROWS($1:9)),))</f>
        <v>Bộ phận SX</v>
      </c>
      <c r="E22" s="355" t="str">
        <f ca="1">IF(ROWS($1:9)&gt;COUNT(Dong11),"",IF(OFFSET(TH!L$1,SMALL(Dong11,ROWS($1:9)),)=$G$7,OFFSET(TH!M$1,SMALL(Dong11,ROWS($1:9)),),OFFSET(TH!L$1,SMALL(Dong11,ROWS($1:9)),)))</f>
        <v>154</v>
      </c>
      <c r="F22" s="358">
        <f ca="1">IF(ROWS($1:9)&gt;COUNT(Dong11),0,OFFSET(TH!J$1,SMALL(Dong11,ROWS($1:9)),))</f>
        <v>4449</v>
      </c>
      <c r="G22" s="358">
        <f ca="1">IF(ROWS($1:9)&gt;COUNT(Dong11),0,IF(MID(OFFSET(TH!D$1,SMALL(Dong11,ROWS($1:9)),),4,1)="N",OFFSET(TH!I$1,SMALL(Dong11,ROWS($1:9)),),0))</f>
        <v>0</v>
      </c>
      <c r="H22" s="359">
        <f t="shared" ca="1" si="1"/>
        <v>0</v>
      </c>
      <c r="I22" s="358">
        <f ca="1">IF(ROWS($1:9)&gt;COUNT(Dong11),0,IF(MID(OFFSET(TH!D$1,SMALL(Dong11,ROWS($1:9)),),4,1)="X",OFFSET(TH!I$1,SMALL(Dong11,ROWS($1:9)),),0))</f>
        <v>51</v>
      </c>
      <c r="J22" s="359">
        <f t="shared" ca="1" si="2"/>
        <v>226899</v>
      </c>
      <c r="K22" s="359">
        <f t="shared" ca="1" si="3"/>
        <v>2016</v>
      </c>
      <c r="L22" s="359">
        <f t="shared" ca="1" si="4"/>
        <v>8969184</v>
      </c>
      <c r="M22" s="359"/>
      <c r="N22" s="349"/>
    </row>
    <row r="23" spans="1:16">
      <c r="A23" s="320">
        <f t="shared" ca="1" si="0"/>
        <v>10</v>
      </c>
      <c r="B23" s="355" t="str">
        <f ca="1">IF(ROWS($1:10)&gt;COUNT(Dong11),"",OFFSET(TH!D$1,SMALL(Dong11,ROWS($1:10)),))</f>
        <v>NL/X08</v>
      </c>
      <c r="C23" s="356">
        <f ca="1">IF(ROWS($1:10)&gt;COUNT(Dong11),"",OFFSET(TH!E$1,SMALL(Dong11,ROWS($1:10)),))</f>
        <v>40688</v>
      </c>
      <c r="D23" s="357" t="str">
        <f ca="1">IF(ROWS($1:10)&gt;COUNT(Dong11),"",OFFSET(TH!H$1,SMALL(Dong11,ROWS($1:10)),))</f>
        <v>Bộ phận SX</v>
      </c>
      <c r="E23" s="355" t="str">
        <f ca="1">IF(ROWS($1:10)&gt;COUNT(Dong11),"",IF(OFFSET(TH!L$1,SMALL(Dong11,ROWS($1:10)),)=$G$7,OFFSET(TH!M$1,SMALL(Dong11,ROWS($1:10)),),OFFSET(TH!L$1,SMALL(Dong11,ROWS($1:10)),)))</f>
        <v>154</v>
      </c>
      <c r="F23" s="358">
        <f ca="1">IF(ROWS($1:10)&gt;COUNT(Dong11),0,OFFSET(TH!J$1,SMALL(Dong11,ROWS($1:10)),))</f>
        <v>4449</v>
      </c>
      <c r="G23" s="358">
        <f ca="1">IF(ROWS($1:10)&gt;COUNT(Dong11),0,IF(MID(OFFSET(TH!D$1,SMALL(Dong11,ROWS($1:10)),),4,1)="N",OFFSET(TH!I$1,SMALL(Dong11,ROWS($1:10)),),0))</f>
        <v>0</v>
      </c>
      <c r="H23" s="359">
        <f t="shared" ca="1" si="1"/>
        <v>0</v>
      </c>
      <c r="I23" s="358">
        <f ca="1">IF(ROWS($1:10)&gt;COUNT(Dong11),0,IF(MID(OFFSET(TH!D$1,SMALL(Dong11,ROWS($1:10)),),4,1)="X",OFFSET(TH!I$1,SMALL(Dong11,ROWS($1:10)),),0))</f>
        <v>50</v>
      </c>
      <c r="J23" s="359">
        <f t="shared" ca="1" si="2"/>
        <v>222450</v>
      </c>
      <c r="K23" s="359">
        <f t="shared" ca="1" si="3"/>
        <v>1966</v>
      </c>
      <c r="L23" s="359">
        <f t="shared" ca="1" si="4"/>
        <v>8746734</v>
      </c>
      <c r="M23" s="359"/>
      <c r="N23" s="349"/>
    </row>
    <row r="24" spans="1:16">
      <c r="A24" s="320">
        <f t="shared" ca="1" si="0"/>
        <v>11</v>
      </c>
      <c r="B24" s="355" t="str">
        <f ca="1">IF(ROWS($1:11)&gt;COUNT(Dong11),"",OFFSET(TH!D$1,SMALL(Dong11,ROWS($1:11)),))</f>
        <v>NL/X08</v>
      </c>
      <c r="C24" s="356">
        <f ca="1">IF(ROWS($1:11)&gt;COUNT(Dong11),"",OFFSET(TH!E$1,SMALL(Dong11,ROWS($1:11)),))</f>
        <v>40688</v>
      </c>
      <c r="D24" s="357" t="str">
        <f ca="1">IF(ROWS($1:11)&gt;COUNT(Dong11),"",OFFSET(TH!H$1,SMALL(Dong11,ROWS($1:11)),))</f>
        <v>Bộ phận SX</v>
      </c>
      <c r="E24" s="355" t="str">
        <f ca="1">IF(ROWS($1:11)&gt;COUNT(Dong11),"",IF(OFFSET(TH!L$1,SMALL(Dong11,ROWS($1:11)),)=$G$7,OFFSET(TH!M$1,SMALL(Dong11,ROWS($1:11)),),OFFSET(TH!L$1,SMALL(Dong11,ROWS($1:11)),)))</f>
        <v>154</v>
      </c>
      <c r="F24" s="358">
        <f ca="1">IF(ROWS($1:11)&gt;COUNT(Dong11),0,OFFSET(TH!J$1,SMALL(Dong11,ROWS($1:11)),))</f>
        <v>4449</v>
      </c>
      <c r="G24" s="358">
        <f ca="1">IF(ROWS($1:11)&gt;COUNT(Dong11),0,IF(MID(OFFSET(TH!D$1,SMALL(Dong11,ROWS($1:11)),),4,1)="N",OFFSET(TH!I$1,SMALL(Dong11,ROWS($1:11)),),0))</f>
        <v>0</v>
      </c>
      <c r="H24" s="359">
        <f t="shared" ca="1" si="1"/>
        <v>0</v>
      </c>
      <c r="I24" s="358">
        <f ca="1">IF(ROWS($1:11)&gt;COUNT(Dong11),0,IF(MID(OFFSET(TH!D$1,SMALL(Dong11,ROWS($1:11)),),4,1)="X",OFFSET(TH!I$1,SMALL(Dong11,ROWS($1:11)),),0))</f>
        <v>17</v>
      </c>
      <c r="J24" s="359">
        <f t="shared" ca="1" si="2"/>
        <v>75633</v>
      </c>
      <c r="K24" s="359">
        <f t="shared" ca="1" si="3"/>
        <v>1949</v>
      </c>
      <c r="L24" s="359">
        <f t="shared" ca="1" si="4"/>
        <v>8671101</v>
      </c>
      <c r="M24" s="359"/>
      <c r="N24" s="349"/>
    </row>
    <row r="25" spans="1:16">
      <c r="A25" s="320">
        <f t="shared" ref="A25:A38" ca="1" si="5">IF(B25="","",A24+1)</f>
        <v>12</v>
      </c>
      <c r="B25" s="355" t="str">
        <f ca="1">IF(ROWS($1:12)&gt;COUNT(Dong11),"",OFFSET(TH!D$1,SMALL(Dong11,ROWS($1:12)),))</f>
        <v>NL/X08</v>
      </c>
      <c r="C25" s="356">
        <f ca="1">IF(ROWS($1:12)&gt;COUNT(Dong11),"",OFFSET(TH!E$1,SMALL(Dong11,ROWS($1:12)),))</f>
        <v>40688</v>
      </c>
      <c r="D25" s="357" t="str">
        <f ca="1">IF(ROWS($1:12)&gt;COUNT(Dong11),"",OFFSET(TH!H$1,SMALL(Dong11,ROWS($1:12)),))</f>
        <v>Bộ phận SX</v>
      </c>
      <c r="E25" s="355" t="str">
        <f ca="1">IF(ROWS($1:12)&gt;COUNT(Dong11),"",IF(OFFSET(TH!L$1,SMALL(Dong11,ROWS($1:12)),)=$G$7,OFFSET(TH!M$1,SMALL(Dong11,ROWS($1:12)),),OFFSET(TH!L$1,SMALL(Dong11,ROWS($1:12)),)))</f>
        <v>154</v>
      </c>
      <c r="F25" s="358">
        <f ca="1">IF(ROWS($1:12)&gt;COUNT(Dong11),0,OFFSET(TH!J$1,SMALL(Dong11,ROWS($1:12)),))</f>
        <v>4449</v>
      </c>
      <c r="G25" s="358">
        <f ca="1">IF(ROWS($1:12)&gt;COUNT(Dong11),0,IF(MID(OFFSET(TH!D$1,SMALL(Dong11,ROWS($1:12)),),4,1)="N",OFFSET(TH!I$1,SMALL(Dong11,ROWS($1:12)),),0))</f>
        <v>0</v>
      </c>
      <c r="H25" s="359">
        <f t="shared" ref="H25:H38" ca="1" si="6">ROUND(F25*G25,0)</f>
        <v>0</v>
      </c>
      <c r="I25" s="358">
        <f ca="1">IF(ROWS($1:12)&gt;COUNT(Dong11),0,IF(MID(OFFSET(TH!D$1,SMALL(Dong11,ROWS($1:12)),),4,1)="X",OFFSET(TH!I$1,SMALL(Dong11,ROWS($1:12)),),0))</f>
        <v>75</v>
      </c>
      <c r="J25" s="359">
        <f t="shared" ref="J25:J38" ca="1" si="7">ROUND(F25*I25,0)</f>
        <v>333675</v>
      </c>
      <c r="K25" s="359">
        <f t="shared" ref="K25:K38" ca="1" si="8">IF(D25&lt;&gt;"",K24+G25-I25,0)</f>
        <v>1874</v>
      </c>
      <c r="L25" s="359">
        <f t="shared" ref="L25:L38" ca="1" si="9">IF(D25&lt;&gt;"",L24+H25-J25,0)</f>
        <v>8337426</v>
      </c>
      <c r="M25" s="359"/>
      <c r="N25" s="349"/>
    </row>
    <row r="26" spans="1:16">
      <c r="A26" s="320">
        <f t="shared" ca="1" si="5"/>
        <v>13</v>
      </c>
      <c r="B26" s="355" t="str">
        <f ca="1">IF(ROWS($1:13)&gt;COUNT(Dong11),"",OFFSET(TH!D$1,SMALL(Dong11,ROWS($1:13)),))</f>
        <v>NL/X09</v>
      </c>
      <c r="C26" s="356">
        <f ca="1">IF(ROWS($1:13)&gt;COUNT(Dong11),"",OFFSET(TH!E$1,SMALL(Dong11,ROWS($1:13)),))</f>
        <v>40690</v>
      </c>
      <c r="D26" s="357" t="str">
        <f ca="1">IF(ROWS($1:13)&gt;COUNT(Dong11),"",OFFSET(TH!H$1,SMALL(Dong11,ROWS($1:13)),))</f>
        <v>Bộ phận SX</v>
      </c>
      <c r="E26" s="355" t="str">
        <f ca="1">IF(ROWS($1:13)&gt;COUNT(Dong11),"",IF(OFFSET(TH!L$1,SMALL(Dong11,ROWS($1:13)),)=$G$7,OFFSET(TH!M$1,SMALL(Dong11,ROWS($1:13)),),OFFSET(TH!L$1,SMALL(Dong11,ROWS($1:13)),)))</f>
        <v>154</v>
      </c>
      <c r="F26" s="358">
        <f ca="1">IF(ROWS($1:13)&gt;COUNT(Dong11),0,OFFSET(TH!J$1,SMALL(Dong11,ROWS($1:13)),))</f>
        <v>4449</v>
      </c>
      <c r="G26" s="358">
        <f ca="1">IF(ROWS($1:13)&gt;COUNT(Dong11),0,IF(MID(OFFSET(TH!D$1,SMALL(Dong11,ROWS($1:13)),),4,1)="N",OFFSET(TH!I$1,SMALL(Dong11,ROWS($1:13)),),0))</f>
        <v>0</v>
      </c>
      <c r="H26" s="359">
        <f t="shared" ca="1" si="6"/>
        <v>0</v>
      </c>
      <c r="I26" s="358">
        <f ca="1">IF(ROWS($1:13)&gt;COUNT(Dong11),0,IF(MID(OFFSET(TH!D$1,SMALL(Dong11,ROWS($1:13)),),4,1)="X",OFFSET(TH!I$1,SMALL(Dong11,ROWS($1:13)),),0))</f>
        <v>10</v>
      </c>
      <c r="J26" s="359">
        <f t="shared" ca="1" si="7"/>
        <v>44490</v>
      </c>
      <c r="K26" s="359">
        <f t="shared" ca="1" si="8"/>
        <v>1864</v>
      </c>
      <c r="L26" s="359">
        <f t="shared" ca="1" si="9"/>
        <v>8292936</v>
      </c>
      <c r="M26" s="359"/>
      <c r="N26" s="349"/>
    </row>
    <row r="27" spans="1:16">
      <c r="A27" s="320">
        <f t="shared" ca="1" si="5"/>
        <v>14</v>
      </c>
      <c r="B27" s="355" t="str">
        <f ca="1">IF(ROWS($1:14)&gt;COUNT(Dong11),"",OFFSET(TH!D$1,SMALL(Dong11,ROWS($1:14)),))</f>
        <v>NL/X09</v>
      </c>
      <c r="C27" s="356">
        <f ca="1">IF(ROWS($1:14)&gt;COUNT(Dong11),"",OFFSET(TH!E$1,SMALL(Dong11,ROWS($1:14)),))</f>
        <v>40690</v>
      </c>
      <c r="D27" s="357" t="str">
        <f ca="1">IF(ROWS($1:14)&gt;COUNT(Dong11),"",OFFSET(TH!H$1,SMALL(Dong11,ROWS($1:14)),))</f>
        <v>Bộ phận SX</v>
      </c>
      <c r="E27" s="355" t="str">
        <f ca="1">IF(ROWS($1:14)&gt;COUNT(Dong11),"",IF(OFFSET(TH!L$1,SMALL(Dong11,ROWS($1:14)),)=$G$7,OFFSET(TH!M$1,SMALL(Dong11,ROWS($1:14)),),OFFSET(TH!L$1,SMALL(Dong11,ROWS($1:14)),)))</f>
        <v>154</v>
      </c>
      <c r="F27" s="358">
        <f ca="1">IF(ROWS($1:14)&gt;COUNT(Dong11),0,OFFSET(TH!J$1,SMALL(Dong11,ROWS($1:14)),))</f>
        <v>4449</v>
      </c>
      <c r="G27" s="358">
        <f ca="1">IF(ROWS($1:14)&gt;COUNT(Dong11),0,IF(MID(OFFSET(TH!D$1,SMALL(Dong11,ROWS($1:14)),),4,1)="N",OFFSET(TH!I$1,SMALL(Dong11,ROWS($1:14)),),0))</f>
        <v>0</v>
      </c>
      <c r="H27" s="359">
        <f t="shared" ca="1" si="6"/>
        <v>0</v>
      </c>
      <c r="I27" s="358">
        <f ca="1">IF(ROWS($1:14)&gt;COUNT(Dong11),0,IF(MID(OFFSET(TH!D$1,SMALL(Dong11,ROWS($1:14)),),4,1)="X",OFFSET(TH!I$1,SMALL(Dong11,ROWS($1:14)),),0))</f>
        <v>17</v>
      </c>
      <c r="J27" s="359">
        <f t="shared" ca="1" si="7"/>
        <v>75633</v>
      </c>
      <c r="K27" s="359">
        <f t="shared" ca="1" si="8"/>
        <v>1847</v>
      </c>
      <c r="L27" s="359">
        <f t="shared" ca="1" si="9"/>
        <v>8217303</v>
      </c>
      <c r="M27" s="359"/>
      <c r="N27" s="349"/>
    </row>
    <row r="28" spans="1:16">
      <c r="A28" s="320">
        <f t="shared" ca="1" si="5"/>
        <v>15</v>
      </c>
      <c r="B28" s="355" t="str">
        <f ca="1">IF(ROWS($1:15)&gt;COUNT(Dong11),"",OFFSET(TH!D$1,SMALL(Dong11,ROWS($1:15)),))</f>
        <v>NL/X09</v>
      </c>
      <c r="C28" s="356">
        <f ca="1">IF(ROWS($1:15)&gt;COUNT(Dong11),"",OFFSET(TH!E$1,SMALL(Dong11,ROWS($1:15)),))</f>
        <v>40690</v>
      </c>
      <c r="D28" s="357" t="str">
        <f ca="1">IF(ROWS($1:15)&gt;COUNT(Dong11),"",OFFSET(TH!H$1,SMALL(Dong11,ROWS($1:15)),))</f>
        <v>Bộ phận SX</v>
      </c>
      <c r="E28" s="355" t="str">
        <f ca="1">IF(ROWS($1:15)&gt;COUNT(Dong11),"",IF(OFFSET(TH!L$1,SMALL(Dong11,ROWS($1:15)),)=$G$7,OFFSET(TH!M$1,SMALL(Dong11,ROWS($1:15)),),OFFSET(TH!L$1,SMALL(Dong11,ROWS($1:15)),)))</f>
        <v>154</v>
      </c>
      <c r="F28" s="358">
        <f ca="1">IF(ROWS($1:15)&gt;COUNT(Dong11),0,OFFSET(TH!J$1,SMALL(Dong11,ROWS($1:15)),))</f>
        <v>4449</v>
      </c>
      <c r="G28" s="358">
        <f ca="1">IF(ROWS($1:15)&gt;COUNT(Dong11),0,IF(MID(OFFSET(TH!D$1,SMALL(Dong11,ROWS($1:15)),),4,1)="N",OFFSET(TH!I$1,SMALL(Dong11,ROWS($1:15)),),0))</f>
        <v>0</v>
      </c>
      <c r="H28" s="359">
        <f t="shared" ca="1" si="6"/>
        <v>0</v>
      </c>
      <c r="I28" s="358">
        <f ca="1">IF(ROWS($1:15)&gt;COUNT(Dong11),0,IF(MID(OFFSET(TH!D$1,SMALL(Dong11,ROWS($1:15)),),4,1)="X",OFFSET(TH!I$1,SMALL(Dong11,ROWS($1:15)),),0))</f>
        <v>70</v>
      </c>
      <c r="J28" s="359">
        <f t="shared" ca="1" si="7"/>
        <v>311430</v>
      </c>
      <c r="K28" s="359">
        <f t="shared" ca="1" si="8"/>
        <v>1777</v>
      </c>
      <c r="L28" s="359">
        <f t="shared" ca="1" si="9"/>
        <v>7905873</v>
      </c>
      <c r="M28" s="359"/>
      <c r="N28" s="349"/>
    </row>
    <row r="29" spans="1:16">
      <c r="A29" s="320">
        <f t="shared" ca="1" si="5"/>
        <v>16</v>
      </c>
      <c r="B29" s="355" t="str">
        <f ca="1">IF(ROWS($1:16)&gt;COUNT(Dong11),"",OFFSET(TH!D$1,SMALL(Dong11,ROWS($1:16)),))</f>
        <v>NL/X10</v>
      </c>
      <c r="C29" s="356">
        <f ca="1">IF(ROWS($1:16)&gt;COUNT(Dong11),"",OFFSET(TH!E$1,SMALL(Dong11,ROWS($1:16)),))</f>
        <v>40692</v>
      </c>
      <c r="D29" s="357" t="str">
        <f ca="1">IF(ROWS($1:16)&gt;COUNT(Dong11),"",OFFSET(TH!H$1,SMALL(Dong11,ROWS($1:16)),))</f>
        <v>Bộ phận SX</v>
      </c>
      <c r="E29" s="355" t="str">
        <f ca="1">IF(ROWS($1:16)&gt;COUNT(Dong11),"",IF(OFFSET(TH!L$1,SMALL(Dong11,ROWS($1:16)),)=$G$7,OFFSET(TH!M$1,SMALL(Dong11,ROWS($1:16)),),OFFSET(TH!L$1,SMALL(Dong11,ROWS($1:16)),)))</f>
        <v>154</v>
      </c>
      <c r="F29" s="358">
        <f ca="1">IF(ROWS($1:16)&gt;COUNT(Dong11),0,OFFSET(TH!J$1,SMALL(Dong11,ROWS($1:16)),))</f>
        <v>4449</v>
      </c>
      <c r="G29" s="358">
        <f ca="1">IF(ROWS($1:16)&gt;COUNT(Dong11),0,IF(MID(OFFSET(TH!D$1,SMALL(Dong11,ROWS($1:16)),),4,1)="N",OFFSET(TH!I$1,SMALL(Dong11,ROWS($1:16)),),0))</f>
        <v>0</v>
      </c>
      <c r="H29" s="359">
        <f t="shared" ca="1" si="6"/>
        <v>0</v>
      </c>
      <c r="I29" s="358">
        <f ca="1">IF(ROWS($1:16)&gt;COUNT(Dong11),0,IF(MID(OFFSET(TH!D$1,SMALL(Dong11,ROWS($1:16)),),4,1)="X",OFFSET(TH!I$1,SMALL(Dong11,ROWS($1:16)),),0))</f>
        <v>303</v>
      </c>
      <c r="J29" s="359">
        <f t="shared" ca="1" si="7"/>
        <v>1348047</v>
      </c>
      <c r="K29" s="359">
        <f t="shared" ca="1" si="8"/>
        <v>1474</v>
      </c>
      <c r="L29" s="359">
        <f t="shared" ca="1" si="9"/>
        <v>6557826</v>
      </c>
      <c r="M29" s="359"/>
      <c r="N29" s="349"/>
    </row>
    <row r="30" spans="1:16">
      <c r="A30" s="320">
        <f t="shared" ca="1" si="5"/>
        <v>17</v>
      </c>
      <c r="B30" s="355" t="str">
        <f ca="1">IF(ROWS($1:17)&gt;COUNT(Dong11),"",OFFSET(TH!D$1,SMALL(Dong11,ROWS($1:17)),))</f>
        <v>NL/X12</v>
      </c>
      <c r="C30" s="356">
        <f ca="1">IF(ROWS($1:17)&gt;COUNT(Dong11),"",OFFSET(TH!E$1,SMALL(Dong11,ROWS($1:17)),))</f>
        <v>40702</v>
      </c>
      <c r="D30" s="357" t="str">
        <f ca="1">IF(ROWS($1:17)&gt;COUNT(Dong11),"",OFFSET(TH!H$1,SMALL(Dong11,ROWS($1:17)),))</f>
        <v>Bộ phận SX</v>
      </c>
      <c r="E30" s="355" t="str">
        <f ca="1">IF(ROWS($1:17)&gt;COUNT(Dong11),"",IF(OFFSET(TH!L$1,SMALL(Dong11,ROWS($1:17)),)=$G$7,OFFSET(TH!M$1,SMALL(Dong11,ROWS($1:17)),),OFFSET(TH!L$1,SMALL(Dong11,ROWS($1:17)),)))</f>
        <v>154</v>
      </c>
      <c r="F30" s="358">
        <f ca="1">IF(ROWS($1:17)&gt;COUNT(Dong11),0,OFFSET(TH!J$1,SMALL(Dong11,ROWS($1:17)),))</f>
        <v>4449</v>
      </c>
      <c r="G30" s="358">
        <f ca="1">IF(ROWS($1:17)&gt;COUNT(Dong11),0,IF(MID(OFFSET(TH!D$1,SMALL(Dong11,ROWS($1:17)),),4,1)="N",OFFSET(TH!I$1,SMALL(Dong11,ROWS($1:17)),),0))</f>
        <v>0</v>
      </c>
      <c r="H30" s="359">
        <f t="shared" ca="1" si="6"/>
        <v>0</v>
      </c>
      <c r="I30" s="358">
        <f ca="1">IF(ROWS($1:17)&gt;COUNT(Dong11),0,IF(MID(OFFSET(TH!D$1,SMALL(Dong11,ROWS($1:17)),),4,1)="X",OFFSET(TH!I$1,SMALL(Dong11,ROWS($1:17)),),0))</f>
        <v>1</v>
      </c>
      <c r="J30" s="359">
        <f t="shared" ca="1" si="7"/>
        <v>4449</v>
      </c>
      <c r="K30" s="359">
        <f t="shared" ca="1" si="8"/>
        <v>1473</v>
      </c>
      <c r="L30" s="359">
        <f t="shared" ca="1" si="9"/>
        <v>6553377</v>
      </c>
      <c r="M30" s="359"/>
      <c r="N30" s="349"/>
    </row>
    <row r="31" spans="1:16">
      <c r="A31" s="320">
        <f t="shared" ca="1" si="5"/>
        <v>18</v>
      </c>
      <c r="B31" s="355" t="str">
        <f ca="1">IF(ROWS($1:18)&gt;COUNT(Dong11),"",OFFSET(TH!D$1,SMALL(Dong11,ROWS($1:18)),))</f>
        <v>NL/X14</v>
      </c>
      <c r="C31" s="356">
        <f ca="1">IF(ROWS($1:18)&gt;COUNT(Dong11),"",OFFSET(TH!E$1,SMALL(Dong11,ROWS($1:18)),))</f>
        <v>40710</v>
      </c>
      <c r="D31" s="357" t="str">
        <f ca="1">IF(ROWS($1:18)&gt;COUNT(Dong11),"",OFFSET(TH!H$1,SMALL(Dong11,ROWS($1:18)),))</f>
        <v>Bộ phận SX</v>
      </c>
      <c r="E31" s="355" t="str">
        <f ca="1">IF(ROWS($1:18)&gt;COUNT(Dong11),"",IF(OFFSET(TH!L$1,SMALL(Dong11,ROWS($1:18)),)=$G$7,OFFSET(TH!M$1,SMALL(Dong11,ROWS($1:18)),),OFFSET(TH!L$1,SMALL(Dong11,ROWS($1:18)),)))</f>
        <v>154</v>
      </c>
      <c r="F31" s="358">
        <f ca="1">IF(ROWS($1:18)&gt;COUNT(Dong11),0,OFFSET(TH!J$1,SMALL(Dong11,ROWS($1:18)),))</f>
        <v>4449</v>
      </c>
      <c r="G31" s="358">
        <f ca="1">IF(ROWS($1:18)&gt;COUNT(Dong11),0,IF(MID(OFFSET(TH!D$1,SMALL(Dong11,ROWS($1:18)),),4,1)="N",OFFSET(TH!I$1,SMALL(Dong11,ROWS($1:18)),),0))</f>
        <v>0</v>
      </c>
      <c r="H31" s="359">
        <f t="shared" ca="1" si="6"/>
        <v>0</v>
      </c>
      <c r="I31" s="358">
        <f ca="1">IF(ROWS($1:18)&gt;COUNT(Dong11),0,IF(MID(OFFSET(TH!D$1,SMALL(Dong11,ROWS($1:18)),),4,1)="X",OFFSET(TH!I$1,SMALL(Dong11,ROWS($1:18)),),0))</f>
        <v>1</v>
      </c>
      <c r="J31" s="359">
        <f t="shared" ca="1" si="7"/>
        <v>4449</v>
      </c>
      <c r="K31" s="359">
        <f t="shared" ca="1" si="8"/>
        <v>1472</v>
      </c>
      <c r="L31" s="359">
        <f t="shared" ca="1" si="9"/>
        <v>6548928</v>
      </c>
      <c r="M31" s="359"/>
      <c r="N31" s="349"/>
    </row>
    <row r="32" spans="1:16">
      <c r="A32" s="320">
        <f t="shared" ca="1" si="5"/>
        <v>19</v>
      </c>
      <c r="B32" s="355" t="str">
        <f ca="1">IF(ROWS($1:19)&gt;COUNT(Dong11),"",OFFSET(TH!D$1,SMALL(Dong11,ROWS($1:19)),))</f>
        <v>NL/X15</v>
      </c>
      <c r="C32" s="356">
        <f ca="1">IF(ROWS($1:19)&gt;COUNT(Dong11),"",OFFSET(TH!E$1,SMALL(Dong11,ROWS($1:19)),))</f>
        <v>40713</v>
      </c>
      <c r="D32" s="357" t="str">
        <f ca="1">IF(ROWS($1:19)&gt;COUNT(Dong11),"",OFFSET(TH!H$1,SMALL(Dong11,ROWS($1:19)),))</f>
        <v>Bộ phận SX</v>
      </c>
      <c r="E32" s="355" t="str">
        <f ca="1">IF(ROWS($1:19)&gt;COUNT(Dong11),"",IF(OFFSET(TH!L$1,SMALL(Dong11,ROWS($1:19)),)=$G$7,OFFSET(TH!M$1,SMALL(Dong11,ROWS($1:19)),),OFFSET(TH!L$1,SMALL(Dong11,ROWS($1:19)),)))</f>
        <v>154</v>
      </c>
      <c r="F32" s="358">
        <f ca="1">IF(ROWS($1:19)&gt;COUNT(Dong11),0,OFFSET(TH!J$1,SMALL(Dong11,ROWS($1:19)),))</f>
        <v>4449</v>
      </c>
      <c r="G32" s="358">
        <f ca="1">IF(ROWS($1:19)&gt;COUNT(Dong11),0,IF(MID(OFFSET(TH!D$1,SMALL(Dong11,ROWS($1:19)),),4,1)="N",OFFSET(TH!I$1,SMALL(Dong11,ROWS($1:19)),),0))</f>
        <v>0</v>
      </c>
      <c r="H32" s="359">
        <f t="shared" ca="1" si="6"/>
        <v>0</v>
      </c>
      <c r="I32" s="358">
        <f ca="1">IF(ROWS($1:19)&gt;COUNT(Dong11),0,IF(MID(OFFSET(TH!D$1,SMALL(Dong11,ROWS($1:19)),),4,1)="X",OFFSET(TH!I$1,SMALL(Dong11,ROWS($1:19)),),0))</f>
        <v>2</v>
      </c>
      <c r="J32" s="359">
        <f t="shared" ca="1" si="7"/>
        <v>8898</v>
      </c>
      <c r="K32" s="359">
        <f t="shared" ca="1" si="8"/>
        <v>1470</v>
      </c>
      <c r="L32" s="359">
        <f t="shared" ca="1" si="9"/>
        <v>6540030</v>
      </c>
      <c r="M32" s="359"/>
      <c r="N32" s="349"/>
    </row>
    <row r="33" spans="1:14">
      <c r="A33" s="320">
        <f t="shared" ca="1" si="5"/>
        <v>20</v>
      </c>
      <c r="B33" s="355" t="str">
        <f ca="1">IF(ROWS($1:20)&gt;COUNT(Dong11),"",OFFSET(TH!D$1,SMALL(Dong11,ROWS($1:20)),))</f>
        <v>NL/X15</v>
      </c>
      <c r="C33" s="356">
        <f ca="1">IF(ROWS($1:20)&gt;COUNT(Dong11),"",OFFSET(TH!E$1,SMALL(Dong11,ROWS($1:20)),))</f>
        <v>40713</v>
      </c>
      <c r="D33" s="357" t="str">
        <f ca="1">IF(ROWS($1:20)&gt;COUNT(Dong11),"",OFFSET(TH!H$1,SMALL(Dong11,ROWS($1:20)),))</f>
        <v>Bộ phận SX</v>
      </c>
      <c r="E33" s="355" t="str">
        <f ca="1">IF(ROWS($1:20)&gt;COUNT(Dong11),"",IF(OFFSET(TH!L$1,SMALL(Dong11,ROWS($1:20)),)=$G$7,OFFSET(TH!M$1,SMALL(Dong11,ROWS($1:20)),),OFFSET(TH!L$1,SMALL(Dong11,ROWS($1:20)),)))</f>
        <v>154</v>
      </c>
      <c r="F33" s="358">
        <f ca="1">IF(ROWS($1:20)&gt;COUNT(Dong11),0,OFFSET(TH!J$1,SMALL(Dong11,ROWS($1:20)),))</f>
        <v>4449</v>
      </c>
      <c r="G33" s="358">
        <f ca="1">IF(ROWS($1:20)&gt;COUNT(Dong11),0,IF(MID(OFFSET(TH!D$1,SMALL(Dong11,ROWS($1:20)),),4,1)="N",OFFSET(TH!I$1,SMALL(Dong11,ROWS($1:20)),),0))</f>
        <v>0</v>
      </c>
      <c r="H33" s="359">
        <f t="shared" ca="1" si="6"/>
        <v>0</v>
      </c>
      <c r="I33" s="358">
        <f ca="1">IF(ROWS($1:20)&gt;COUNT(Dong11),0,IF(MID(OFFSET(TH!D$1,SMALL(Dong11,ROWS($1:20)),),4,1)="X",OFFSET(TH!I$1,SMALL(Dong11,ROWS($1:20)),),0))</f>
        <v>240</v>
      </c>
      <c r="J33" s="359">
        <f t="shared" ca="1" si="7"/>
        <v>1067760</v>
      </c>
      <c r="K33" s="359">
        <f t="shared" ca="1" si="8"/>
        <v>1230</v>
      </c>
      <c r="L33" s="359">
        <f t="shared" ca="1" si="9"/>
        <v>5472270</v>
      </c>
      <c r="M33" s="359"/>
      <c r="N33" s="349"/>
    </row>
    <row r="34" spans="1:14">
      <c r="A34" s="320">
        <f t="shared" ca="1" si="5"/>
        <v>21</v>
      </c>
      <c r="B34" s="355" t="str">
        <f ca="1">IF(ROWS($1:21)&gt;COUNT(Dong11),"",OFFSET(TH!D$1,SMALL(Dong11,ROWS($1:21)),))</f>
        <v>NL/X15</v>
      </c>
      <c r="C34" s="356">
        <f ca="1">IF(ROWS($1:21)&gt;COUNT(Dong11),"",OFFSET(TH!E$1,SMALL(Dong11,ROWS($1:21)),))</f>
        <v>40713</v>
      </c>
      <c r="D34" s="357" t="str">
        <f ca="1">IF(ROWS($1:21)&gt;COUNT(Dong11),"",OFFSET(TH!H$1,SMALL(Dong11,ROWS($1:21)),))</f>
        <v>Bộ phận SX</v>
      </c>
      <c r="E34" s="355" t="str">
        <f ca="1">IF(ROWS($1:21)&gt;COUNT(Dong11),"",IF(OFFSET(TH!L$1,SMALL(Dong11,ROWS($1:21)),)=$G$7,OFFSET(TH!M$1,SMALL(Dong11,ROWS($1:21)),),OFFSET(TH!L$1,SMALL(Dong11,ROWS($1:21)),)))</f>
        <v>154</v>
      </c>
      <c r="F34" s="358">
        <f ca="1">IF(ROWS($1:21)&gt;COUNT(Dong11),0,OFFSET(TH!J$1,SMALL(Dong11,ROWS($1:21)),))</f>
        <v>4449</v>
      </c>
      <c r="G34" s="358">
        <f ca="1">IF(ROWS($1:21)&gt;COUNT(Dong11),0,IF(MID(OFFSET(TH!D$1,SMALL(Dong11,ROWS($1:21)),),4,1)="N",OFFSET(TH!I$1,SMALL(Dong11,ROWS($1:21)),),0))</f>
        <v>0</v>
      </c>
      <c r="H34" s="359">
        <f t="shared" ca="1" si="6"/>
        <v>0</v>
      </c>
      <c r="I34" s="358">
        <f ca="1">IF(ROWS($1:21)&gt;COUNT(Dong11),0,IF(MID(OFFSET(TH!D$1,SMALL(Dong11,ROWS($1:21)),),4,1)="X",OFFSET(TH!I$1,SMALL(Dong11,ROWS($1:21)),),0))</f>
        <v>42.5</v>
      </c>
      <c r="J34" s="359">
        <f t="shared" ca="1" si="7"/>
        <v>189083</v>
      </c>
      <c r="K34" s="359">
        <f t="shared" ca="1" si="8"/>
        <v>1187.5</v>
      </c>
      <c r="L34" s="359">
        <f t="shared" ca="1" si="9"/>
        <v>5283187</v>
      </c>
      <c r="M34" s="359"/>
      <c r="N34" s="349"/>
    </row>
    <row r="35" spans="1:14">
      <c r="A35" s="320">
        <f t="shared" ca="1" si="5"/>
        <v>22</v>
      </c>
      <c r="B35" s="355" t="str">
        <f ca="1">IF(ROWS($1:22)&gt;COUNT(Dong11),"",OFFSET(TH!D$1,SMALL(Dong11,ROWS($1:22)),))</f>
        <v>NL/X16</v>
      </c>
      <c r="C35" s="356">
        <f ca="1">IF(ROWS($1:22)&gt;COUNT(Dong11),"",OFFSET(TH!E$1,SMALL(Dong11,ROWS($1:22)),))</f>
        <v>40714</v>
      </c>
      <c r="D35" s="357" t="str">
        <f ca="1">IF(ROWS($1:22)&gt;COUNT(Dong11),"",OFFSET(TH!H$1,SMALL(Dong11,ROWS($1:22)),))</f>
        <v>Bộ phận SX</v>
      </c>
      <c r="E35" s="355" t="str">
        <f ca="1">IF(ROWS($1:22)&gt;COUNT(Dong11),"",IF(OFFSET(TH!L$1,SMALL(Dong11,ROWS($1:22)),)=$G$7,OFFSET(TH!M$1,SMALL(Dong11,ROWS($1:22)),),OFFSET(TH!L$1,SMALL(Dong11,ROWS($1:22)),)))</f>
        <v>154</v>
      </c>
      <c r="F35" s="358">
        <f ca="1">IF(ROWS($1:22)&gt;COUNT(Dong11),0,OFFSET(TH!J$1,SMALL(Dong11,ROWS($1:22)),))</f>
        <v>4449</v>
      </c>
      <c r="G35" s="358">
        <f ca="1">IF(ROWS($1:22)&gt;COUNT(Dong11),0,IF(MID(OFFSET(TH!D$1,SMALL(Dong11,ROWS($1:22)),),4,1)="N",OFFSET(TH!I$1,SMALL(Dong11,ROWS($1:22)),),0))</f>
        <v>0</v>
      </c>
      <c r="H35" s="359">
        <f t="shared" ca="1" si="6"/>
        <v>0</v>
      </c>
      <c r="I35" s="358">
        <f ca="1">IF(ROWS($1:22)&gt;COUNT(Dong11),0,IF(MID(OFFSET(TH!D$1,SMALL(Dong11,ROWS($1:22)),),4,1)="X",OFFSET(TH!I$1,SMALL(Dong11,ROWS($1:22)),),0))</f>
        <v>22.5</v>
      </c>
      <c r="J35" s="359">
        <f t="shared" ca="1" si="7"/>
        <v>100103</v>
      </c>
      <c r="K35" s="359">
        <f t="shared" ca="1" si="8"/>
        <v>1165</v>
      </c>
      <c r="L35" s="359">
        <f t="shared" ca="1" si="9"/>
        <v>5183084</v>
      </c>
      <c r="M35" s="359"/>
      <c r="N35" s="349"/>
    </row>
    <row r="36" spans="1:14">
      <c r="A36" s="320">
        <f t="shared" ca="1" si="5"/>
        <v>23</v>
      </c>
      <c r="B36" s="355" t="str">
        <f ca="1">IF(ROWS($1:23)&gt;COUNT(Dong11),"",OFFSET(TH!D$1,SMALL(Dong11,ROWS($1:23)),))</f>
        <v>NL/X16</v>
      </c>
      <c r="C36" s="356">
        <f ca="1">IF(ROWS($1:23)&gt;COUNT(Dong11),"",OFFSET(TH!E$1,SMALL(Dong11,ROWS($1:23)),))</f>
        <v>40714</v>
      </c>
      <c r="D36" s="357" t="str">
        <f ca="1">IF(ROWS($1:23)&gt;COUNT(Dong11),"",OFFSET(TH!H$1,SMALL(Dong11,ROWS($1:23)),))</f>
        <v>Bộ phận SX</v>
      </c>
      <c r="E36" s="355" t="str">
        <f ca="1">IF(ROWS($1:23)&gt;COUNT(Dong11),"",IF(OFFSET(TH!L$1,SMALL(Dong11,ROWS($1:23)),)=$G$7,OFFSET(TH!M$1,SMALL(Dong11,ROWS($1:23)),),OFFSET(TH!L$1,SMALL(Dong11,ROWS($1:23)),)))</f>
        <v>154</v>
      </c>
      <c r="F36" s="358">
        <f ca="1">IF(ROWS($1:23)&gt;COUNT(Dong11),0,OFFSET(TH!J$1,SMALL(Dong11,ROWS($1:23)),))</f>
        <v>4449</v>
      </c>
      <c r="G36" s="358">
        <f ca="1">IF(ROWS($1:23)&gt;COUNT(Dong11),0,IF(MID(OFFSET(TH!D$1,SMALL(Dong11,ROWS($1:23)),),4,1)="N",OFFSET(TH!I$1,SMALL(Dong11,ROWS($1:23)),),0))</f>
        <v>0</v>
      </c>
      <c r="H36" s="359">
        <f t="shared" ca="1" si="6"/>
        <v>0</v>
      </c>
      <c r="I36" s="358">
        <f ca="1">IF(ROWS($1:23)&gt;COUNT(Dong11),0,IF(MID(OFFSET(TH!D$1,SMALL(Dong11,ROWS($1:23)),),4,1)="X",OFFSET(TH!I$1,SMALL(Dong11,ROWS($1:23)),),0))</f>
        <v>41</v>
      </c>
      <c r="J36" s="359">
        <f t="shared" ca="1" si="7"/>
        <v>182409</v>
      </c>
      <c r="K36" s="359">
        <f t="shared" ca="1" si="8"/>
        <v>1124</v>
      </c>
      <c r="L36" s="359">
        <f t="shared" ca="1" si="9"/>
        <v>5000675</v>
      </c>
      <c r="M36" s="359"/>
      <c r="N36" s="349"/>
    </row>
    <row r="37" spans="1:14">
      <c r="A37" s="320">
        <f t="shared" ca="1" si="5"/>
        <v>24</v>
      </c>
      <c r="B37" s="355" t="str">
        <f ca="1">IF(ROWS($1:24)&gt;COUNT(Dong11),"",OFFSET(TH!D$1,SMALL(Dong11,ROWS($1:24)),))</f>
        <v>NL/X16</v>
      </c>
      <c r="C37" s="356">
        <f ca="1">IF(ROWS($1:24)&gt;COUNT(Dong11),"",OFFSET(TH!E$1,SMALL(Dong11,ROWS($1:24)),))</f>
        <v>40714</v>
      </c>
      <c r="D37" s="357" t="str">
        <f ca="1">IF(ROWS($1:24)&gt;COUNT(Dong11),"",OFFSET(TH!H$1,SMALL(Dong11,ROWS($1:24)),))</f>
        <v>Bộ phận SX</v>
      </c>
      <c r="E37" s="355" t="str">
        <f ca="1">IF(ROWS($1:24)&gt;COUNT(Dong11),"",IF(OFFSET(TH!L$1,SMALL(Dong11,ROWS($1:24)),)=$G$7,OFFSET(TH!M$1,SMALL(Dong11,ROWS($1:24)),),OFFSET(TH!L$1,SMALL(Dong11,ROWS($1:24)),)))</f>
        <v>154</v>
      </c>
      <c r="F37" s="358">
        <f ca="1">IF(ROWS($1:24)&gt;COUNT(Dong11),0,OFFSET(TH!J$1,SMALL(Dong11,ROWS($1:24)),))</f>
        <v>4449</v>
      </c>
      <c r="G37" s="358">
        <f ca="1">IF(ROWS($1:24)&gt;COUNT(Dong11),0,IF(MID(OFFSET(TH!D$1,SMALL(Dong11,ROWS($1:24)),),4,1)="N",OFFSET(TH!I$1,SMALL(Dong11,ROWS($1:24)),),0))</f>
        <v>0</v>
      </c>
      <c r="H37" s="359">
        <f t="shared" ca="1" si="6"/>
        <v>0</v>
      </c>
      <c r="I37" s="358">
        <f ca="1">IF(ROWS($1:24)&gt;COUNT(Dong11),0,IF(MID(OFFSET(TH!D$1,SMALL(Dong11,ROWS($1:24)),),4,1)="X",OFFSET(TH!I$1,SMALL(Dong11,ROWS($1:24)),),0))</f>
        <v>210</v>
      </c>
      <c r="J37" s="359">
        <f t="shared" ca="1" si="7"/>
        <v>934290</v>
      </c>
      <c r="K37" s="359">
        <f t="shared" ca="1" si="8"/>
        <v>914</v>
      </c>
      <c r="L37" s="359">
        <f t="shared" ca="1" si="9"/>
        <v>4066385</v>
      </c>
      <c r="M37" s="359"/>
      <c r="N37" s="349"/>
    </row>
    <row r="38" spans="1:14">
      <c r="A38" s="320">
        <f t="shared" ca="1" si="5"/>
        <v>25</v>
      </c>
      <c r="B38" s="355" t="str">
        <f ca="1">IF(ROWS($1:25)&gt;COUNT(Dong11),"",OFFSET(TH!D$1,SMALL(Dong11,ROWS($1:25)),))</f>
        <v>NL/X16</v>
      </c>
      <c r="C38" s="356">
        <f ca="1">IF(ROWS($1:25)&gt;COUNT(Dong11),"",OFFSET(TH!E$1,SMALL(Dong11,ROWS($1:25)),))</f>
        <v>40714</v>
      </c>
      <c r="D38" s="357" t="str">
        <f ca="1">IF(ROWS($1:25)&gt;COUNT(Dong11),"",OFFSET(TH!H$1,SMALL(Dong11,ROWS($1:25)),))</f>
        <v>Bộ phận SX</v>
      </c>
      <c r="E38" s="355" t="str">
        <f ca="1">IF(ROWS($1:25)&gt;COUNT(Dong11),"",IF(OFFSET(TH!L$1,SMALL(Dong11,ROWS($1:25)),)=$G$7,OFFSET(TH!M$1,SMALL(Dong11,ROWS($1:25)),),OFFSET(TH!L$1,SMALL(Dong11,ROWS($1:25)),)))</f>
        <v>154</v>
      </c>
      <c r="F38" s="358">
        <f ca="1">IF(ROWS($1:25)&gt;COUNT(Dong11),0,OFFSET(TH!J$1,SMALL(Dong11,ROWS($1:25)),))</f>
        <v>4449</v>
      </c>
      <c r="G38" s="358">
        <f ca="1">IF(ROWS($1:25)&gt;COUNT(Dong11),0,IF(MID(OFFSET(TH!D$1,SMALL(Dong11,ROWS($1:25)),),4,1)="N",OFFSET(TH!I$1,SMALL(Dong11,ROWS($1:25)),),0))</f>
        <v>0</v>
      </c>
      <c r="H38" s="359">
        <f t="shared" ca="1" si="6"/>
        <v>0</v>
      </c>
      <c r="I38" s="358">
        <f ca="1">IF(ROWS($1:25)&gt;COUNT(Dong11),0,IF(MID(OFFSET(TH!D$1,SMALL(Dong11,ROWS($1:25)),),4,1)="X",OFFSET(TH!I$1,SMALL(Dong11,ROWS($1:25)),),0))</f>
        <v>211</v>
      </c>
      <c r="J38" s="359">
        <f t="shared" ca="1" si="7"/>
        <v>938739</v>
      </c>
      <c r="K38" s="359">
        <f t="shared" ca="1" si="8"/>
        <v>703</v>
      </c>
      <c r="L38" s="359">
        <f t="shared" ca="1" si="9"/>
        <v>3127646</v>
      </c>
      <c r="M38" s="359"/>
      <c r="N38" s="349"/>
    </row>
    <row r="39" spans="1:14">
      <c r="A39" s="320">
        <f t="shared" ref="A39:A62" ca="1" si="10">IF(B39="","",A38+1)</f>
        <v>26</v>
      </c>
      <c r="B39" s="355" t="str">
        <f ca="1">IF(ROWS($1:26)&gt;COUNT(Dong11),"",OFFSET(TH!D$1,SMALL(Dong11,ROWS($1:26)),))</f>
        <v>NL/X18</v>
      </c>
      <c r="C39" s="356">
        <f ca="1">IF(ROWS($1:26)&gt;COUNT(Dong11),"",OFFSET(TH!E$1,SMALL(Dong11,ROWS($1:26)),))</f>
        <v>40719</v>
      </c>
      <c r="D39" s="357" t="str">
        <f ca="1">IF(ROWS($1:26)&gt;COUNT(Dong11),"",OFFSET(TH!H$1,SMALL(Dong11,ROWS($1:26)),))</f>
        <v>Bộ phận SX</v>
      </c>
      <c r="E39" s="355" t="str">
        <f ca="1">IF(ROWS($1:26)&gt;COUNT(Dong11),"",IF(OFFSET(TH!L$1,SMALL(Dong11,ROWS($1:26)),)=$G$7,OFFSET(TH!M$1,SMALL(Dong11,ROWS($1:26)),),OFFSET(TH!L$1,SMALL(Dong11,ROWS($1:26)),)))</f>
        <v>154</v>
      </c>
      <c r="F39" s="358">
        <f ca="1">IF(ROWS($1:26)&gt;COUNT(Dong11),0,OFFSET(TH!J$1,SMALL(Dong11,ROWS($1:26)),))</f>
        <v>4449</v>
      </c>
      <c r="G39" s="358">
        <f ca="1">IF(ROWS($1:26)&gt;COUNT(Dong11),0,IF(MID(OFFSET(TH!D$1,SMALL(Dong11,ROWS($1:26)),),4,1)="N",OFFSET(TH!I$1,SMALL(Dong11,ROWS($1:26)),),0))</f>
        <v>0</v>
      </c>
      <c r="H39" s="359">
        <f t="shared" ref="H39:H62" ca="1" si="11">ROUND(F39*G39,0)</f>
        <v>0</v>
      </c>
      <c r="I39" s="358">
        <f ca="1">IF(ROWS($1:26)&gt;COUNT(Dong11),0,IF(MID(OFFSET(TH!D$1,SMALL(Dong11,ROWS($1:26)),),4,1)="X",OFFSET(TH!I$1,SMALL(Dong11,ROWS($1:26)),),0))</f>
        <v>35</v>
      </c>
      <c r="J39" s="359">
        <f t="shared" ref="J39:J62" ca="1" si="12">ROUND(F39*I39,0)</f>
        <v>155715</v>
      </c>
      <c r="K39" s="359">
        <f t="shared" ref="K39:K62" ca="1" si="13">IF(D39&lt;&gt;"",K38+G39-I39,0)</f>
        <v>668</v>
      </c>
      <c r="L39" s="359">
        <f t="shared" ref="L39:L62" ca="1" si="14">IF(D39&lt;&gt;"",L38+H39-J39,0)</f>
        <v>2971931</v>
      </c>
      <c r="M39" s="359"/>
      <c r="N39" s="349"/>
    </row>
    <row r="40" spans="1:14">
      <c r="A40" s="320">
        <f t="shared" ca="1" si="10"/>
        <v>27</v>
      </c>
      <c r="B40" s="355" t="str">
        <f ca="1">IF(ROWS($1:27)&gt;COUNT(Dong11),"",OFFSET(TH!D$1,SMALL(Dong11,ROWS($1:27)),))</f>
        <v>NL/X01</v>
      </c>
      <c r="C40" s="356">
        <f ca="1">IF(ROWS($1:27)&gt;COUNT(Dong11),"",OFFSET(TH!E$1,SMALL(Dong11,ROWS($1:27)),))</f>
        <v>40729</v>
      </c>
      <c r="D40" s="357" t="str">
        <f ca="1">IF(ROWS($1:27)&gt;COUNT(Dong11),"",OFFSET(TH!H$1,SMALL(Dong11,ROWS($1:27)),))</f>
        <v>Bộ phận SX</v>
      </c>
      <c r="E40" s="355" t="str">
        <f ca="1">IF(ROWS($1:27)&gt;COUNT(Dong11),"",IF(OFFSET(TH!L$1,SMALL(Dong11,ROWS($1:27)),)=$G$7,OFFSET(TH!M$1,SMALL(Dong11,ROWS($1:27)),),OFFSET(TH!L$1,SMALL(Dong11,ROWS($1:27)),)))</f>
        <v>154</v>
      </c>
      <c r="F40" s="358">
        <f ca="1">IF(ROWS($1:27)&gt;COUNT(Dong11),0,OFFSET(TH!J$1,SMALL(Dong11,ROWS($1:27)),))</f>
        <v>4449</v>
      </c>
      <c r="G40" s="358">
        <f ca="1">IF(ROWS($1:27)&gt;COUNT(Dong11),0,IF(MID(OFFSET(TH!D$1,SMALL(Dong11,ROWS($1:27)),),4,1)="N",OFFSET(TH!I$1,SMALL(Dong11,ROWS($1:27)),),0))</f>
        <v>0</v>
      </c>
      <c r="H40" s="359">
        <f t="shared" ca="1" si="11"/>
        <v>0</v>
      </c>
      <c r="I40" s="358">
        <f ca="1">IF(ROWS($1:27)&gt;COUNT(Dong11),0,IF(MID(OFFSET(TH!D$1,SMALL(Dong11,ROWS($1:27)),),4,1)="X",OFFSET(TH!I$1,SMALL(Dong11,ROWS($1:27)),),0))</f>
        <v>60</v>
      </c>
      <c r="J40" s="359">
        <f t="shared" ca="1" si="12"/>
        <v>266940</v>
      </c>
      <c r="K40" s="359">
        <f t="shared" ca="1" si="13"/>
        <v>608</v>
      </c>
      <c r="L40" s="359">
        <f t="shared" ca="1" si="14"/>
        <v>2704991</v>
      </c>
      <c r="M40" s="359"/>
      <c r="N40" s="349"/>
    </row>
    <row r="41" spans="1:14">
      <c r="A41" s="320">
        <f t="shared" ca="1" si="10"/>
        <v>28</v>
      </c>
      <c r="B41" s="355" t="str">
        <f ca="1">IF(ROWS($1:28)&gt;COUNT(Dong11),"",OFFSET(TH!D$1,SMALL(Dong11,ROWS($1:28)),))</f>
        <v>NL/X01</v>
      </c>
      <c r="C41" s="356">
        <f ca="1">IF(ROWS($1:28)&gt;COUNT(Dong11),"",OFFSET(TH!E$1,SMALL(Dong11,ROWS($1:28)),))</f>
        <v>40729</v>
      </c>
      <c r="D41" s="357" t="str">
        <f ca="1">IF(ROWS($1:28)&gt;COUNT(Dong11),"",OFFSET(TH!H$1,SMALL(Dong11,ROWS($1:28)),))</f>
        <v>Bộ phận SX</v>
      </c>
      <c r="E41" s="355" t="str">
        <f ca="1">IF(ROWS($1:28)&gt;COUNT(Dong11),"",IF(OFFSET(TH!L$1,SMALL(Dong11,ROWS($1:28)),)=$G$7,OFFSET(TH!M$1,SMALL(Dong11,ROWS($1:28)),),OFFSET(TH!L$1,SMALL(Dong11,ROWS($1:28)),)))</f>
        <v>154</v>
      </c>
      <c r="F41" s="358">
        <f ca="1">IF(ROWS($1:28)&gt;COUNT(Dong11),0,OFFSET(TH!J$1,SMALL(Dong11,ROWS($1:28)),))</f>
        <v>4449</v>
      </c>
      <c r="G41" s="358">
        <f ca="1">IF(ROWS($1:28)&gt;COUNT(Dong11),0,IF(MID(OFFSET(TH!D$1,SMALL(Dong11,ROWS($1:28)),),4,1)="N",OFFSET(TH!I$1,SMALL(Dong11,ROWS($1:28)),),0))</f>
        <v>0</v>
      </c>
      <c r="H41" s="359">
        <f t="shared" ca="1" si="11"/>
        <v>0</v>
      </c>
      <c r="I41" s="358">
        <f ca="1">IF(ROWS($1:28)&gt;COUNT(Dong11),0,IF(MID(OFFSET(TH!D$1,SMALL(Dong11,ROWS($1:28)),),4,1)="X",OFFSET(TH!I$1,SMALL(Dong11,ROWS($1:28)),),0))</f>
        <v>60</v>
      </c>
      <c r="J41" s="359">
        <f t="shared" ca="1" si="12"/>
        <v>266940</v>
      </c>
      <c r="K41" s="359">
        <f t="shared" ca="1" si="13"/>
        <v>548</v>
      </c>
      <c r="L41" s="359">
        <f t="shared" ca="1" si="14"/>
        <v>2438051</v>
      </c>
      <c r="M41" s="359"/>
      <c r="N41" s="349"/>
    </row>
    <row r="42" spans="1:14">
      <c r="A42" s="320">
        <f t="shared" ca="1" si="10"/>
        <v>29</v>
      </c>
      <c r="B42" s="355" t="str">
        <f ca="1">IF(ROWS($1:29)&gt;COUNT(Dong11),"",OFFSET(TH!D$1,SMALL(Dong11,ROWS($1:29)),))</f>
        <v>NL/X01</v>
      </c>
      <c r="C42" s="356">
        <f ca="1">IF(ROWS($1:29)&gt;COUNT(Dong11),"",OFFSET(TH!E$1,SMALL(Dong11,ROWS($1:29)),))</f>
        <v>40729</v>
      </c>
      <c r="D42" s="357" t="str">
        <f ca="1">IF(ROWS($1:29)&gt;COUNT(Dong11),"",OFFSET(TH!H$1,SMALL(Dong11,ROWS($1:29)),))</f>
        <v>Bộ phận SX</v>
      </c>
      <c r="E42" s="355" t="str">
        <f ca="1">IF(ROWS($1:29)&gt;COUNT(Dong11),"",IF(OFFSET(TH!L$1,SMALL(Dong11,ROWS($1:29)),)=$G$7,OFFSET(TH!M$1,SMALL(Dong11,ROWS($1:29)),),OFFSET(TH!L$1,SMALL(Dong11,ROWS($1:29)),)))</f>
        <v>154</v>
      </c>
      <c r="F42" s="358">
        <f ca="1">IF(ROWS($1:29)&gt;COUNT(Dong11),0,OFFSET(TH!J$1,SMALL(Dong11,ROWS($1:29)),))</f>
        <v>4448.97</v>
      </c>
      <c r="G42" s="358">
        <f ca="1">IF(ROWS($1:29)&gt;COUNT(Dong11),0,IF(MID(OFFSET(TH!D$1,SMALL(Dong11,ROWS($1:29)),),4,1)="N",OFFSET(TH!I$1,SMALL(Dong11,ROWS($1:29)),),0))</f>
        <v>0</v>
      </c>
      <c r="H42" s="359">
        <f t="shared" ca="1" si="11"/>
        <v>0</v>
      </c>
      <c r="I42" s="358">
        <f ca="1">IF(ROWS($1:29)&gt;COUNT(Dong11),0,IF(MID(OFFSET(TH!D$1,SMALL(Dong11,ROWS($1:29)),),4,1)="X",OFFSET(TH!I$1,SMALL(Dong11,ROWS($1:29)),),0))</f>
        <v>100</v>
      </c>
      <c r="J42" s="359">
        <f t="shared" ca="1" si="12"/>
        <v>444897</v>
      </c>
      <c r="K42" s="359">
        <f t="shared" ca="1" si="13"/>
        <v>448</v>
      </c>
      <c r="L42" s="359">
        <f t="shared" ca="1" si="14"/>
        <v>1993154</v>
      </c>
      <c r="M42" s="359"/>
      <c r="N42" s="349"/>
    </row>
    <row r="43" spans="1:14">
      <c r="A43" s="320">
        <f t="shared" ca="1" si="10"/>
        <v>30</v>
      </c>
      <c r="B43" s="355" t="str">
        <f ca="1">IF(ROWS($1:30)&gt;COUNT(Dong11),"",OFFSET(TH!D$1,SMALL(Dong11,ROWS($1:30)),))</f>
        <v>NL/X01</v>
      </c>
      <c r="C43" s="356">
        <f ca="1">IF(ROWS($1:30)&gt;COUNT(Dong11),"",OFFSET(TH!E$1,SMALL(Dong11,ROWS($1:30)),))</f>
        <v>40729</v>
      </c>
      <c r="D43" s="357" t="str">
        <f ca="1">IF(ROWS($1:30)&gt;COUNT(Dong11),"",OFFSET(TH!H$1,SMALL(Dong11,ROWS($1:30)),))</f>
        <v>Bộ phận SX</v>
      </c>
      <c r="E43" s="355" t="str">
        <f ca="1">IF(ROWS($1:30)&gt;COUNT(Dong11),"",IF(OFFSET(TH!L$1,SMALL(Dong11,ROWS($1:30)),)=$G$7,OFFSET(TH!M$1,SMALL(Dong11,ROWS($1:30)),),OFFSET(TH!L$1,SMALL(Dong11,ROWS($1:30)),)))</f>
        <v>154</v>
      </c>
      <c r="F43" s="358">
        <f ca="1">IF(ROWS($1:30)&gt;COUNT(Dong11),0,OFFSET(TH!J$1,SMALL(Dong11,ROWS($1:30)),))</f>
        <v>4449</v>
      </c>
      <c r="G43" s="358">
        <f ca="1">IF(ROWS($1:30)&gt;COUNT(Dong11),0,IF(MID(OFFSET(TH!D$1,SMALL(Dong11,ROWS($1:30)),),4,1)="N",OFFSET(TH!I$1,SMALL(Dong11,ROWS($1:30)),),0))</f>
        <v>0</v>
      </c>
      <c r="H43" s="359">
        <f t="shared" ca="1" si="11"/>
        <v>0</v>
      </c>
      <c r="I43" s="358">
        <f ca="1">IF(ROWS($1:30)&gt;COUNT(Dong11),0,IF(MID(OFFSET(TH!D$1,SMALL(Dong11,ROWS($1:30)),),4,1)="X",OFFSET(TH!I$1,SMALL(Dong11,ROWS($1:30)),),0))</f>
        <v>6</v>
      </c>
      <c r="J43" s="359">
        <f t="shared" ca="1" si="12"/>
        <v>26694</v>
      </c>
      <c r="K43" s="359">
        <f t="shared" ca="1" si="13"/>
        <v>442</v>
      </c>
      <c r="L43" s="359">
        <f t="shared" ca="1" si="14"/>
        <v>1966460</v>
      </c>
      <c r="M43" s="359"/>
      <c r="N43" s="349"/>
    </row>
    <row r="44" spans="1:14">
      <c r="A44" s="320">
        <f t="shared" ca="1" si="10"/>
        <v>31</v>
      </c>
      <c r="B44" s="355" t="str">
        <f ca="1">IF(ROWS($1:31)&gt;COUNT(Dong11),"",OFFSET(TH!D$1,SMALL(Dong11,ROWS($1:31)),))</f>
        <v>NL/X03</v>
      </c>
      <c r="C44" s="356">
        <f ca="1">IF(ROWS($1:31)&gt;COUNT(Dong11),"",OFFSET(TH!E$1,SMALL(Dong11,ROWS($1:31)),))</f>
        <v>40737</v>
      </c>
      <c r="D44" s="357" t="str">
        <f ca="1">IF(ROWS($1:31)&gt;COUNT(Dong11),"",OFFSET(TH!H$1,SMALL(Dong11,ROWS($1:31)),))</f>
        <v>Bộ phận SX</v>
      </c>
      <c r="E44" s="355" t="str">
        <f ca="1">IF(ROWS($1:31)&gt;COUNT(Dong11),"",IF(OFFSET(TH!L$1,SMALL(Dong11,ROWS($1:31)),)=$G$7,OFFSET(TH!M$1,SMALL(Dong11,ROWS($1:31)),),OFFSET(TH!L$1,SMALL(Dong11,ROWS($1:31)),)))</f>
        <v>154</v>
      </c>
      <c r="F44" s="358">
        <f ca="1">IF(ROWS($1:31)&gt;COUNT(Dong11),0,OFFSET(TH!J$1,SMALL(Dong11,ROWS($1:31)),))</f>
        <v>4449</v>
      </c>
      <c r="G44" s="358">
        <f ca="1">IF(ROWS($1:31)&gt;COUNT(Dong11),0,IF(MID(OFFSET(TH!D$1,SMALL(Dong11,ROWS($1:31)),),4,1)="N",OFFSET(TH!I$1,SMALL(Dong11,ROWS($1:31)),),0))</f>
        <v>0</v>
      </c>
      <c r="H44" s="359">
        <f t="shared" ca="1" si="11"/>
        <v>0</v>
      </c>
      <c r="I44" s="358">
        <f ca="1">IF(ROWS($1:31)&gt;COUNT(Dong11),0,IF(MID(OFFSET(TH!D$1,SMALL(Dong11,ROWS($1:31)),),4,1)="X",OFFSET(TH!I$1,SMALL(Dong11,ROWS($1:31)),),0))</f>
        <v>0.5</v>
      </c>
      <c r="J44" s="359">
        <f t="shared" ca="1" si="12"/>
        <v>2225</v>
      </c>
      <c r="K44" s="359">
        <f t="shared" ca="1" si="13"/>
        <v>441.5</v>
      </c>
      <c r="L44" s="359">
        <f t="shared" ca="1" si="14"/>
        <v>1964235</v>
      </c>
      <c r="M44" s="359"/>
      <c r="N44" s="349"/>
    </row>
    <row r="45" spans="1:14">
      <c r="A45" s="320">
        <f t="shared" ca="1" si="10"/>
        <v>32</v>
      </c>
      <c r="B45" s="355" t="str">
        <f ca="1">IF(ROWS($1:32)&gt;COUNT(Dong11),"",OFFSET(TH!D$1,SMALL(Dong11,ROWS($1:32)),))</f>
        <v>NL/X03</v>
      </c>
      <c r="C45" s="356">
        <f ca="1">IF(ROWS($1:32)&gt;COUNT(Dong11),"",OFFSET(TH!E$1,SMALL(Dong11,ROWS($1:32)),))</f>
        <v>40737</v>
      </c>
      <c r="D45" s="357" t="str">
        <f ca="1">IF(ROWS($1:32)&gt;COUNT(Dong11),"",OFFSET(TH!H$1,SMALL(Dong11,ROWS($1:32)),))</f>
        <v>Bộ phận SX</v>
      </c>
      <c r="E45" s="355" t="str">
        <f ca="1">IF(ROWS($1:32)&gt;COUNT(Dong11),"",IF(OFFSET(TH!L$1,SMALL(Dong11,ROWS($1:32)),)=$G$7,OFFSET(TH!M$1,SMALL(Dong11,ROWS($1:32)),),OFFSET(TH!L$1,SMALL(Dong11,ROWS($1:32)),)))</f>
        <v>154</v>
      </c>
      <c r="F45" s="358">
        <f ca="1">IF(ROWS($1:32)&gt;COUNT(Dong11),0,OFFSET(TH!J$1,SMALL(Dong11,ROWS($1:32)),))</f>
        <v>4449</v>
      </c>
      <c r="G45" s="358">
        <f ca="1">IF(ROWS($1:32)&gt;COUNT(Dong11),0,IF(MID(OFFSET(TH!D$1,SMALL(Dong11,ROWS($1:32)),),4,1)="N",OFFSET(TH!I$1,SMALL(Dong11,ROWS($1:32)),),0))</f>
        <v>0</v>
      </c>
      <c r="H45" s="359">
        <f t="shared" ca="1" si="11"/>
        <v>0</v>
      </c>
      <c r="I45" s="358">
        <f ca="1">IF(ROWS($1:32)&gt;COUNT(Dong11),0,IF(MID(OFFSET(TH!D$1,SMALL(Dong11,ROWS($1:32)),),4,1)="X",OFFSET(TH!I$1,SMALL(Dong11,ROWS($1:32)),),0))</f>
        <v>1</v>
      </c>
      <c r="J45" s="359">
        <f t="shared" ca="1" si="12"/>
        <v>4449</v>
      </c>
      <c r="K45" s="359">
        <f t="shared" ca="1" si="13"/>
        <v>440.5</v>
      </c>
      <c r="L45" s="359">
        <f t="shared" ca="1" si="14"/>
        <v>1959786</v>
      </c>
      <c r="M45" s="359"/>
      <c r="N45" s="349"/>
    </row>
    <row r="46" spans="1:14">
      <c r="A46" s="320">
        <f t="shared" ca="1" si="10"/>
        <v>33</v>
      </c>
      <c r="B46" s="355" t="str">
        <f ca="1">IF(ROWS($1:33)&gt;COUNT(Dong11),"",OFFSET(TH!D$1,SMALL(Dong11,ROWS($1:33)),))</f>
        <v>NL/X03</v>
      </c>
      <c r="C46" s="356">
        <f ca="1">IF(ROWS($1:33)&gt;COUNT(Dong11),"",OFFSET(TH!E$1,SMALL(Dong11,ROWS($1:33)),))</f>
        <v>40737</v>
      </c>
      <c r="D46" s="357" t="str">
        <f ca="1">IF(ROWS($1:33)&gt;COUNT(Dong11),"",OFFSET(TH!H$1,SMALL(Dong11,ROWS($1:33)),))</f>
        <v>Bộ phận SX</v>
      </c>
      <c r="E46" s="355" t="str">
        <f ca="1">IF(ROWS($1:33)&gt;COUNT(Dong11),"",IF(OFFSET(TH!L$1,SMALL(Dong11,ROWS($1:33)),)=$G$7,OFFSET(TH!M$1,SMALL(Dong11,ROWS($1:33)),),OFFSET(TH!L$1,SMALL(Dong11,ROWS($1:33)),)))</f>
        <v>154</v>
      </c>
      <c r="F46" s="358">
        <f ca="1">IF(ROWS($1:33)&gt;COUNT(Dong11),0,OFFSET(TH!J$1,SMALL(Dong11,ROWS($1:33)),))</f>
        <v>4449</v>
      </c>
      <c r="G46" s="358">
        <f ca="1">IF(ROWS($1:33)&gt;COUNT(Dong11),0,IF(MID(OFFSET(TH!D$1,SMALL(Dong11,ROWS($1:33)),),4,1)="N",OFFSET(TH!I$1,SMALL(Dong11,ROWS($1:33)),),0))</f>
        <v>0</v>
      </c>
      <c r="H46" s="359">
        <f t="shared" ca="1" si="11"/>
        <v>0</v>
      </c>
      <c r="I46" s="358">
        <f ca="1">IF(ROWS($1:33)&gt;COUNT(Dong11),0,IF(MID(OFFSET(TH!D$1,SMALL(Dong11,ROWS($1:33)),),4,1)="X",OFFSET(TH!I$1,SMALL(Dong11,ROWS($1:33)),),0))</f>
        <v>1</v>
      </c>
      <c r="J46" s="359">
        <f t="shared" ca="1" si="12"/>
        <v>4449</v>
      </c>
      <c r="K46" s="359">
        <f t="shared" ca="1" si="13"/>
        <v>439.5</v>
      </c>
      <c r="L46" s="359">
        <f t="shared" ca="1" si="14"/>
        <v>1955337</v>
      </c>
      <c r="M46" s="359"/>
      <c r="N46" s="349"/>
    </row>
    <row r="47" spans="1:14">
      <c r="A47" s="320">
        <f t="shared" ca="1" si="10"/>
        <v>34</v>
      </c>
      <c r="B47" s="355" t="str">
        <f ca="1">IF(ROWS($1:34)&gt;COUNT(Dong11),"",OFFSET(TH!D$1,SMALL(Dong11,ROWS($1:34)),))</f>
        <v>NL/X07</v>
      </c>
      <c r="C47" s="356">
        <f ca="1">IF(ROWS($1:34)&gt;COUNT(Dong11),"",OFFSET(TH!E$1,SMALL(Dong11,ROWS($1:34)),))</f>
        <v>40744</v>
      </c>
      <c r="D47" s="357" t="str">
        <f ca="1">IF(ROWS($1:34)&gt;COUNT(Dong11),"",OFFSET(TH!H$1,SMALL(Dong11,ROWS($1:34)),))</f>
        <v>Bộ phận SX</v>
      </c>
      <c r="E47" s="355" t="str">
        <f ca="1">IF(ROWS($1:34)&gt;COUNT(Dong11),"",IF(OFFSET(TH!L$1,SMALL(Dong11,ROWS($1:34)),)=$G$7,OFFSET(TH!M$1,SMALL(Dong11,ROWS($1:34)),),OFFSET(TH!L$1,SMALL(Dong11,ROWS($1:34)),)))</f>
        <v>154</v>
      </c>
      <c r="F47" s="358">
        <f ca="1">IF(ROWS($1:34)&gt;COUNT(Dong11),0,OFFSET(TH!J$1,SMALL(Dong11,ROWS($1:34)),))</f>
        <v>4449</v>
      </c>
      <c r="G47" s="358">
        <f ca="1">IF(ROWS($1:34)&gt;COUNT(Dong11),0,IF(MID(OFFSET(TH!D$1,SMALL(Dong11,ROWS($1:34)),),4,1)="N",OFFSET(TH!I$1,SMALL(Dong11,ROWS($1:34)),),0))</f>
        <v>0</v>
      </c>
      <c r="H47" s="359">
        <f t="shared" ca="1" si="11"/>
        <v>0</v>
      </c>
      <c r="I47" s="358">
        <f ca="1">IF(ROWS($1:34)&gt;COUNT(Dong11),0,IF(MID(OFFSET(TH!D$1,SMALL(Dong11,ROWS($1:34)),),4,1)="X",OFFSET(TH!I$1,SMALL(Dong11,ROWS($1:34)),),0))</f>
        <v>28</v>
      </c>
      <c r="J47" s="359">
        <f t="shared" ca="1" si="12"/>
        <v>124572</v>
      </c>
      <c r="K47" s="359">
        <f t="shared" ca="1" si="13"/>
        <v>411.5</v>
      </c>
      <c r="L47" s="359">
        <f t="shared" ca="1" si="14"/>
        <v>1830765</v>
      </c>
      <c r="M47" s="359"/>
      <c r="N47" s="349"/>
    </row>
    <row r="48" spans="1:14">
      <c r="A48" s="320">
        <f t="shared" ca="1" si="10"/>
        <v>35</v>
      </c>
      <c r="B48" s="355" t="str">
        <f ca="1">IF(ROWS($1:35)&gt;COUNT(Dong11),"",OFFSET(TH!D$1,SMALL(Dong11,ROWS($1:35)),))</f>
        <v>NL/X07</v>
      </c>
      <c r="C48" s="356">
        <f ca="1">IF(ROWS($1:35)&gt;COUNT(Dong11),"",OFFSET(TH!E$1,SMALL(Dong11,ROWS($1:35)),))</f>
        <v>40744</v>
      </c>
      <c r="D48" s="357" t="str">
        <f ca="1">IF(ROWS($1:35)&gt;COUNT(Dong11),"",OFFSET(TH!H$1,SMALL(Dong11,ROWS($1:35)),))</f>
        <v>Bộ phận SX</v>
      </c>
      <c r="E48" s="355" t="str">
        <f ca="1">IF(ROWS($1:35)&gt;COUNT(Dong11),"",IF(OFFSET(TH!L$1,SMALL(Dong11,ROWS($1:35)),)=$G$7,OFFSET(TH!M$1,SMALL(Dong11,ROWS($1:35)),),OFFSET(TH!L$1,SMALL(Dong11,ROWS($1:35)),)))</f>
        <v>154</v>
      </c>
      <c r="F48" s="358">
        <f ca="1">IF(ROWS($1:35)&gt;COUNT(Dong11),0,OFFSET(TH!J$1,SMALL(Dong11,ROWS($1:35)),))</f>
        <v>4449</v>
      </c>
      <c r="G48" s="358">
        <f ca="1">IF(ROWS($1:35)&gt;COUNT(Dong11),0,IF(MID(OFFSET(TH!D$1,SMALL(Dong11,ROWS($1:35)),),4,1)="N",OFFSET(TH!I$1,SMALL(Dong11,ROWS($1:35)),),0))</f>
        <v>0</v>
      </c>
      <c r="H48" s="359">
        <f t="shared" ca="1" si="11"/>
        <v>0</v>
      </c>
      <c r="I48" s="358">
        <f ca="1">IF(ROWS($1:35)&gt;COUNT(Dong11),0,IF(MID(OFFSET(TH!D$1,SMALL(Dong11,ROWS($1:35)),),4,1)="X",OFFSET(TH!I$1,SMALL(Dong11,ROWS($1:35)),),0))</f>
        <v>0.5</v>
      </c>
      <c r="J48" s="359">
        <f t="shared" ca="1" si="12"/>
        <v>2225</v>
      </c>
      <c r="K48" s="359">
        <f t="shared" ca="1" si="13"/>
        <v>411</v>
      </c>
      <c r="L48" s="359">
        <f t="shared" ca="1" si="14"/>
        <v>1828540</v>
      </c>
      <c r="M48" s="359"/>
      <c r="N48" s="349"/>
    </row>
    <row r="49" spans="1:14">
      <c r="A49" s="320">
        <f t="shared" ca="1" si="10"/>
        <v>36</v>
      </c>
      <c r="B49" s="355" t="str">
        <f ca="1">IF(ROWS($1:36)&gt;COUNT(Dong11),"",OFFSET(TH!D$1,SMALL(Dong11,ROWS($1:36)),))</f>
        <v>NL/X07</v>
      </c>
      <c r="C49" s="356">
        <f ca="1">IF(ROWS($1:36)&gt;COUNT(Dong11),"",OFFSET(TH!E$1,SMALL(Dong11,ROWS($1:36)),))</f>
        <v>40744</v>
      </c>
      <c r="D49" s="357" t="str">
        <f ca="1">IF(ROWS($1:36)&gt;COUNT(Dong11),"",OFFSET(TH!H$1,SMALL(Dong11,ROWS($1:36)),))</f>
        <v>Bộ phận SX</v>
      </c>
      <c r="E49" s="355" t="str">
        <f ca="1">IF(ROWS($1:36)&gt;COUNT(Dong11),"",IF(OFFSET(TH!L$1,SMALL(Dong11,ROWS($1:36)),)=$G$7,OFFSET(TH!M$1,SMALL(Dong11,ROWS($1:36)),),OFFSET(TH!L$1,SMALL(Dong11,ROWS($1:36)),)))</f>
        <v>154</v>
      </c>
      <c r="F49" s="358">
        <f ca="1">IF(ROWS($1:36)&gt;COUNT(Dong11),0,OFFSET(TH!J$1,SMALL(Dong11,ROWS($1:36)),))</f>
        <v>4449</v>
      </c>
      <c r="G49" s="358">
        <f ca="1">IF(ROWS($1:36)&gt;COUNT(Dong11),0,IF(MID(OFFSET(TH!D$1,SMALL(Dong11,ROWS($1:36)),),4,1)="N",OFFSET(TH!I$1,SMALL(Dong11,ROWS($1:36)),),0))</f>
        <v>0</v>
      </c>
      <c r="H49" s="359">
        <f t="shared" ca="1" si="11"/>
        <v>0</v>
      </c>
      <c r="I49" s="358">
        <f ca="1">IF(ROWS($1:36)&gt;COUNT(Dong11),0,IF(MID(OFFSET(TH!D$1,SMALL(Dong11,ROWS($1:36)),),4,1)="X",OFFSET(TH!I$1,SMALL(Dong11,ROWS($1:36)),),0))</f>
        <v>1</v>
      </c>
      <c r="J49" s="359">
        <f t="shared" ca="1" si="12"/>
        <v>4449</v>
      </c>
      <c r="K49" s="359">
        <f t="shared" ca="1" si="13"/>
        <v>410</v>
      </c>
      <c r="L49" s="359">
        <f t="shared" ca="1" si="14"/>
        <v>1824091</v>
      </c>
      <c r="M49" s="359"/>
      <c r="N49" s="349"/>
    </row>
    <row r="50" spans="1:14">
      <c r="A50" s="320">
        <f t="shared" ca="1" si="10"/>
        <v>37</v>
      </c>
      <c r="B50" s="355" t="str">
        <f ca="1">IF(ROWS($1:37)&gt;COUNT(Dong11),"",OFFSET(TH!D$1,SMALL(Dong11,ROWS($1:37)),))</f>
        <v>NL/X08</v>
      </c>
      <c r="C50" s="356">
        <f ca="1">IF(ROWS($1:37)&gt;COUNT(Dong11),"",OFFSET(TH!E$1,SMALL(Dong11,ROWS($1:37)),))</f>
        <v>40746</v>
      </c>
      <c r="D50" s="357" t="str">
        <f ca="1">IF(ROWS($1:37)&gt;COUNT(Dong11),"",OFFSET(TH!H$1,SMALL(Dong11,ROWS($1:37)),))</f>
        <v>Bộ phận SX</v>
      </c>
      <c r="E50" s="355" t="str">
        <f ca="1">IF(ROWS($1:37)&gt;COUNT(Dong11),"",IF(OFFSET(TH!L$1,SMALL(Dong11,ROWS($1:37)),)=$G$7,OFFSET(TH!M$1,SMALL(Dong11,ROWS($1:37)),),OFFSET(TH!L$1,SMALL(Dong11,ROWS($1:37)),)))</f>
        <v>154</v>
      </c>
      <c r="F50" s="358">
        <f ca="1">IF(ROWS($1:37)&gt;COUNT(Dong11),0,OFFSET(TH!J$1,SMALL(Dong11,ROWS($1:37)),))</f>
        <v>4449</v>
      </c>
      <c r="G50" s="358">
        <f ca="1">IF(ROWS($1:37)&gt;COUNT(Dong11),0,IF(MID(OFFSET(TH!D$1,SMALL(Dong11,ROWS($1:37)),),4,1)="N",OFFSET(TH!I$1,SMALL(Dong11,ROWS($1:37)),),0))</f>
        <v>0</v>
      </c>
      <c r="H50" s="359">
        <f t="shared" ca="1" si="11"/>
        <v>0</v>
      </c>
      <c r="I50" s="358">
        <f ca="1">IF(ROWS($1:37)&gt;COUNT(Dong11),0,IF(MID(OFFSET(TH!D$1,SMALL(Dong11,ROWS($1:37)),),4,1)="X",OFFSET(TH!I$1,SMALL(Dong11,ROWS($1:37)),),0))</f>
        <v>11</v>
      </c>
      <c r="J50" s="359">
        <f t="shared" ca="1" si="12"/>
        <v>48939</v>
      </c>
      <c r="K50" s="359">
        <f t="shared" ca="1" si="13"/>
        <v>399</v>
      </c>
      <c r="L50" s="359">
        <f t="shared" ca="1" si="14"/>
        <v>1775152</v>
      </c>
      <c r="M50" s="359"/>
      <c r="N50" s="349"/>
    </row>
    <row r="51" spans="1:14">
      <c r="A51" s="320">
        <f t="shared" ca="1" si="10"/>
        <v>38</v>
      </c>
      <c r="B51" s="355" t="str">
        <f ca="1">IF(ROWS($1:38)&gt;COUNT(Dong11),"",OFFSET(TH!D$1,SMALL(Dong11,ROWS($1:38)),))</f>
        <v>NL/X12</v>
      </c>
      <c r="C51" s="356">
        <f ca="1">IF(ROWS($1:38)&gt;COUNT(Dong11),"",OFFSET(TH!E$1,SMALL(Dong11,ROWS($1:38)),))</f>
        <v>40760</v>
      </c>
      <c r="D51" s="357" t="str">
        <f ca="1">IF(ROWS($1:38)&gt;COUNT(Dong11),"",OFFSET(TH!H$1,SMALL(Dong11,ROWS($1:38)),))</f>
        <v>Bộ phận SX</v>
      </c>
      <c r="E51" s="355" t="str">
        <f ca="1">IF(ROWS($1:38)&gt;COUNT(Dong11),"",IF(OFFSET(TH!L$1,SMALL(Dong11,ROWS($1:38)),)=$G$7,OFFSET(TH!M$1,SMALL(Dong11,ROWS($1:38)),),OFFSET(TH!L$1,SMALL(Dong11,ROWS($1:38)),)))</f>
        <v>154</v>
      </c>
      <c r="F51" s="358">
        <f ca="1">IF(ROWS($1:38)&gt;COUNT(Dong11),0,OFFSET(TH!J$1,SMALL(Dong11,ROWS($1:38)),))</f>
        <v>4449</v>
      </c>
      <c r="G51" s="358">
        <f ca="1">IF(ROWS($1:38)&gt;COUNT(Dong11),0,IF(MID(OFFSET(TH!D$1,SMALL(Dong11,ROWS($1:38)),),4,1)="N",OFFSET(TH!I$1,SMALL(Dong11,ROWS($1:38)),),0))</f>
        <v>0</v>
      </c>
      <c r="H51" s="359">
        <f t="shared" ca="1" si="11"/>
        <v>0</v>
      </c>
      <c r="I51" s="358">
        <f ca="1">IF(ROWS($1:38)&gt;COUNT(Dong11),0,IF(MID(OFFSET(TH!D$1,SMALL(Dong11,ROWS($1:38)),),4,1)="X",OFFSET(TH!I$1,SMALL(Dong11,ROWS($1:38)),),0))</f>
        <v>1</v>
      </c>
      <c r="J51" s="359">
        <f t="shared" ca="1" si="12"/>
        <v>4449</v>
      </c>
      <c r="K51" s="359">
        <f t="shared" ca="1" si="13"/>
        <v>398</v>
      </c>
      <c r="L51" s="359">
        <f t="shared" ca="1" si="14"/>
        <v>1770703</v>
      </c>
      <c r="M51" s="359"/>
      <c r="N51" s="349"/>
    </row>
    <row r="52" spans="1:14">
      <c r="A52" s="320">
        <f t="shared" ca="1" si="10"/>
        <v>39</v>
      </c>
      <c r="B52" s="355" t="str">
        <f ca="1">IF(ROWS($1:39)&gt;COUNT(Dong11),"",OFFSET(TH!D$1,SMALL(Dong11,ROWS($1:39)),))</f>
        <v>NL/X13</v>
      </c>
      <c r="C52" s="356">
        <f ca="1">IF(ROWS($1:39)&gt;COUNT(Dong11),"",OFFSET(TH!E$1,SMALL(Dong11,ROWS($1:39)),))</f>
        <v>40763</v>
      </c>
      <c r="D52" s="357" t="str">
        <f ca="1">IF(ROWS($1:39)&gt;COUNT(Dong11),"",OFFSET(TH!H$1,SMALL(Dong11,ROWS($1:39)),))</f>
        <v>Bộ phận SX</v>
      </c>
      <c r="E52" s="355" t="str">
        <f ca="1">IF(ROWS($1:39)&gt;COUNT(Dong11),"",IF(OFFSET(TH!L$1,SMALL(Dong11,ROWS($1:39)),)=$G$7,OFFSET(TH!M$1,SMALL(Dong11,ROWS($1:39)),),OFFSET(TH!L$1,SMALL(Dong11,ROWS($1:39)),)))</f>
        <v>154</v>
      </c>
      <c r="F52" s="358">
        <f ca="1">IF(ROWS($1:39)&gt;COUNT(Dong11),0,OFFSET(TH!J$1,SMALL(Dong11,ROWS($1:39)),))</f>
        <v>4449</v>
      </c>
      <c r="G52" s="358">
        <f ca="1">IF(ROWS($1:39)&gt;COUNT(Dong11),0,IF(MID(OFFSET(TH!D$1,SMALL(Dong11,ROWS($1:39)),),4,1)="N",OFFSET(TH!I$1,SMALL(Dong11,ROWS($1:39)),),0))</f>
        <v>0</v>
      </c>
      <c r="H52" s="359">
        <f t="shared" ca="1" si="11"/>
        <v>0</v>
      </c>
      <c r="I52" s="358">
        <f ca="1">IF(ROWS($1:39)&gt;COUNT(Dong11),0,IF(MID(OFFSET(TH!D$1,SMALL(Dong11,ROWS($1:39)),),4,1)="X",OFFSET(TH!I$1,SMALL(Dong11,ROWS($1:39)),),0))</f>
        <v>22.5</v>
      </c>
      <c r="J52" s="359">
        <f t="shared" ca="1" si="12"/>
        <v>100103</v>
      </c>
      <c r="K52" s="359">
        <f t="shared" ca="1" si="13"/>
        <v>375.5</v>
      </c>
      <c r="L52" s="359">
        <f t="shared" ca="1" si="14"/>
        <v>1670600</v>
      </c>
      <c r="M52" s="359"/>
      <c r="N52" s="349"/>
    </row>
    <row r="53" spans="1:14">
      <c r="A53" s="320">
        <f t="shared" ca="1" si="10"/>
        <v>40</v>
      </c>
      <c r="B53" s="355" t="str">
        <f ca="1">IF(ROWS($1:40)&gt;COUNT(Dong11),"",OFFSET(TH!D$1,SMALL(Dong11,ROWS($1:40)),))</f>
        <v>NL/X14</v>
      </c>
      <c r="C53" s="356">
        <f ca="1">IF(ROWS($1:40)&gt;COUNT(Dong11),"",OFFSET(TH!E$1,SMALL(Dong11,ROWS($1:40)),))</f>
        <v>40768</v>
      </c>
      <c r="D53" s="357" t="str">
        <f ca="1">IF(ROWS($1:40)&gt;COUNT(Dong11),"",OFFSET(TH!H$1,SMALL(Dong11,ROWS($1:40)),))</f>
        <v>Bộ phận SX</v>
      </c>
      <c r="E53" s="355" t="str">
        <f ca="1">IF(ROWS($1:40)&gt;COUNT(Dong11),"",IF(OFFSET(TH!L$1,SMALL(Dong11,ROWS($1:40)),)=$G$7,OFFSET(TH!M$1,SMALL(Dong11,ROWS($1:40)),),OFFSET(TH!L$1,SMALL(Dong11,ROWS($1:40)),)))</f>
        <v>154</v>
      </c>
      <c r="F53" s="358">
        <f ca="1">IF(ROWS($1:40)&gt;COUNT(Dong11),0,OFFSET(TH!J$1,SMALL(Dong11,ROWS($1:40)),))</f>
        <v>4449</v>
      </c>
      <c r="G53" s="358">
        <f ca="1">IF(ROWS($1:40)&gt;COUNT(Dong11),0,IF(MID(OFFSET(TH!D$1,SMALL(Dong11,ROWS($1:40)),),4,1)="N",OFFSET(TH!I$1,SMALL(Dong11,ROWS($1:40)),),0))</f>
        <v>0</v>
      </c>
      <c r="H53" s="359">
        <f t="shared" ca="1" si="11"/>
        <v>0</v>
      </c>
      <c r="I53" s="358">
        <f ca="1">IF(ROWS($1:40)&gt;COUNT(Dong11),0,IF(MID(OFFSET(TH!D$1,SMALL(Dong11,ROWS($1:40)),),4,1)="X",OFFSET(TH!I$1,SMALL(Dong11,ROWS($1:40)),),0))</f>
        <v>75</v>
      </c>
      <c r="J53" s="359">
        <f t="shared" ca="1" si="12"/>
        <v>333675</v>
      </c>
      <c r="K53" s="359">
        <f t="shared" ca="1" si="13"/>
        <v>300.5</v>
      </c>
      <c r="L53" s="359">
        <f t="shared" ca="1" si="14"/>
        <v>1336925</v>
      </c>
      <c r="M53" s="359"/>
      <c r="N53" s="349"/>
    </row>
    <row r="54" spans="1:14">
      <c r="A54" s="320">
        <f t="shared" ca="1" si="10"/>
        <v>41</v>
      </c>
      <c r="B54" s="355" t="str">
        <f ca="1">IF(ROWS($1:41)&gt;COUNT(Dong11),"",OFFSET(TH!D$1,SMALL(Dong11,ROWS($1:41)),))</f>
        <v>NL/X14</v>
      </c>
      <c r="C54" s="356">
        <f ca="1">IF(ROWS($1:41)&gt;COUNT(Dong11),"",OFFSET(TH!E$1,SMALL(Dong11,ROWS($1:41)),))</f>
        <v>40768</v>
      </c>
      <c r="D54" s="357" t="str">
        <f ca="1">IF(ROWS($1:41)&gt;COUNT(Dong11),"",OFFSET(TH!H$1,SMALL(Dong11,ROWS($1:41)),))</f>
        <v>Bộ phận SX</v>
      </c>
      <c r="E54" s="355" t="str">
        <f ca="1">IF(ROWS($1:41)&gt;COUNT(Dong11),"",IF(OFFSET(TH!L$1,SMALL(Dong11,ROWS($1:41)),)=$G$7,OFFSET(TH!M$1,SMALL(Dong11,ROWS($1:41)),),OFFSET(TH!L$1,SMALL(Dong11,ROWS($1:41)),)))</f>
        <v>154</v>
      </c>
      <c r="F54" s="358">
        <f ca="1">IF(ROWS($1:41)&gt;COUNT(Dong11),0,OFFSET(TH!J$1,SMALL(Dong11,ROWS($1:41)),))</f>
        <v>4449</v>
      </c>
      <c r="G54" s="358">
        <f ca="1">IF(ROWS($1:41)&gt;COUNT(Dong11),0,IF(MID(OFFSET(TH!D$1,SMALL(Dong11,ROWS($1:41)),),4,1)="N",OFFSET(TH!I$1,SMALL(Dong11,ROWS($1:41)),),0))</f>
        <v>0</v>
      </c>
      <c r="H54" s="359">
        <f t="shared" ca="1" si="11"/>
        <v>0</v>
      </c>
      <c r="I54" s="358">
        <f ca="1">IF(ROWS($1:41)&gt;COUNT(Dong11),0,IF(MID(OFFSET(TH!D$1,SMALL(Dong11,ROWS($1:41)),),4,1)="X",OFFSET(TH!I$1,SMALL(Dong11,ROWS($1:41)),),0))</f>
        <v>0.5</v>
      </c>
      <c r="J54" s="359">
        <f t="shared" ca="1" si="12"/>
        <v>2225</v>
      </c>
      <c r="K54" s="359">
        <f t="shared" ca="1" si="13"/>
        <v>300</v>
      </c>
      <c r="L54" s="359">
        <f t="shared" ca="1" si="14"/>
        <v>1334700</v>
      </c>
      <c r="M54" s="359"/>
      <c r="N54" s="349"/>
    </row>
    <row r="55" spans="1:14">
      <c r="A55" s="320">
        <f t="shared" ca="1" si="10"/>
        <v>42</v>
      </c>
      <c r="B55" s="355" t="str">
        <f ca="1">IF(ROWS($1:42)&gt;COUNT(Dong11),"",OFFSET(TH!D$1,SMALL(Dong11,ROWS($1:42)),))</f>
        <v>NL/X16</v>
      </c>
      <c r="C55" s="356">
        <f ca="1">IF(ROWS($1:42)&gt;COUNT(Dong11),"",OFFSET(TH!E$1,SMALL(Dong11,ROWS($1:42)),))</f>
        <v>40775</v>
      </c>
      <c r="D55" s="357" t="str">
        <f ca="1">IF(ROWS($1:42)&gt;COUNT(Dong11),"",OFFSET(TH!H$1,SMALL(Dong11,ROWS($1:42)),))</f>
        <v>Bộ phận SX</v>
      </c>
      <c r="E55" s="355" t="str">
        <f ca="1">IF(ROWS($1:42)&gt;COUNT(Dong11),"",IF(OFFSET(TH!L$1,SMALL(Dong11,ROWS($1:42)),)=$G$7,OFFSET(TH!M$1,SMALL(Dong11,ROWS($1:42)),),OFFSET(TH!L$1,SMALL(Dong11,ROWS($1:42)),)))</f>
        <v>154</v>
      </c>
      <c r="F55" s="358">
        <f ca="1">IF(ROWS($1:42)&gt;COUNT(Dong11),0,OFFSET(TH!J$1,SMALL(Dong11,ROWS($1:42)),))</f>
        <v>4449</v>
      </c>
      <c r="G55" s="358">
        <f ca="1">IF(ROWS($1:42)&gt;COUNT(Dong11),0,IF(MID(OFFSET(TH!D$1,SMALL(Dong11,ROWS($1:42)),),4,1)="N",OFFSET(TH!I$1,SMALL(Dong11,ROWS($1:42)),),0))</f>
        <v>0</v>
      </c>
      <c r="H55" s="359">
        <f t="shared" ca="1" si="11"/>
        <v>0</v>
      </c>
      <c r="I55" s="358">
        <f ca="1">IF(ROWS($1:42)&gt;COUNT(Dong11),0,IF(MID(OFFSET(TH!D$1,SMALL(Dong11,ROWS($1:42)),),4,1)="X",OFFSET(TH!I$1,SMALL(Dong11,ROWS($1:42)),),0))</f>
        <v>86</v>
      </c>
      <c r="J55" s="359">
        <f t="shared" ca="1" si="12"/>
        <v>382614</v>
      </c>
      <c r="K55" s="359">
        <f t="shared" ca="1" si="13"/>
        <v>214</v>
      </c>
      <c r="L55" s="359">
        <f t="shared" ca="1" si="14"/>
        <v>952086</v>
      </c>
      <c r="M55" s="359"/>
      <c r="N55" s="349"/>
    </row>
    <row r="56" spans="1:14">
      <c r="A56" s="320">
        <f t="shared" ca="1" si="10"/>
        <v>43</v>
      </c>
      <c r="B56" s="355" t="str">
        <f ca="1">IF(ROWS($1:43)&gt;COUNT(Dong11),"",OFFSET(TH!D$1,SMALL(Dong11,ROWS($1:43)),))</f>
        <v>NL/X18</v>
      </c>
      <c r="C56" s="356">
        <f ca="1">IF(ROWS($1:43)&gt;COUNT(Dong11),"",OFFSET(TH!E$1,SMALL(Dong11,ROWS($1:43)),))</f>
        <v>40791</v>
      </c>
      <c r="D56" s="357" t="str">
        <f ca="1">IF(ROWS($1:43)&gt;COUNT(Dong11),"",OFFSET(TH!H$1,SMALL(Dong11,ROWS($1:43)),))</f>
        <v>Bộ phận SX</v>
      </c>
      <c r="E56" s="355" t="str">
        <f ca="1">IF(ROWS($1:43)&gt;COUNT(Dong11),"",IF(OFFSET(TH!L$1,SMALL(Dong11,ROWS($1:43)),)=$G$7,OFFSET(TH!M$1,SMALL(Dong11,ROWS($1:43)),),OFFSET(TH!L$1,SMALL(Dong11,ROWS($1:43)),)))</f>
        <v>154</v>
      </c>
      <c r="F56" s="358">
        <f ca="1">IF(ROWS($1:43)&gt;COUNT(Dong11),0,OFFSET(TH!J$1,SMALL(Dong11,ROWS($1:43)),))</f>
        <v>4449</v>
      </c>
      <c r="G56" s="358">
        <f ca="1">IF(ROWS($1:43)&gt;COUNT(Dong11),0,IF(MID(OFFSET(TH!D$1,SMALL(Dong11,ROWS($1:43)),),4,1)="N",OFFSET(TH!I$1,SMALL(Dong11,ROWS($1:43)),),0))</f>
        <v>0</v>
      </c>
      <c r="H56" s="359">
        <f t="shared" ca="1" si="11"/>
        <v>0</v>
      </c>
      <c r="I56" s="358">
        <f ca="1">IF(ROWS($1:43)&gt;COUNT(Dong11),0,IF(MID(OFFSET(TH!D$1,SMALL(Dong11,ROWS($1:43)),),4,1)="X",OFFSET(TH!I$1,SMALL(Dong11,ROWS($1:43)),),0))</f>
        <v>5</v>
      </c>
      <c r="J56" s="359">
        <f t="shared" ca="1" si="12"/>
        <v>22245</v>
      </c>
      <c r="K56" s="359">
        <f t="shared" ca="1" si="13"/>
        <v>209</v>
      </c>
      <c r="L56" s="359">
        <f t="shared" ca="1" si="14"/>
        <v>929841</v>
      </c>
      <c r="M56" s="359"/>
      <c r="N56" s="349"/>
    </row>
    <row r="57" spans="1:14">
      <c r="A57" s="320">
        <f t="shared" ca="1" si="10"/>
        <v>44</v>
      </c>
      <c r="B57" s="355" t="str">
        <f ca="1">IF(ROWS($1:44)&gt;COUNT(Dong11),"",OFFSET(TH!D$1,SMALL(Dong11,ROWS($1:44)),))</f>
        <v>NL/X20</v>
      </c>
      <c r="C57" s="356">
        <f ca="1">IF(ROWS($1:44)&gt;COUNT(Dong11),"",OFFSET(TH!E$1,SMALL(Dong11,ROWS($1:44)),))</f>
        <v>40797</v>
      </c>
      <c r="D57" s="357" t="str">
        <f ca="1">IF(ROWS($1:44)&gt;COUNT(Dong11),"",OFFSET(TH!H$1,SMALL(Dong11,ROWS($1:44)),))</f>
        <v>Bộ phận SX</v>
      </c>
      <c r="E57" s="355" t="str">
        <f ca="1">IF(ROWS($1:44)&gt;COUNT(Dong11),"",IF(OFFSET(TH!L$1,SMALL(Dong11,ROWS($1:44)),)=$G$7,OFFSET(TH!M$1,SMALL(Dong11,ROWS($1:44)),),OFFSET(TH!L$1,SMALL(Dong11,ROWS($1:44)),)))</f>
        <v>154</v>
      </c>
      <c r="F57" s="358">
        <f ca="1">IF(ROWS($1:44)&gt;COUNT(Dong11),0,OFFSET(TH!J$1,SMALL(Dong11,ROWS($1:44)),))</f>
        <v>4449</v>
      </c>
      <c r="G57" s="358">
        <f ca="1">IF(ROWS($1:44)&gt;COUNT(Dong11),0,IF(MID(OFFSET(TH!D$1,SMALL(Dong11,ROWS($1:44)),),4,1)="N",OFFSET(TH!I$1,SMALL(Dong11,ROWS($1:44)),),0))</f>
        <v>0</v>
      </c>
      <c r="H57" s="359">
        <f t="shared" ca="1" si="11"/>
        <v>0</v>
      </c>
      <c r="I57" s="358">
        <f ca="1">IF(ROWS($1:44)&gt;COUNT(Dong11),0,IF(MID(OFFSET(TH!D$1,SMALL(Dong11,ROWS($1:44)),),4,1)="X",OFFSET(TH!I$1,SMALL(Dong11,ROWS($1:44)),),0))</f>
        <v>44</v>
      </c>
      <c r="J57" s="359">
        <f t="shared" ca="1" si="12"/>
        <v>195756</v>
      </c>
      <c r="K57" s="359">
        <f t="shared" ca="1" si="13"/>
        <v>165</v>
      </c>
      <c r="L57" s="359">
        <f t="shared" ca="1" si="14"/>
        <v>734085</v>
      </c>
      <c r="M57" s="359"/>
      <c r="N57" s="349"/>
    </row>
    <row r="58" spans="1:14">
      <c r="A58" s="320">
        <f t="shared" ca="1" si="10"/>
        <v>45</v>
      </c>
      <c r="B58" s="355" t="str">
        <f ca="1">IF(ROWS($1:45)&gt;COUNT(Dong11),"",OFFSET(TH!D$1,SMALL(Dong11,ROWS($1:45)),))</f>
        <v>NL/X21</v>
      </c>
      <c r="C58" s="356">
        <f ca="1">IF(ROWS($1:45)&gt;COUNT(Dong11),"",OFFSET(TH!E$1,SMALL(Dong11,ROWS($1:45)),))</f>
        <v>40803</v>
      </c>
      <c r="D58" s="357" t="str">
        <f ca="1">IF(ROWS($1:45)&gt;COUNT(Dong11),"",OFFSET(TH!H$1,SMALL(Dong11,ROWS($1:45)),))</f>
        <v>Bộ phận SX</v>
      </c>
      <c r="E58" s="355" t="str">
        <f ca="1">IF(ROWS($1:45)&gt;COUNT(Dong11),"",IF(OFFSET(TH!L$1,SMALL(Dong11,ROWS($1:45)),)=$G$7,OFFSET(TH!M$1,SMALL(Dong11,ROWS($1:45)),),OFFSET(TH!L$1,SMALL(Dong11,ROWS($1:45)),)))</f>
        <v>154</v>
      </c>
      <c r="F58" s="358">
        <f ca="1">IF(ROWS($1:45)&gt;COUNT(Dong11),0,OFFSET(TH!J$1,SMALL(Dong11,ROWS($1:45)),))</f>
        <v>4449</v>
      </c>
      <c r="G58" s="358">
        <f ca="1">IF(ROWS($1:45)&gt;COUNT(Dong11),0,IF(MID(OFFSET(TH!D$1,SMALL(Dong11,ROWS($1:45)),),4,1)="N",OFFSET(TH!I$1,SMALL(Dong11,ROWS($1:45)),),0))</f>
        <v>0</v>
      </c>
      <c r="H58" s="359">
        <f t="shared" ca="1" si="11"/>
        <v>0</v>
      </c>
      <c r="I58" s="358">
        <f ca="1">IF(ROWS($1:45)&gt;COUNT(Dong11),0,IF(MID(OFFSET(TH!D$1,SMALL(Dong11,ROWS($1:45)),),4,1)="X",OFFSET(TH!I$1,SMALL(Dong11,ROWS($1:45)),),0))</f>
        <v>2</v>
      </c>
      <c r="J58" s="359">
        <f t="shared" ca="1" si="12"/>
        <v>8898</v>
      </c>
      <c r="K58" s="359">
        <f t="shared" ca="1" si="13"/>
        <v>163</v>
      </c>
      <c r="L58" s="359">
        <f t="shared" ca="1" si="14"/>
        <v>725187</v>
      </c>
      <c r="M58" s="359"/>
      <c r="N58" s="349"/>
    </row>
    <row r="59" spans="1:14">
      <c r="A59" s="320">
        <f t="shared" ca="1" si="10"/>
        <v>46</v>
      </c>
      <c r="B59" s="355" t="str">
        <f ca="1">IF(ROWS($1:46)&gt;COUNT(Dong11),"",OFFSET(TH!D$1,SMALL(Dong11,ROWS($1:46)),))</f>
        <v>NL/X21</v>
      </c>
      <c r="C59" s="356">
        <f ca="1">IF(ROWS($1:46)&gt;COUNT(Dong11),"",OFFSET(TH!E$1,SMALL(Dong11,ROWS($1:46)),))</f>
        <v>40803</v>
      </c>
      <c r="D59" s="357" t="str">
        <f ca="1">IF(ROWS($1:46)&gt;COUNT(Dong11),"",OFFSET(TH!H$1,SMALL(Dong11,ROWS($1:46)),))</f>
        <v>Bộ phận SX</v>
      </c>
      <c r="E59" s="355" t="str">
        <f ca="1">IF(ROWS($1:46)&gt;COUNT(Dong11),"",IF(OFFSET(TH!L$1,SMALL(Dong11,ROWS($1:46)),)=$G$7,OFFSET(TH!M$1,SMALL(Dong11,ROWS($1:46)),),OFFSET(TH!L$1,SMALL(Dong11,ROWS($1:46)),)))</f>
        <v>154</v>
      </c>
      <c r="F59" s="358">
        <f ca="1">IF(ROWS($1:46)&gt;COUNT(Dong11),0,OFFSET(TH!J$1,SMALL(Dong11,ROWS($1:46)),))</f>
        <v>4449</v>
      </c>
      <c r="G59" s="358">
        <f ca="1">IF(ROWS($1:46)&gt;COUNT(Dong11),0,IF(MID(OFFSET(TH!D$1,SMALL(Dong11,ROWS($1:46)),),4,1)="N",OFFSET(TH!I$1,SMALL(Dong11,ROWS($1:46)),),0))</f>
        <v>0</v>
      </c>
      <c r="H59" s="359">
        <f t="shared" ca="1" si="11"/>
        <v>0</v>
      </c>
      <c r="I59" s="358">
        <f ca="1">IF(ROWS($1:46)&gt;COUNT(Dong11),0,IF(MID(OFFSET(TH!D$1,SMALL(Dong11,ROWS($1:46)),),4,1)="X",OFFSET(TH!I$1,SMALL(Dong11,ROWS($1:46)),),0))</f>
        <v>6</v>
      </c>
      <c r="J59" s="359">
        <f t="shared" ca="1" si="12"/>
        <v>26694</v>
      </c>
      <c r="K59" s="359">
        <f t="shared" ca="1" si="13"/>
        <v>157</v>
      </c>
      <c r="L59" s="359">
        <f t="shared" ca="1" si="14"/>
        <v>698493</v>
      </c>
      <c r="M59" s="359"/>
      <c r="N59" s="349"/>
    </row>
    <row r="60" spans="1:14">
      <c r="A60" s="320">
        <f t="shared" ca="1" si="10"/>
        <v>47</v>
      </c>
      <c r="B60" s="355" t="str">
        <f ca="1">IF(ROWS($1:47)&gt;COUNT(Dong11),"",OFFSET(TH!D$1,SMALL(Dong11,ROWS($1:47)),))</f>
        <v>NL/X21</v>
      </c>
      <c r="C60" s="356">
        <f ca="1">IF(ROWS($1:47)&gt;COUNT(Dong11),"",OFFSET(TH!E$1,SMALL(Dong11,ROWS($1:47)),))</f>
        <v>40803</v>
      </c>
      <c r="D60" s="357" t="str">
        <f ca="1">IF(ROWS($1:47)&gt;COUNT(Dong11),"",OFFSET(TH!H$1,SMALL(Dong11,ROWS($1:47)),))</f>
        <v>Bộ phận SX</v>
      </c>
      <c r="E60" s="355" t="str">
        <f ca="1">IF(ROWS($1:47)&gt;COUNT(Dong11),"",IF(OFFSET(TH!L$1,SMALL(Dong11,ROWS($1:47)),)=$G$7,OFFSET(TH!M$1,SMALL(Dong11,ROWS($1:47)),),OFFSET(TH!L$1,SMALL(Dong11,ROWS($1:47)),)))</f>
        <v>154</v>
      </c>
      <c r="F60" s="358">
        <f ca="1">IF(ROWS($1:47)&gt;COUNT(Dong11),0,OFFSET(TH!J$1,SMALL(Dong11,ROWS($1:47)),))</f>
        <v>4449</v>
      </c>
      <c r="G60" s="358">
        <f ca="1">IF(ROWS($1:47)&gt;COUNT(Dong11),0,IF(MID(OFFSET(TH!D$1,SMALL(Dong11,ROWS($1:47)),),4,1)="N",OFFSET(TH!I$1,SMALL(Dong11,ROWS($1:47)),),0))</f>
        <v>0</v>
      </c>
      <c r="H60" s="359">
        <f t="shared" ca="1" si="11"/>
        <v>0</v>
      </c>
      <c r="I60" s="358">
        <f ca="1">IF(ROWS($1:47)&gt;COUNT(Dong11),0,IF(MID(OFFSET(TH!D$1,SMALL(Dong11,ROWS($1:47)),),4,1)="X",OFFSET(TH!I$1,SMALL(Dong11,ROWS($1:47)),),0))</f>
        <v>2</v>
      </c>
      <c r="J60" s="359">
        <f t="shared" ca="1" si="12"/>
        <v>8898</v>
      </c>
      <c r="K60" s="359">
        <f t="shared" ca="1" si="13"/>
        <v>155</v>
      </c>
      <c r="L60" s="359">
        <f t="shared" ca="1" si="14"/>
        <v>689595</v>
      </c>
      <c r="M60" s="359"/>
      <c r="N60" s="349"/>
    </row>
    <row r="61" spans="1:14">
      <c r="A61" s="320">
        <f t="shared" ca="1" si="10"/>
        <v>48</v>
      </c>
      <c r="B61" s="355" t="str">
        <f ca="1">IF(ROWS($1:48)&gt;COUNT(Dong11),"",OFFSET(TH!D$1,SMALL(Dong11,ROWS($1:48)),))</f>
        <v>NL/X21</v>
      </c>
      <c r="C61" s="356">
        <f ca="1">IF(ROWS($1:48)&gt;COUNT(Dong11),"",OFFSET(TH!E$1,SMALL(Dong11,ROWS($1:48)),))</f>
        <v>40803</v>
      </c>
      <c r="D61" s="357" t="str">
        <f ca="1">IF(ROWS($1:48)&gt;COUNT(Dong11),"",OFFSET(TH!H$1,SMALL(Dong11,ROWS($1:48)),))</f>
        <v>Bộ phận SX</v>
      </c>
      <c r="E61" s="355" t="str">
        <f ca="1">IF(ROWS($1:48)&gt;COUNT(Dong11),"",IF(OFFSET(TH!L$1,SMALL(Dong11,ROWS($1:48)),)=$G$7,OFFSET(TH!M$1,SMALL(Dong11,ROWS($1:48)),),OFFSET(TH!L$1,SMALL(Dong11,ROWS($1:48)),)))</f>
        <v>154</v>
      </c>
      <c r="F61" s="358">
        <f ca="1">IF(ROWS($1:48)&gt;COUNT(Dong11),0,OFFSET(TH!J$1,SMALL(Dong11,ROWS($1:48)),))</f>
        <v>4449</v>
      </c>
      <c r="G61" s="358">
        <f ca="1">IF(ROWS($1:48)&gt;COUNT(Dong11),0,IF(MID(OFFSET(TH!D$1,SMALL(Dong11,ROWS($1:48)),),4,1)="N",OFFSET(TH!I$1,SMALL(Dong11,ROWS($1:48)),),0))</f>
        <v>0</v>
      </c>
      <c r="H61" s="359">
        <f t="shared" ca="1" si="11"/>
        <v>0</v>
      </c>
      <c r="I61" s="358">
        <f ca="1">IF(ROWS($1:48)&gt;COUNT(Dong11),0,IF(MID(OFFSET(TH!D$1,SMALL(Dong11,ROWS($1:48)),),4,1)="X",OFFSET(TH!I$1,SMALL(Dong11,ROWS($1:48)),),0))</f>
        <v>2</v>
      </c>
      <c r="J61" s="359">
        <f t="shared" ca="1" si="12"/>
        <v>8898</v>
      </c>
      <c r="K61" s="359">
        <f t="shared" ca="1" si="13"/>
        <v>153</v>
      </c>
      <c r="L61" s="359">
        <f t="shared" ca="1" si="14"/>
        <v>680697</v>
      </c>
      <c r="M61" s="359"/>
      <c r="N61" s="349"/>
    </row>
    <row r="62" spans="1:14">
      <c r="A62" s="320">
        <f t="shared" ca="1" si="10"/>
        <v>49</v>
      </c>
      <c r="B62" s="355" t="str">
        <f ca="1">IF(ROWS($1:49)&gt;COUNT(Dong11),"",OFFSET(TH!D$1,SMALL(Dong11,ROWS($1:49)),))</f>
        <v>NL/X22</v>
      </c>
      <c r="C62" s="356">
        <f ca="1">IF(ROWS($1:49)&gt;COUNT(Dong11),"",OFFSET(TH!E$1,SMALL(Dong11,ROWS($1:49)),))</f>
        <v>40807</v>
      </c>
      <c r="D62" s="357" t="str">
        <f ca="1">IF(ROWS($1:49)&gt;COUNT(Dong11),"",OFFSET(TH!H$1,SMALL(Dong11,ROWS($1:49)),))</f>
        <v>Bộ phận SX</v>
      </c>
      <c r="E62" s="355" t="str">
        <f ca="1">IF(ROWS($1:49)&gt;COUNT(Dong11),"",IF(OFFSET(TH!L$1,SMALL(Dong11,ROWS($1:49)),)=$G$7,OFFSET(TH!M$1,SMALL(Dong11,ROWS($1:49)),),OFFSET(TH!L$1,SMALL(Dong11,ROWS($1:49)),)))</f>
        <v>154</v>
      </c>
      <c r="F62" s="358">
        <f ca="1">IF(ROWS($1:49)&gt;COUNT(Dong11),0,OFFSET(TH!J$1,SMALL(Dong11,ROWS($1:49)),))</f>
        <v>4449</v>
      </c>
      <c r="G62" s="358">
        <f ca="1">IF(ROWS($1:49)&gt;COUNT(Dong11),0,IF(MID(OFFSET(TH!D$1,SMALL(Dong11,ROWS($1:49)),),4,1)="N",OFFSET(TH!I$1,SMALL(Dong11,ROWS($1:49)),),0))</f>
        <v>0</v>
      </c>
      <c r="H62" s="359">
        <f t="shared" ca="1" si="11"/>
        <v>0</v>
      </c>
      <c r="I62" s="358">
        <f ca="1">IF(ROWS($1:49)&gt;COUNT(Dong11),0,IF(MID(OFFSET(TH!D$1,SMALL(Dong11,ROWS($1:49)),),4,1)="X",OFFSET(TH!I$1,SMALL(Dong11,ROWS($1:49)),),0))</f>
        <v>1</v>
      </c>
      <c r="J62" s="359">
        <f t="shared" ca="1" si="12"/>
        <v>4449</v>
      </c>
      <c r="K62" s="359">
        <f t="shared" ca="1" si="13"/>
        <v>152</v>
      </c>
      <c r="L62" s="359">
        <f t="shared" ca="1" si="14"/>
        <v>676248</v>
      </c>
      <c r="M62" s="359"/>
      <c r="N62" s="349"/>
    </row>
    <row r="63" spans="1:14">
      <c r="A63" s="320">
        <f t="shared" ref="A63:A72" ca="1" si="15">IF(B63="","",A62+1)</f>
        <v>50</v>
      </c>
      <c r="B63" s="355" t="str">
        <f ca="1">IF(ROWS($1:50)&gt;COUNT(Dong11),"",OFFSET(TH!D$1,SMALL(Dong11,ROWS($1:50)),))</f>
        <v>NL/X22</v>
      </c>
      <c r="C63" s="356">
        <f ca="1">IF(ROWS($1:50)&gt;COUNT(Dong11),"",OFFSET(TH!E$1,SMALL(Dong11,ROWS($1:50)),))</f>
        <v>40807</v>
      </c>
      <c r="D63" s="357" t="str">
        <f ca="1">IF(ROWS($1:50)&gt;COUNT(Dong11),"",OFFSET(TH!H$1,SMALL(Dong11,ROWS($1:50)),))</f>
        <v>Bộ phận SX</v>
      </c>
      <c r="E63" s="355" t="str">
        <f ca="1">IF(ROWS($1:50)&gt;COUNT(Dong11),"",IF(OFFSET(TH!L$1,SMALL(Dong11,ROWS($1:50)),)=$G$7,OFFSET(TH!M$1,SMALL(Dong11,ROWS($1:50)),),OFFSET(TH!L$1,SMALL(Dong11,ROWS($1:50)),)))</f>
        <v>154</v>
      </c>
      <c r="F63" s="358">
        <f ca="1">IF(ROWS($1:50)&gt;COUNT(Dong11),0,OFFSET(TH!J$1,SMALL(Dong11,ROWS($1:50)),))</f>
        <v>4449</v>
      </c>
      <c r="G63" s="358">
        <f ca="1">IF(ROWS($1:50)&gt;COUNT(Dong11),0,IF(MID(OFFSET(TH!D$1,SMALL(Dong11,ROWS($1:50)),),4,1)="N",OFFSET(TH!I$1,SMALL(Dong11,ROWS($1:50)),),0))</f>
        <v>0</v>
      </c>
      <c r="H63" s="359">
        <f t="shared" ref="H63:H72" ca="1" si="16">ROUND(F63*G63,0)</f>
        <v>0</v>
      </c>
      <c r="I63" s="358">
        <f ca="1">IF(ROWS($1:50)&gt;COUNT(Dong11),0,IF(MID(OFFSET(TH!D$1,SMALL(Dong11,ROWS($1:50)),),4,1)="X",OFFSET(TH!I$1,SMALL(Dong11,ROWS($1:50)),),0))</f>
        <v>5</v>
      </c>
      <c r="J63" s="359">
        <f t="shared" ref="J63:J72" ca="1" si="17">ROUND(F63*I63,0)</f>
        <v>22245</v>
      </c>
      <c r="K63" s="359">
        <f t="shared" ref="K63:K72" ca="1" si="18">IF(D63&lt;&gt;"",K62+G63-I63,0)</f>
        <v>147</v>
      </c>
      <c r="L63" s="359">
        <f t="shared" ref="L63:L72" ca="1" si="19">IF(D63&lt;&gt;"",L62+H63-J63,0)</f>
        <v>654003</v>
      </c>
      <c r="M63" s="359"/>
      <c r="N63" s="349"/>
    </row>
    <row r="64" spans="1:14">
      <c r="A64" s="320">
        <f t="shared" ca="1" si="15"/>
        <v>51</v>
      </c>
      <c r="B64" s="355" t="str">
        <f ca="1">IF(ROWS($1:51)&gt;COUNT(Dong11),"",OFFSET(TH!D$1,SMALL(Dong11,ROWS($1:51)),))</f>
        <v>NL/X11</v>
      </c>
      <c r="C64" s="356">
        <f ca="1">IF(ROWS($1:51)&gt;COUNT(Dong11),"",OFFSET(TH!E$1,SMALL(Dong11,ROWS($1:51)),))</f>
        <v>40856</v>
      </c>
      <c r="D64" s="357" t="str">
        <f ca="1">IF(ROWS($1:51)&gt;COUNT(Dong11),"",OFFSET(TH!H$1,SMALL(Dong11,ROWS($1:51)),))</f>
        <v>Bộ phận SX</v>
      </c>
      <c r="E64" s="355" t="str">
        <f ca="1">IF(ROWS($1:51)&gt;COUNT(Dong11),"",IF(OFFSET(TH!L$1,SMALL(Dong11,ROWS($1:51)),)=$G$7,OFFSET(TH!M$1,SMALL(Dong11,ROWS($1:51)),),OFFSET(TH!L$1,SMALL(Dong11,ROWS($1:51)),)))</f>
        <v>154</v>
      </c>
      <c r="F64" s="358">
        <f ca="1">IF(ROWS($1:51)&gt;COUNT(Dong11),0,OFFSET(TH!J$1,SMALL(Dong11,ROWS($1:51)),))</f>
        <v>4449</v>
      </c>
      <c r="G64" s="358">
        <f ca="1">IF(ROWS($1:51)&gt;COUNT(Dong11),0,IF(MID(OFFSET(TH!D$1,SMALL(Dong11,ROWS($1:51)),),4,1)="N",OFFSET(TH!I$1,SMALL(Dong11,ROWS($1:51)),),0))</f>
        <v>0</v>
      </c>
      <c r="H64" s="359">
        <f t="shared" ca="1" si="16"/>
        <v>0</v>
      </c>
      <c r="I64" s="358">
        <f ca="1">IF(ROWS($1:51)&gt;COUNT(Dong11),0,IF(MID(OFFSET(TH!D$1,SMALL(Dong11,ROWS($1:51)),),4,1)="X",OFFSET(TH!I$1,SMALL(Dong11,ROWS($1:51)),),0))</f>
        <v>1</v>
      </c>
      <c r="J64" s="359">
        <f t="shared" ca="1" si="17"/>
        <v>4449</v>
      </c>
      <c r="K64" s="359">
        <f t="shared" ca="1" si="18"/>
        <v>146</v>
      </c>
      <c r="L64" s="359">
        <f t="shared" ca="1" si="19"/>
        <v>649554</v>
      </c>
      <c r="M64" s="359"/>
      <c r="N64" s="349"/>
    </row>
    <row r="65" spans="1:14">
      <c r="A65" s="320">
        <f t="shared" ca="1" si="15"/>
        <v>52</v>
      </c>
      <c r="B65" s="355" t="str">
        <f ca="1">IF(ROWS($1:52)&gt;COUNT(Dong11),"",OFFSET(TH!D$1,SMALL(Dong11,ROWS($1:52)),))</f>
        <v>NL/X13</v>
      </c>
      <c r="C65" s="356">
        <f ca="1">IF(ROWS($1:52)&gt;COUNT(Dong11),"",OFFSET(TH!E$1,SMALL(Dong11,ROWS($1:52)),))</f>
        <v>40860</v>
      </c>
      <c r="D65" s="357" t="str">
        <f ca="1">IF(ROWS($1:52)&gt;COUNT(Dong11),"",OFFSET(TH!H$1,SMALL(Dong11,ROWS($1:52)),))</f>
        <v>Bộ phận SX</v>
      </c>
      <c r="E65" s="355" t="str">
        <f ca="1">IF(ROWS($1:52)&gt;COUNT(Dong11),"",IF(OFFSET(TH!L$1,SMALL(Dong11,ROWS($1:52)),)=$G$7,OFFSET(TH!M$1,SMALL(Dong11,ROWS($1:52)),),OFFSET(TH!L$1,SMALL(Dong11,ROWS($1:52)),)))</f>
        <v>154</v>
      </c>
      <c r="F65" s="358">
        <f ca="1">IF(ROWS($1:52)&gt;COUNT(Dong11),0,OFFSET(TH!J$1,SMALL(Dong11,ROWS($1:52)),))</f>
        <v>4449</v>
      </c>
      <c r="G65" s="358">
        <f ca="1">IF(ROWS($1:52)&gt;COUNT(Dong11),0,IF(MID(OFFSET(TH!D$1,SMALL(Dong11,ROWS($1:52)),),4,1)="N",OFFSET(TH!I$1,SMALL(Dong11,ROWS($1:52)),),0))</f>
        <v>0</v>
      </c>
      <c r="H65" s="359">
        <f t="shared" ca="1" si="16"/>
        <v>0</v>
      </c>
      <c r="I65" s="358">
        <f ca="1">IF(ROWS($1:52)&gt;COUNT(Dong11),0,IF(MID(OFFSET(TH!D$1,SMALL(Dong11,ROWS($1:52)),),4,1)="X",OFFSET(TH!I$1,SMALL(Dong11,ROWS($1:52)),),0))</f>
        <v>1</v>
      </c>
      <c r="J65" s="359">
        <f t="shared" ca="1" si="17"/>
        <v>4449</v>
      </c>
      <c r="K65" s="359">
        <f t="shared" ca="1" si="18"/>
        <v>145</v>
      </c>
      <c r="L65" s="359">
        <f t="shared" ca="1" si="19"/>
        <v>645105</v>
      </c>
      <c r="M65" s="359"/>
      <c r="N65" s="349"/>
    </row>
    <row r="66" spans="1:14">
      <c r="A66" s="320">
        <f t="shared" ca="1" si="15"/>
        <v>53</v>
      </c>
      <c r="B66" s="355" t="str">
        <f ca="1">IF(ROWS($1:53)&gt;COUNT(Dong11),"",OFFSET(TH!D$1,SMALL(Dong11,ROWS($1:53)),))</f>
        <v>NL/X13</v>
      </c>
      <c r="C66" s="356">
        <f ca="1">IF(ROWS($1:53)&gt;COUNT(Dong11),"",OFFSET(TH!E$1,SMALL(Dong11,ROWS($1:53)),))</f>
        <v>40860</v>
      </c>
      <c r="D66" s="357" t="str">
        <f ca="1">IF(ROWS($1:53)&gt;COUNT(Dong11),"",OFFSET(TH!H$1,SMALL(Dong11,ROWS($1:53)),))</f>
        <v>Bộ phận SX</v>
      </c>
      <c r="E66" s="355" t="str">
        <f ca="1">IF(ROWS($1:53)&gt;COUNT(Dong11),"",IF(OFFSET(TH!L$1,SMALL(Dong11,ROWS($1:53)),)=$G$7,OFFSET(TH!M$1,SMALL(Dong11,ROWS($1:53)),),OFFSET(TH!L$1,SMALL(Dong11,ROWS($1:53)),)))</f>
        <v>154</v>
      </c>
      <c r="F66" s="358">
        <f ca="1">IF(ROWS($1:53)&gt;COUNT(Dong11),0,OFFSET(TH!J$1,SMALL(Dong11,ROWS($1:53)),))</f>
        <v>4449</v>
      </c>
      <c r="G66" s="358">
        <f ca="1">IF(ROWS($1:53)&gt;COUNT(Dong11),0,IF(MID(OFFSET(TH!D$1,SMALL(Dong11,ROWS($1:53)),),4,1)="N",OFFSET(TH!I$1,SMALL(Dong11,ROWS($1:53)),),0))</f>
        <v>0</v>
      </c>
      <c r="H66" s="359">
        <f t="shared" ca="1" si="16"/>
        <v>0</v>
      </c>
      <c r="I66" s="358">
        <f ca="1">IF(ROWS($1:53)&gt;COUNT(Dong11),0,IF(MID(OFFSET(TH!D$1,SMALL(Dong11,ROWS($1:53)),),4,1)="X",OFFSET(TH!I$1,SMALL(Dong11,ROWS($1:53)),),0))</f>
        <v>4</v>
      </c>
      <c r="J66" s="359">
        <f t="shared" ca="1" si="17"/>
        <v>17796</v>
      </c>
      <c r="K66" s="359">
        <f t="shared" ca="1" si="18"/>
        <v>141</v>
      </c>
      <c r="L66" s="359">
        <f t="shared" ca="1" si="19"/>
        <v>627309</v>
      </c>
      <c r="M66" s="359"/>
      <c r="N66" s="349"/>
    </row>
    <row r="67" spans="1:14">
      <c r="A67" s="320">
        <f t="shared" ca="1" si="15"/>
        <v>54</v>
      </c>
      <c r="B67" s="355" t="str">
        <f ca="1">IF(ROWS($1:54)&gt;COUNT(Dong11),"",OFFSET(TH!D$1,SMALL(Dong11,ROWS($1:54)),))</f>
        <v>NL/X13</v>
      </c>
      <c r="C67" s="356">
        <f ca="1">IF(ROWS($1:54)&gt;COUNT(Dong11),"",OFFSET(TH!E$1,SMALL(Dong11,ROWS($1:54)),))</f>
        <v>40860</v>
      </c>
      <c r="D67" s="357" t="str">
        <f ca="1">IF(ROWS($1:54)&gt;COUNT(Dong11),"",OFFSET(TH!H$1,SMALL(Dong11,ROWS($1:54)),))</f>
        <v>Bộ phận SX</v>
      </c>
      <c r="E67" s="355" t="str">
        <f ca="1">IF(ROWS($1:54)&gt;COUNT(Dong11),"",IF(OFFSET(TH!L$1,SMALL(Dong11,ROWS($1:54)),)=$G$7,OFFSET(TH!M$1,SMALL(Dong11,ROWS($1:54)),),OFFSET(TH!L$1,SMALL(Dong11,ROWS($1:54)),)))</f>
        <v>154</v>
      </c>
      <c r="F67" s="358">
        <f ca="1">IF(ROWS($1:54)&gt;COUNT(Dong11),0,OFFSET(TH!J$1,SMALL(Dong11,ROWS($1:54)),))</f>
        <v>4449</v>
      </c>
      <c r="G67" s="358">
        <f ca="1">IF(ROWS($1:54)&gt;COUNT(Dong11),0,IF(MID(OFFSET(TH!D$1,SMALL(Dong11,ROWS($1:54)),),4,1)="N",OFFSET(TH!I$1,SMALL(Dong11,ROWS($1:54)),),0))</f>
        <v>0</v>
      </c>
      <c r="H67" s="359">
        <f t="shared" ca="1" si="16"/>
        <v>0</v>
      </c>
      <c r="I67" s="358">
        <f ca="1">IF(ROWS($1:54)&gt;COUNT(Dong11),0,IF(MID(OFFSET(TH!D$1,SMALL(Dong11,ROWS($1:54)),),4,1)="X",OFFSET(TH!I$1,SMALL(Dong11,ROWS($1:54)),),0))</f>
        <v>2</v>
      </c>
      <c r="J67" s="359">
        <f t="shared" ca="1" si="17"/>
        <v>8898</v>
      </c>
      <c r="K67" s="359">
        <f t="shared" ca="1" si="18"/>
        <v>139</v>
      </c>
      <c r="L67" s="359">
        <f t="shared" ca="1" si="19"/>
        <v>618411</v>
      </c>
      <c r="M67" s="359"/>
      <c r="N67" s="349"/>
    </row>
    <row r="68" spans="1:14">
      <c r="A68" s="320">
        <f t="shared" ca="1" si="15"/>
        <v>55</v>
      </c>
      <c r="B68" s="355" t="str">
        <f ca="1">IF(ROWS($1:55)&gt;COUNT(Dong11),"",OFFSET(TH!D$1,SMALL(Dong11,ROWS($1:55)),))</f>
        <v>NL/X15</v>
      </c>
      <c r="C68" s="356">
        <f ca="1">IF(ROWS($1:55)&gt;COUNT(Dong11),"",OFFSET(TH!E$1,SMALL(Dong11,ROWS($1:55)),))</f>
        <v>40862</v>
      </c>
      <c r="D68" s="357" t="str">
        <f ca="1">IF(ROWS($1:55)&gt;COUNT(Dong11),"",OFFSET(TH!H$1,SMALL(Dong11,ROWS($1:55)),))</f>
        <v>Bộ phận SX</v>
      </c>
      <c r="E68" s="355" t="str">
        <f ca="1">IF(ROWS($1:55)&gt;COUNT(Dong11),"",IF(OFFSET(TH!L$1,SMALL(Dong11,ROWS($1:55)),)=$G$7,OFFSET(TH!M$1,SMALL(Dong11,ROWS($1:55)),),OFFSET(TH!L$1,SMALL(Dong11,ROWS($1:55)),)))</f>
        <v>154</v>
      </c>
      <c r="F68" s="358">
        <f ca="1">IF(ROWS($1:55)&gt;COUNT(Dong11),0,OFFSET(TH!J$1,SMALL(Dong11,ROWS($1:55)),))</f>
        <v>4449</v>
      </c>
      <c r="G68" s="358">
        <f ca="1">IF(ROWS($1:55)&gt;COUNT(Dong11),0,IF(MID(OFFSET(TH!D$1,SMALL(Dong11,ROWS($1:55)),),4,1)="N",OFFSET(TH!I$1,SMALL(Dong11,ROWS($1:55)),),0))</f>
        <v>0</v>
      </c>
      <c r="H68" s="359">
        <f t="shared" ca="1" si="16"/>
        <v>0</v>
      </c>
      <c r="I68" s="358">
        <f ca="1">IF(ROWS($1:55)&gt;COUNT(Dong11),0,IF(MID(OFFSET(TH!D$1,SMALL(Dong11,ROWS($1:55)),),4,1)="X",OFFSET(TH!I$1,SMALL(Dong11,ROWS($1:55)),),0))</f>
        <v>4</v>
      </c>
      <c r="J68" s="359">
        <f t="shared" ca="1" si="17"/>
        <v>17796</v>
      </c>
      <c r="K68" s="359">
        <f t="shared" ca="1" si="18"/>
        <v>135</v>
      </c>
      <c r="L68" s="359">
        <f t="shared" ca="1" si="19"/>
        <v>600615</v>
      </c>
      <c r="M68" s="359"/>
      <c r="N68" s="349"/>
    </row>
    <row r="69" spans="1:14">
      <c r="A69" s="320">
        <f t="shared" ca="1" si="15"/>
        <v>56</v>
      </c>
      <c r="B69" s="355" t="str">
        <f ca="1">IF(ROWS($1:56)&gt;COUNT(Dong11),"",OFFSET(TH!D$1,SMALL(Dong11,ROWS($1:56)),))</f>
        <v>NL/X16</v>
      </c>
      <c r="C69" s="356">
        <f ca="1">IF(ROWS($1:56)&gt;COUNT(Dong11),"",OFFSET(TH!E$1,SMALL(Dong11,ROWS($1:56)),))</f>
        <v>40863</v>
      </c>
      <c r="D69" s="357" t="str">
        <f ca="1">IF(ROWS($1:56)&gt;COUNT(Dong11),"",OFFSET(TH!H$1,SMALL(Dong11,ROWS($1:56)),))</f>
        <v>Bộ phận SX</v>
      </c>
      <c r="E69" s="355" t="str">
        <f ca="1">IF(ROWS($1:56)&gt;COUNT(Dong11),"",IF(OFFSET(TH!L$1,SMALL(Dong11,ROWS($1:56)),)=$G$7,OFFSET(TH!M$1,SMALL(Dong11,ROWS($1:56)),),OFFSET(TH!L$1,SMALL(Dong11,ROWS($1:56)),)))</f>
        <v>154</v>
      </c>
      <c r="F69" s="358">
        <f ca="1">IF(ROWS($1:56)&gt;COUNT(Dong11),0,OFFSET(TH!J$1,SMALL(Dong11,ROWS($1:56)),))</f>
        <v>4449</v>
      </c>
      <c r="G69" s="358">
        <f ca="1">IF(ROWS($1:56)&gt;COUNT(Dong11),0,IF(MID(OFFSET(TH!D$1,SMALL(Dong11,ROWS($1:56)),),4,1)="N",OFFSET(TH!I$1,SMALL(Dong11,ROWS($1:56)),),0))</f>
        <v>0</v>
      </c>
      <c r="H69" s="359">
        <f t="shared" ca="1" si="16"/>
        <v>0</v>
      </c>
      <c r="I69" s="358">
        <f ca="1">IF(ROWS($1:56)&gt;COUNT(Dong11),0,IF(MID(OFFSET(TH!D$1,SMALL(Dong11,ROWS($1:56)),),4,1)="X",OFFSET(TH!I$1,SMALL(Dong11,ROWS($1:56)),),0))</f>
        <v>8</v>
      </c>
      <c r="J69" s="359">
        <f t="shared" ca="1" si="17"/>
        <v>35592</v>
      </c>
      <c r="K69" s="359">
        <f t="shared" ca="1" si="18"/>
        <v>127</v>
      </c>
      <c r="L69" s="359">
        <f t="shared" ca="1" si="19"/>
        <v>565023</v>
      </c>
      <c r="M69" s="359"/>
      <c r="N69" s="349"/>
    </row>
    <row r="70" spans="1:14">
      <c r="A70" s="320">
        <f t="shared" ca="1" si="15"/>
        <v>57</v>
      </c>
      <c r="B70" s="355" t="str">
        <f ca="1">IF(ROWS($1:57)&gt;COUNT(Dong11),"",OFFSET(TH!D$1,SMALL(Dong11,ROWS($1:57)),))</f>
        <v>NL/X16</v>
      </c>
      <c r="C70" s="356">
        <f ca="1">IF(ROWS($1:57)&gt;COUNT(Dong11),"",OFFSET(TH!E$1,SMALL(Dong11,ROWS($1:57)),))</f>
        <v>40863</v>
      </c>
      <c r="D70" s="357" t="str">
        <f ca="1">IF(ROWS($1:57)&gt;COUNT(Dong11),"",OFFSET(TH!H$1,SMALL(Dong11,ROWS($1:57)),))</f>
        <v>Bộ phận SX</v>
      </c>
      <c r="E70" s="355" t="str">
        <f ca="1">IF(ROWS($1:57)&gt;COUNT(Dong11),"",IF(OFFSET(TH!L$1,SMALL(Dong11,ROWS($1:57)),)=$G$7,OFFSET(TH!M$1,SMALL(Dong11,ROWS($1:57)),),OFFSET(TH!L$1,SMALL(Dong11,ROWS($1:57)),)))</f>
        <v>154</v>
      </c>
      <c r="F70" s="358">
        <f ca="1">IF(ROWS($1:57)&gt;COUNT(Dong11),0,OFFSET(TH!J$1,SMALL(Dong11,ROWS($1:57)),))</f>
        <v>4449</v>
      </c>
      <c r="G70" s="358">
        <f ca="1">IF(ROWS($1:57)&gt;COUNT(Dong11),0,IF(MID(OFFSET(TH!D$1,SMALL(Dong11,ROWS($1:57)),),4,1)="N",OFFSET(TH!I$1,SMALL(Dong11,ROWS($1:57)),),0))</f>
        <v>0</v>
      </c>
      <c r="H70" s="359">
        <f t="shared" ca="1" si="16"/>
        <v>0</v>
      </c>
      <c r="I70" s="358">
        <f ca="1">IF(ROWS($1:57)&gt;COUNT(Dong11),0,IF(MID(OFFSET(TH!D$1,SMALL(Dong11,ROWS($1:57)),),4,1)="X",OFFSET(TH!I$1,SMALL(Dong11,ROWS($1:57)),),0))</f>
        <v>3</v>
      </c>
      <c r="J70" s="359">
        <f t="shared" ca="1" si="17"/>
        <v>13347</v>
      </c>
      <c r="K70" s="359">
        <f t="shared" ca="1" si="18"/>
        <v>124</v>
      </c>
      <c r="L70" s="359">
        <f t="shared" ca="1" si="19"/>
        <v>551676</v>
      </c>
      <c r="M70" s="359"/>
      <c r="N70" s="349"/>
    </row>
    <row r="71" spans="1:14">
      <c r="A71" s="320">
        <f t="shared" ca="1" si="15"/>
        <v>58</v>
      </c>
      <c r="B71" s="355" t="str">
        <f ca="1">IF(ROWS($1:58)&gt;COUNT(Dong11),"",OFFSET(TH!D$1,SMALL(Dong11,ROWS($1:58)),))</f>
        <v>NL/X16</v>
      </c>
      <c r="C71" s="356">
        <f ca="1">IF(ROWS($1:58)&gt;COUNT(Dong11),"",OFFSET(TH!E$1,SMALL(Dong11,ROWS($1:58)),))</f>
        <v>40863</v>
      </c>
      <c r="D71" s="357" t="str">
        <f ca="1">IF(ROWS($1:58)&gt;COUNT(Dong11),"",OFFSET(TH!H$1,SMALL(Dong11,ROWS($1:58)),))</f>
        <v>Bộ phận SX</v>
      </c>
      <c r="E71" s="355" t="str">
        <f ca="1">IF(ROWS($1:58)&gt;COUNT(Dong11),"",IF(OFFSET(TH!L$1,SMALL(Dong11,ROWS($1:58)),)=$G$7,OFFSET(TH!M$1,SMALL(Dong11,ROWS($1:58)),),OFFSET(TH!L$1,SMALL(Dong11,ROWS($1:58)),)))</f>
        <v>154</v>
      </c>
      <c r="F71" s="358">
        <f ca="1">IF(ROWS($1:58)&gt;COUNT(Dong11),0,OFFSET(TH!J$1,SMALL(Dong11,ROWS($1:58)),))</f>
        <v>4449</v>
      </c>
      <c r="G71" s="358">
        <f ca="1">IF(ROWS($1:58)&gt;COUNT(Dong11),0,IF(MID(OFFSET(TH!D$1,SMALL(Dong11,ROWS($1:58)),),4,1)="N",OFFSET(TH!I$1,SMALL(Dong11,ROWS($1:58)),),0))</f>
        <v>0</v>
      </c>
      <c r="H71" s="359">
        <f t="shared" ca="1" si="16"/>
        <v>0</v>
      </c>
      <c r="I71" s="358">
        <f ca="1">IF(ROWS($1:58)&gt;COUNT(Dong11),0,IF(MID(OFFSET(TH!D$1,SMALL(Dong11,ROWS($1:58)),),4,1)="X",OFFSET(TH!I$1,SMALL(Dong11,ROWS($1:58)),),0))</f>
        <v>6</v>
      </c>
      <c r="J71" s="359">
        <f t="shared" ca="1" si="17"/>
        <v>26694</v>
      </c>
      <c r="K71" s="359">
        <f t="shared" ca="1" si="18"/>
        <v>118</v>
      </c>
      <c r="L71" s="359">
        <f t="shared" ca="1" si="19"/>
        <v>524982</v>
      </c>
      <c r="M71" s="359"/>
      <c r="N71" s="349"/>
    </row>
    <row r="72" spans="1:14">
      <c r="A72" s="320">
        <f t="shared" ca="1" si="15"/>
        <v>59</v>
      </c>
      <c r="B72" s="355" t="str">
        <f ca="1">IF(ROWS($1:59)&gt;COUNT(Dong11),"",OFFSET(TH!D$1,SMALL(Dong11,ROWS($1:59)),))</f>
        <v>NL/X16</v>
      </c>
      <c r="C72" s="356">
        <f ca="1">IF(ROWS($1:59)&gt;COUNT(Dong11),"",OFFSET(TH!E$1,SMALL(Dong11,ROWS($1:59)),))</f>
        <v>40863</v>
      </c>
      <c r="D72" s="357" t="str">
        <f ca="1">IF(ROWS($1:59)&gt;COUNT(Dong11),"",OFFSET(TH!H$1,SMALL(Dong11,ROWS($1:59)),))</f>
        <v>Bộ phận SX</v>
      </c>
      <c r="E72" s="355" t="str">
        <f ca="1">IF(ROWS($1:59)&gt;COUNT(Dong11),"",IF(OFFSET(TH!L$1,SMALL(Dong11,ROWS($1:59)),)=$G$7,OFFSET(TH!M$1,SMALL(Dong11,ROWS($1:59)),),OFFSET(TH!L$1,SMALL(Dong11,ROWS($1:59)),)))</f>
        <v>154</v>
      </c>
      <c r="F72" s="358">
        <f ca="1">IF(ROWS($1:59)&gt;COUNT(Dong11),0,OFFSET(TH!J$1,SMALL(Dong11,ROWS($1:59)),))</f>
        <v>4449</v>
      </c>
      <c r="G72" s="358">
        <f ca="1">IF(ROWS($1:59)&gt;COUNT(Dong11),0,IF(MID(OFFSET(TH!D$1,SMALL(Dong11,ROWS($1:59)),),4,1)="N",OFFSET(TH!I$1,SMALL(Dong11,ROWS($1:59)),),0))</f>
        <v>0</v>
      </c>
      <c r="H72" s="359">
        <f t="shared" ca="1" si="16"/>
        <v>0</v>
      </c>
      <c r="I72" s="358">
        <f ca="1">IF(ROWS($1:59)&gt;COUNT(Dong11),0,IF(MID(OFFSET(TH!D$1,SMALL(Dong11,ROWS($1:59)),),4,1)="X",OFFSET(TH!I$1,SMALL(Dong11,ROWS($1:59)),),0))</f>
        <v>7</v>
      </c>
      <c r="J72" s="359">
        <f t="shared" ca="1" si="17"/>
        <v>31143</v>
      </c>
      <c r="K72" s="359">
        <f t="shared" ca="1" si="18"/>
        <v>111</v>
      </c>
      <c r="L72" s="359">
        <f t="shared" ca="1" si="19"/>
        <v>493839</v>
      </c>
      <c r="M72" s="359"/>
      <c r="N72" s="349"/>
    </row>
    <row r="73" spans="1:14">
      <c r="A73" s="320" t="str">
        <f>IF(B73="","",#REF!+1)</f>
        <v/>
      </c>
      <c r="B73" s="362"/>
      <c r="C73" s="363"/>
      <c r="D73" s="357"/>
      <c r="E73" s="364"/>
      <c r="F73" s="365"/>
      <c r="G73" s="351"/>
      <c r="H73" s="351"/>
      <c r="I73" s="351"/>
      <c r="J73" s="351"/>
      <c r="K73" s="351"/>
      <c r="L73" s="351"/>
      <c r="M73" s="366"/>
      <c r="N73" s="349"/>
    </row>
    <row r="74" spans="1:14">
      <c r="A74" s="367"/>
      <c r="B74" s="367"/>
      <c r="C74" s="367"/>
      <c r="D74" s="367" t="s">
        <v>217</v>
      </c>
      <c r="E74" s="347" t="s">
        <v>18</v>
      </c>
      <c r="F74" s="347" t="s">
        <v>18</v>
      </c>
      <c r="G74" s="368">
        <f ca="1">SUM(G14:G73)</f>
        <v>2500</v>
      </c>
      <c r="H74" s="368">
        <f ca="1">SUM(H14:H73)</f>
        <v>11122500</v>
      </c>
      <c r="I74" s="368">
        <f ca="1">SUM(I14:I73)</f>
        <v>2389</v>
      </c>
      <c r="J74" s="368">
        <f ca="1">SUM(J14:J73)</f>
        <v>10628661</v>
      </c>
      <c r="K74" s="368">
        <f ca="1">K13+G74-I74</f>
        <v>111</v>
      </c>
      <c r="L74" s="368">
        <f ca="1">L13+H74-J74</f>
        <v>493839</v>
      </c>
      <c r="M74" s="367"/>
      <c r="N74" s="349"/>
    </row>
    <row r="75" spans="1:14">
      <c r="B75" s="369" t="s">
        <v>218</v>
      </c>
      <c r="G75" s="361"/>
      <c r="N75" s="349"/>
    </row>
    <row r="76" spans="1:14">
      <c r="B76" s="37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G76" s="361"/>
      <c r="I76" s="361"/>
      <c r="N76" s="349"/>
    </row>
    <row r="77" spans="1:14">
      <c r="B77" s="336"/>
      <c r="C77" s="336"/>
      <c r="D77" s="336"/>
      <c r="F77" s="336"/>
      <c r="G77" s="371"/>
      <c r="H77" s="337"/>
      <c r="I77" s="372"/>
      <c r="J77" s="1049" t="str">
        <f ca="1">"Ngày 31 tháng  12  năm  "&amp;YEAR($A$14)</f>
        <v>Ngày 31 tháng  12  năm  1900</v>
      </c>
      <c r="K77" s="1049"/>
      <c r="L77" s="1049"/>
      <c r="M77" s="1049"/>
      <c r="N77" s="349"/>
    </row>
    <row r="78" spans="1:14">
      <c r="C78" s="336"/>
      <c r="D78" s="571" t="s">
        <v>11</v>
      </c>
      <c r="E78" s="1049" t="s">
        <v>12</v>
      </c>
      <c r="F78" s="1049"/>
      <c r="G78" s="1049"/>
      <c r="H78" s="1049"/>
      <c r="I78" s="1049"/>
      <c r="J78" s="1049" t="s">
        <v>101</v>
      </c>
      <c r="K78" s="1049"/>
      <c r="L78" s="1049"/>
      <c r="M78" s="1049"/>
      <c r="N78" s="349"/>
    </row>
    <row r="79" spans="1:14">
      <c r="C79" s="336"/>
      <c r="D79" s="571" t="s">
        <v>13</v>
      </c>
      <c r="E79" s="1049" t="s">
        <v>13</v>
      </c>
      <c r="F79" s="1049"/>
      <c r="G79" s="1049"/>
      <c r="H79" s="1049" t="s">
        <v>128</v>
      </c>
      <c r="I79" s="1049"/>
      <c r="J79" s="1049" t="s">
        <v>128</v>
      </c>
      <c r="K79" s="1049"/>
      <c r="L79" s="1049"/>
      <c r="M79" s="1049"/>
      <c r="N79" s="349"/>
    </row>
    <row r="80" spans="1:14">
      <c r="N80" s="373"/>
    </row>
    <row r="81" spans="4:14">
      <c r="E81" s="324"/>
    </row>
    <row r="83" spans="4:14" customFormat="1" ht="12.75">
      <c r="E83" s="374"/>
    </row>
    <row r="88" spans="4:14">
      <c r="D88" s="599" t="s">
        <v>143</v>
      </c>
      <c r="E88" s="599"/>
      <c r="J88" s="1045" t="s">
        <v>95</v>
      </c>
      <c r="K88" s="1045"/>
      <c r="L88" s="1045"/>
      <c r="M88" s="1045"/>
      <c r="N88" s="600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8" customWidth="1"/>
    <col min="2" max="2" width="9.140625" style="378"/>
    <col min="3" max="3" width="9.140625" style="437" customWidth="1"/>
    <col min="4" max="4" width="10.85546875" style="437" customWidth="1"/>
    <col min="5" max="5" width="39.42578125" style="438" customWidth="1"/>
    <col min="6" max="6" width="10.85546875" style="439" customWidth="1"/>
    <col min="7" max="7" width="9" style="440" customWidth="1"/>
    <col min="8" max="8" width="9.5703125" style="440" customWidth="1"/>
    <col min="9" max="9" width="10" style="440" customWidth="1"/>
    <col min="10" max="10" width="8" style="378" customWidth="1"/>
    <col min="11" max="11" width="2.42578125" style="378" customWidth="1"/>
    <col min="12" max="12" width="6.5703125" style="378" customWidth="1"/>
    <col min="13" max="16384" width="9.140625" style="378"/>
  </cols>
  <sheetData>
    <row r="1" spans="1:12" ht="15" customHeight="1">
      <c r="A1" s="375" t="str">
        <f>TH!A1</f>
        <v>Đơn vị: CÔNG TY TNHH SX TM KIM DUNG PHÁT</v>
      </c>
      <c r="B1" s="376"/>
      <c r="C1" s="376"/>
      <c r="D1" s="376"/>
      <c r="E1" s="377"/>
      <c r="F1" s="1058" t="s">
        <v>219</v>
      </c>
      <c r="G1" s="1058"/>
      <c r="H1" s="1058"/>
      <c r="I1" s="1058"/>
      <c r="J1" s="1058"/>
      <c r="K1" s="379"/>
      <c r="L1" s="380"/>
    </row>
    <row r="2" spans="1:12" ht="15" customHeight="1">
      <c r="A2" s="633" t="str">
        <f>TH!A2</f>
        <v>Địa chỉ: 1A227/1 Ấp 1, Phạm Văn Hai, Bình Chánh, TPHCM</v>
      </c>
      <c r="B2" s="381"/>
      <c r="C2" s="381"/>
      <c r="D2" s="381"/>
      <c r="E2" s="382"/>
      <c r="F2" s="1057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57"/>
      <c r="H2" s="1057"/>
      <c r="I2" s="1057"/>
      <c r="J2" s="1057"/>
      <c r="K2" s="379"/>
    </row>
    <row r="3" spans="1:12" ht="15">
      <c r="A3" s="381"/>
      <c r="B3" s="381"/>
      <c r="C3" s="381"/>
      <c r="D3" s="381"/>
      <c r="E3" s="382"/>
      <c r="F3" s="1057"/>
      <c r="G3" s="1057"/>
      <c r="H3" s="1057"/>
      <c r="I3" s="1057"/>
      <c r="J3" s="1057"/>
      <c r="K3" s="379"/>
    </row>
    <row r="4" spans="1:12" ht="18.75" customHeight="1">
      <c r="A4" s="384"/>
      <c r="B4" s="384"/>
      <c r="C4" s="384"/>
      <c r="D4" s="384"/>
      <c r="E4" s="385" t="s">
        <v>220</v>
      </c>
      <c r="F4" s="384"/>
      <c r="G4" s="384"/>
      <c r="H4" s="384"/>
      <c r="I4" s="384"/>
      <c r="J4" s="379"/>
      <c r="K4" s="379"/>
    </row>
    <row r="5" spans="1:12" ht="15">
      <c r="A5" s="386"/>
      <c r="B5" s="386"/>
      <c r="C5" s="386"/>
      <c r="D5" s="386"/>
      <c r="E5" s="387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386"/>
      <c r="G5" s="386"/>
      <c r="H5" s="386"/>
      <c r="I5" s="386"/>
      <c r="J5" s="379"/>
      <c r="K5" s="379"/>
    </row>
    <row r="6" spans="1:12" ht="15">
      <c r="A6" s="386"/>
      <c r="B6" s="386"/>
      <c r="C6" s="386"/>
      <c r="D6" s="386"/>
      <c r="E6" s="387" t="s">
        <v>221</v>
      </c>
      <c r="F6" s="386"/>
      <c r="G6" s="386"/>
      <c r="H6" s="386"/>
      <c r="I6" s="386"/>
      <c r="J6" s="379"/>
      <c r="K6" s="379"/>
    </row>
    <row r="7" spans="1:12" ht="15">
      <c r="A7" s="370" t="s">
        <v>222</v>
      </c>
      <c r="B7" s="370"/>
      <c r="C7" s="388"/>
      <c r="D7" s="388"/>
      <c r="E7" s="389" t="s">
        <v>388</v>
      </c>
      <c r="F7" s="383"/>
      <c r="G7" s="390"/>
      <c r="H7" s="390"/>
      <c r="I7" s="390"/>
      <c r="J7" s="379"/>
      <c r="K7" s="379"/>
    </row>
    <row r="8" spans="1:12" ht="15">
      <c r="A8" s="370" t="s">
        <v>223</v>
      </c>
      <c r="B8" s="370"/>
      <c r="C8" s="379" t="str">
        <f>VLOOKUP($E$7,NXT!$C$12:$L$485,2,0)</f>
        <v>kg</v>
      </c>
      <c r="D8" s="370"/>
      <c r="E8" s="389"/>
      <c r="F8" s="383"/>
      <c r="G8" s="390"/>
      <c r="H8" s="390"/>
      <c r="I8" s="390"/>
      <c r="J8" s="379"/>
      <c r="K8" s="379"/>
    </row>
    <row r="9" spans="1:12" ht="15">
      <c r="A9" s="1059" t="s">
        <v>224</v>
      </c>
      <c r="B9" s="1060"/>
      <c r="C9" s="1060"/>
      <c r="D9" s="1060"/>
      <c r="E9" s="389"/>
      <c r="F9" s="383"/>
      <c r="G9" s="390"/>
      <c r="H9" s="390"/>
      <c r="I9" s="390"/>
      <c r="J9" s="391"/>
      <c r="K9" s="391"/>
    </row>
    <row r="10" spans="1:12" ht="19.5" customHeight="1">
      <c r="A10" s="1061" t="s">
        <v>225</v>
      </c>
      <c r="B10" s="1062" t="s">
        <v>226</v>
      </c>
      <c r="C10" s="1064" t="s">
        <v>15</v>
      </c>
      <c r="D10" s="1065"/>
      <c r="E10" s="1066" t="s">
        <v>0</v>
      </c>
      <c r="F10" s="1075" t="s">
        <v>227</v>
      </c>
      <c r="G10" s="1069" t="s">
        <v>196</v>
      </c>
      <c r="H10" s="1069"/>
      <c r="I10" s="1065"/>
      <c r="J10" s="1070" t="s">
        <v>228</v>
      </c>
      <c r="K10" s="392"/>
      <c r="L10" s="393" t="s">
        <v>213</v>
      </c>
    </row>
    <row r="11" spans="1:12" ht="19.5" customHeight="1">
      <c r="A11" s="1061"/>
      <c r="B11" s="1063"/>
      <c r="C11" s="394" t="s">
        <v>210</v>
      </c>
      <c r="D11" s="394" t="s">
        <v>211</v>
      </c>
      <c r="E11" s="1067"/>
      <c r="F11" s="1076"/>
      <c r="G11" s="395" t="s">
        <v>210</v>
      </c>
      <c r="H11" s="395" t="s">
        <v>211</v>
      </c>
      <c r="I11" s="395" t="s">
        <v>212</v>
      </c>
      <c r="J11" s="1071"/>
      <c r="K11" s="392"/>
    </row>
    <row r="12" spans="1:12" ht="15">
      <c r="A12" s="396" t="s">
        <v>2</v>
      </c>
      <c r="B12" s="397" t="s">
        <v>3</v>
      </c>
      <c r="C12" s="398" t="s">
        <v>4</v>
      </c>
      <c r="D12" s="398" t="s">
        <v>5</v>
      </c>
      <c r="E12" s="399" t="s">
        <v>6</v>
      </c>
      <c r="F12" s="397" t="s">
        <v>122</v>
      </c>
      <c r="G12" s="400">
        <v>1</v>
      </c>
      <c r="H12" s="400">
        <v>2</v>
      </c>
      <c r="I12" s="400">
        <v>3</v>
      </c>
      <c r="J12" s="398" t="s">
        <v>123</v>
      </c>
      <c r="K12" s="401"/>
    </row>
    <row r="13" spans="1:12" ht="16.5" customHeight="1">
      <c r="A13" s="402"/>
      <c r="B13" s="403"/>
      <c r="C13" s="404"/>
      <c r="D13" s="404"/>
      <c r="E13" s="405" t="s">
        <v>187</v>
      </c>
      <c r="F13" s="403"/>
      <c r="G13" s="406"/>
      <c r="H13" s="406"/>
      <c r="I13" s="407">
        <f>VLOOKUP($E$7,NXT!$C$12:$L$485,3,0)</f>
        <v>0</v>
      </c>
      <c r="J13" s="402"/>
      <c r="K13" s="408"/>
    </row>
    <row r="14" spans="1:12" ht="16.5" customHeight="1">
      <c r="A14" s="409">
        <f ca="1">IF(B14&lt;&gt;"",ROW()-(ROW()-1),"")</f>
        <v>1</v>
      </c>
      <c r="B14" s="410">
        <f ca="1">IF(ROWS($1:1)&gt;COUNT(Dong12),"",OFFSET(TH!E$1,SMALL(Dong12,ROWS($1:1)),))</f>
        <v>40644</v>
      </c>
      <c r="C14" s="474" t="str">
        <f ca="1">IF(ROWS($1:1)&gt;COUNT(Dong12),"",IF(MID(OFFSET(TH!D$1,SMALL(Dong12,ROWS($1:1)),),4,1)="N",OFFSET(TH!D$1,SMALL(Dong12,ROWS($1:1)),),""))</f>
        <v>VL/N01</v>
      </c>
      <c r="D14" s="410" t="str">
        <f ca="1">IF(ROWS($1:1)&gt;COUNT(Dong12),"",IF(MID(OFFSET(TH!D$1,SMALL(Dong12,ROWS($1:1)),),4,1)="X",OFFSET(TH!D$1,SMALL(Dong12,ROWS($1:1)),),""))</f>
        <v/>
      </c>
      <c r="E14" s="679" t="str">
        <f ca="1">IF(ROWS($1:1)&gt;COUNT(Dong12),"",OFFSET(TH!H$1,SMALL(Dong12,ROWS($1:1)),))</f>
        <v>Cơ Sở Kéo Kẽm Thành Dũng</v>
      </c>
      <c r="F14" s="410">
        <f ca="1">B14</f>
        <v>40644</v>
      </c>
      <c r="G14" s="411">
        <f ca="1">IF(ROWS($1:1)&gt;COUNT(Dong12),0,IF(MID(OFFSET(TH!D$1,SMALL(Dong12,ROWS($1:1)),),4,1)="N",OFFSET(TH!I$1,SMALL(Dong12,ROWS($1:1)),),0))</f>
        <v>50</v>
      </c>
      <c r="H14" s="411">
        <f ca="1">IF(ROWS($1:1)&gt;COUNT(Dong12),0,IF(MID(OFFSET(TH!D$1,SMALL(Dong12,ROWS($1:1)),),4,1)="X",OFFSET(TH!I$1,SMALL(Dong12,ROWS($1:1)),),0))</f>
        <v>0</v>
      </c>
      <c r="I14" s="412">
        <f ca="1">IF(E14&lt;&gt;"",I13+G14-H14,0)</f>
        <v>50</v>
      </c>
      <c r="J14" s="413"/>
      <c r="K14" s="414"/>
    </row>
    <row r="15" spans="1:12" ht="16.5" customHeight="1">
      <c r="A15" s="415">
        <f ca="1">IF(B15&lt;&gt;"",A14+1,"")</f>
        <v>2</v>
      </c>
      <c r="B15" s="410">
        <f ca="1">IF(ROWS($1:2)&gt;COUNT(Dong12),"",OFFSET(TH!E$1,SMALL(Dong12,ROWS($1:2)),))</f>
        <v>40644</v>
      </c>
      <c r="C15" s="474" t="str">
        <f ca="1">IF(ROWS($1:2)&gt;COUNT(Dong12),"",IF(MID(OFFSET(TH!D$1,SMALL(Dong12,ROWS($1:2)),),4,1)="N",OFFSET(TH!D$1,SMALL(Dong12,ROWS($1:2)),),""))</f>
        <v/>
      </c>
      <c r="D15" s="410" t="str">
        <f ca="1">IF(ROWS($1:2)&gt;COUNT(Dong12),"",IF(MID(OFFSET(TH!D$1,SMALL(Dong12,ROWS($1:2)),),4,1)="X",OFFSET(TH!D$1,SMALL(Dong12,ROWS($1:2)),),""))</f>
        <v>VL/X01</v>
      </c>
      <c r="E15" s="679" t="str">
        <f ca="1">IF(ROWS($1:2)&gt;COUNT(Dong12),"",OFFSET(TH!H$1,SMALL(Dong12,ROWS($1:2)),))</f>
        <v>Bộ phận SX</v>
      </c>
      <c r="F15" s="410">
        <f t="shared" ref="F15:F30" ca="1" si="0">B15</f>
        <v>40644</v>
      </c>
      <c r="G15" s="411">
        <f ca="1">IF(ROWS($1:2)&gt;COUNT(Dong12),0,IF(MID(OFFSET(TH!D$1,SMALL(Dong12,ROWS($1:2)),),4,1)="N",OFFSET(TH!I$1,SMALL(Dong12,ROWS($1:2)),),0))</f>
        <v>0</v>
      </c>
      <c r="H15" s="411">
        <f ca="1">IF(ROWS($1:2)&gt;COUNT(Dong12),0,IF(MID(OFFSET(TH!D$1,SMALL(Dong12,ROWS($1:2)),),4,1)="X",OFFSET(TH!I$1,SMALL(Dong12,ROWS($1:2)),),0))</f>
        <v>50</v>
      </c>
      <c r="I15" s="412">
        <f t="shared" ref="I15:I30" ca="1" si="1">IF(E15&lt;&gt;"",I14+G15-H15,0)</f>
        <v>0</v>
      </c>
      <c r="J15" s="413"/>
      <c r="K15" s="414"/>
    </row>
    <row r="16" spans="1:12" ht="16.5" customHeight="1">
      <c r="A16" s="415">
        <f t="shared" ref="A16:A30" ca="1" si="2">IF(B16&lt;&gt;"",A15+1,"")</f>
        <v>3</v>
      </c>
      <c r="B16" s="410">
        <f ca="1">IF(ROWS($1:3)&gt;COUNT(Dong12),"",OFFSET(TH!E$1,SMALL(Dong12,ROWS($1:3)),))</f>
        <v>40709</v>
      </c>
      <c r="C16" s="474" t="str">
        <f ca="1">IF(ROWS($1:3)&gt;COUNT(Dong12),"",IF(MID(OFFSET(TH!D$1,SMALL(Dong12,ROWS($1:3)),),4,1)="N",OFFSET(TH!D$1,SMALL(Dong12,ROWS($1:3)),),""))</f>
        <v>VL/N04</v>
      </c>
      <c r="D16" s="410" t="str">
        <f ca="1">IF(ROWS($1:3)&gt;COUNT(Dong12),"",IF(MID(OFFSET(TH!D$1,SMALL(Dong12,ROWS($1:3)),),4,1)="X",OFFSET(TH!D$1,SMALL(Dong12,ROWS($1:3)),),""))</f>
        <v/>
      </c>
      <c r="E16" s="679" t="str">
        <f ca="1">IF(ROWS($1:3)&gt;COUNT(Dong12),"",OFFSET(TH!H$1,SMALL(Dong12,ROWS($1:3)),))</f>
        <v>Cơ Sở Kéo Kẽm Thành Dũng</v>
      </c>
      <c r="F16" s="410">
        <f t="shared" ca="1" si="0"/>
        <v>40709</v>
      </c>
      <c r="G16" s="411">
        <f ca="1">IF(ROWS($1:3)&gt;COUNT(Dong12),0,IF(MID(OFFSET(TH!D$1,SMALL(Dong12,ROWS($1:3)),),4,1)="N",OFFSET(TH!I$1,SMALL(Dong12,ROWS($1:3)),),0))</f>
        <v>50</v>
      </c>
      <c r="H16" s="411">
        <f ca="1">IF(ROWS($1:3)&gt;COUNT(Dong12),0,IF(MID(OFFSET(TH!D$1,SMALL(Dong12,ROWS($1:3)),),4,1)="X",OFFSET(TH!I$1,SMALL(Dong12,ROWS($1:3)),),0))</f>
        <v>0</v>
      </c>
      <c r="I16" s="412">
        <f t="shared" ca="1" si="1"/>
        <v>50</v>
      </c>
      <c r="J16" s="413"/>
      <c r="K16" s="414"/>
    </row>
    <row r="17" spans="1:11" ht="16.5" customHeight="1">
      <c r="A17" s="415">
        <f t="shared" ca="1" si="2"/>
        <v>4</v>
      </c>
      <c r="B17" s="410">
        <f ca="1">IF(ROWS($1:4)&gt;COUNT(Dong12),"",OFFSET(TH!E$1,SMALL(Dong12,ROWS($1:4)),))</f>
        <v>40725</v>
      </c>
      <c r="C17" s="474" t="str">
        <f ca="1">IF(ROWS($1:4)&gt;COUNT(Dong12),"",IF(MID(OFFSET(TH!D$1,SMALL(Dong12,ROWS($1:4)),),4,1)="N",OFFSET(TH!D$1,SMALL(Dong12,ROWS($1:4)),),""))</f>
        <v/>
      </c>
      <c r="D17" s="410" t="str">
        <f ca="1">IF(ROWS($1:4)&gt;COUNT(Dong12),"",IF(MID(OFFSET(TH!D$1,SMALL(Dong12,ROWS($1:4)),),4,1)="X",OFFSET(TH!D$1,SMALL(Dong12,ROWS($1:4)),),""))</f>
        <v>VL/X01</v>
      </c>
      <c r="E17" s="679" t="str">
        <f ca="1">IF(ROWS($1:4)&gt;COUNT(Dong12),"",OFFSET(TH!H$1,SMALL(Dong12,ROWS($1:4)),))</f>
        <v>Bộ phận SX</v>
      </c>
      <c r="F17" s="410">
        <f t="shared" ca="1" si="0"/>
        <v>40725</v>
      </c>
      <c r="G17" s="411">
        <f ca="1">IF(ROWS($1:4)&gt;COUNT(Dong12),0,IF(MID(OFFSET(TH!D$1,SMALL(Dong12,ROWS($1:4)),),4,1)="N",OFFSET(TH!I$1,SMALL(Dong12,ROWS($1:4)),),0))</f>
        <v>0</v>
      </c>
      <c r="H17" s="411">
        <f ca="1">IF(ROWS($1:4)&gt;COUNT(Dong12),0,IF(MID(OFFSET(TH!D$1,SMALL(Dong12,ROWS($1:4)),),4,1)="X",OFFSET(TH!I$1,SMALL(Dong12,ROWS($1:4)),),0))</f>
        <v>50</v>
      </c>
      <c r="I17" s="412">
        <f t="shared" ca="1" si="1"/>
        <v>0</v>
      </c>
      <c r="J17" s="413"/>
      <c r="K17" s="414"/>
    </row>
    <row r="18" spans="1:11" ht="16.5" customHeight="1">
      <c r="A18" s="415">
        <f t="shared" ca="1" si="2"/>
        <v>5</v>
      </c>
      <c r="B18" s="410">
        <f ca="1">IF(ROWS($1:5)&gt;COUNT(Dong12),"",OFFSET(TH!E$1,SMALL(Dong12,ROWS($1:5)),))</f>
        <v>40745</v>
      </c>
      <c r="C18" s="474" t="str">
        <f ca="1">IF(ROWS($1:5)&gt;COUNT(Dong12),"",IF(MID(OFFSET(TH!D$1,SMALL(Dong12,ROWS($1:5)),),4,1)="N",OFFSET(TH!D$1,SMALL(Dong12,ROWS($1:5)),),""))</f>
        <v>VL/N01</v>
      </c>
      <c r="D18" s="410" t="str">
        <f ca="1">IF(ROWS($1:5)&gt;COUNT(Dong12),"",IF(MID(OFFSET(TH!D$1,SMALL(Dong12,ROWS($1:5)),),4,1)="X",OFFSET(TH!D$1,SMALL(Dong12,ROWS($1:5)),),""))</f>
        <v/>
      </c>
      <c r="E18" s="679" t="str">
        <f ca="1">IF(ROWS($1:5)&gt;COUNT(Dong12),"",OFFSET(TH!H$1,SMALL(Dong12,ROWS($1:5)),))</f>
        <v>Cơ Sở Kéo Kẽm Thành Dũng</v>
      </c>
      <c r="F18" s="410">
        <f t="shared" ca="1" si="0"/>
        <v>40745</v>
      </c>
      <c r="G18" s="411">
        <f ca="1">IF(ROWS($1:5)&gt;COUNT(Dong12),0,IF(MID(OFFSET(TH!D$1,SMALL(Dong12,ROWS($1:5)),),4,1)="N",OFFSET(TH!I$1,SMALL(Dong12,ROWS($1:5)),),0))</f>
        <v>50</v>
      </c>
      <c r="H18" s="411">
        <f ca="1">IF(ROWS($1:5)&gt;COUNT(Dong12),0,IF(MID(OFFSET(TH!D$1,SMALL(Dong12,ROWS($1:5)),),4,1)="X",OFFSET(TH!I$1,SMALL(Dong12,ROWS($1:5)),),0))</f>
        <v>0</v>
      </c>
      <c r="I18" s="412">
        <f t="shared" ca="1" si="1"/>
        <v>50</v>
      </c>
      <c r="J18" s="413"/>
      <c r="K18" s="414"/>
    </row>
    <row r="19" spans="1:11" ht="16.5" customHeight="1">
      <c r="A19" s="415">
        <f t="shared" ca="1" si="2"/>
        <v>6</v>
      </c>
      <c r="B19" s="410">
        <f ca="1">IF(ROWS($1:6)&gt;COUNT(Dong12),"",OFFSET(TH!E$1,SMALL(Dong12,ROWS($1:6)),))</f>
        <v>40745</v>
      </c>
      <c r="C19" s="474" t="str">
        <f ca="1">IF(ROWS($1:6)&gt;COUNT(Dong12),"",IF(MID(OFFSET(TH!D$1,SMALL(Dong12,ROWS($1:6)),),4,1)="N",OFFSET(TH!D$1,SMALL(Dong12,ROWS($1:6)),),""))</f>
        <v/>
      </c>
      <c r="D19" s="410" t="str">
        <f ca="1">IF(ROWS($1:6)&gt;COUNT(Dong12),"",IF(MID(OFFSET(TH!D$1,SMALL(Dong12,ROWS($1:6)),),4,1)="X",OFFSET(TH!D$1,SMALL(Dong12,ROWS($1:6)),),""))</f>
        <v>VL/X02</v>
      </c>
      <c r="E19" s="679" t="str">
        <f ca="1">IF(ROWS($1:6)&gt;COUNT(Dong12),"",OFFSET(TH!H$1,SMALL(Dong12,ROWS($1:6)),))</f>
        <v>Bộ phận SX</v>
      </c>
      <c r="F19" s="410">
        <f t="shared" ca="1" si="0"/>
        <v>40745</v>
      </c>
      <c r="G19" s="411">
        <f ca="1">IF(ROWS($1:6)&gt;COUNT(Dong12),0,IF(MID(OFFSET(TH!D$1,SMALL(Dong12,ROWS($1:6)),),4,1)="N",OFFSET(TH!I$1,SMALL(Dong12,ROWS($1:6)),),0))</f>
        <v>0</v>
      </c>
      <c r="H19" s="411">
        <f ca="1">IF(ROWS($1:6)&gt;COUNT(Dong12),0,IF(MID(OFFSET(TH!D$1,SMALL(Dong12,ROWS($1:6)),),4,1)="X",OFFSET(TH!I$1,SMALL(Dong12,ROWS($1:6)),),0))</f>
        <v>50</v>
      </c>
      <c r="I19" s="412">
        <f t="shared" ca="1" si="1"/>
        <v>0</v>
      </c>
      <c r="J19" s="413"/>
      <c r="K19" s="414"/>
    </row>
    <row r="20" spans="1:11" ht="16.5" customHeight="1">
      <c r="A20" s="415">
        <f t="shared" ca="1" si="2"/>
        <v>7</v>
      </c>
      <c r="B20" s="410">
        <f ca="1">IF(ROWS($1:7)&gt;COUNT(Dong12),"",OFFSET(TH!E$1,SMALL(Dong12,ROWS($1:7)),))</f>
        <v>40808</v>
      </c>
      <c r="C20" s="474" t="str">
        <f ca="1">IF(ROWS($1:7)&gt;COUNT(Dong12),"",IF(MID(OFFSET(TH!D$1,SMALL(Dong12,ROWS($1:7)),),4,1)="N",OFFSET(TH!D$1,SMALL(Dong12,ROWS($1:7)),),""))</f>
        <v>VL/N02</v>
      </c>
      <c r="D20" s="410" t="str">
        <f ca="1">IF(ROWS($1:7)&gt;COUNT(Dong12),"",IF(MID(OFFSET(TH!D$1,SMALL(Dong12,ROWS($1:7)),),4,1)="X",OFFSET(TH!D$1,SMALL(Dong12,ROWS($1:7)),),""))</f>
        <v/>
      </c>
      <c r="E20" s="679" t="str">
        <f ca="1">IF(ROWS($1:7)&gt;COUNT(Dong12),"",OFFSET(TH!H$1,SMALL(Dong12,ROWS($1:7)),))</f>
        <v>Cơ Sở Kéo Kẽm Thành Dũng</v>
      </c>
      <c r="F20" s="410">
        <f t="shared" ca="1" si="0"/>
        <v>40808</v>
      </c>
      <c r="G20" s="411">
        <f ca="1">IF(ROWS($1:7)&gt;COUNT(Dong12),0,IF(MID(OFFSET(TH!D$1,SMALL(Dong12,ROWS($1:7)),),4,1)="N",OFFSET(TH!I$1,SMALL(Dong12,ROWS($1:7)),),0))</f>
        <v>50</v>
      </c>
      <c r="H20" s="411">
        <f ca="1">IF(ROWS($1:7)&gt;COUNT(Dong12),0,IF(MID(OFFSET(TH!D$1,SMALL(Dong12,ROWS($1:7)),),4,1)="X",OFFSET(TH!I$1,SMALL(Dong12,ROWS($1:7)),),0))</f>
        <v>0</v>
      </c>
      <c r="I20" s="412">
        <f t="shared" ca="1" si="1"/>
        <v>50</v>
      </c>
      <c r="J20" s="413"/>
      <c r="K20" s="414"/>
    </row>
    <row r="21" spans="1:11" ht="16.5" customHeight="1">
      <c r="A21" s="415">
        <f t="shared" ca="1" si="2"/>
        <v>8</v>
      </c>
      <c r="B21" s="410">
        <f ca="1">IF(ROWS($1:8)&gt;COUNT(Dong12),"",OFFSET(TH!E$1,SMALL(Dong12,ROWS($1:8)),))</f>
        <v>40817</v>
      </c>
      <c r="C21" s="474" t="str">
        <f ca="1">IF(ROWS($1:8)&gt;COUNT(Dong12),"",IF(MID(OFFSET(TH!D$1,SMALL(Dong12,ROWS($1:8)),),4,1)="N",OFFSET(TH!D$1,SMALL(Dong12,ROWS($1:8)),),""))</f>
        <v/>
      </c>
      <c r="D21" s="410" t="str">
        <f ca="1">IF(ROWS($1:8)&gt;COUNT(Dong12),"",IF(MID(OFFSET(TH!D$1,SMALL(Dong12,ROWS($1:8)),),4,1)="X",OFFSET(TH!D$1,SMALL(Dong12,ROWS($1:8)),),""))</f>
        <v>VL/X01</v>
      </c>
      <c r="E21" s="679" t="str">
        <f ca="1">IF(ROWS($1:8)&gt;COUNT(Dong12),"",OFFSET(TH!H$1,SMALL(Dong12,ROWS($1:8)),))</f>
        <v>Bộ phận SX</v>
      </c>
      <c r="F21" s="410">
        <f t="shared" ca="1" si="0"/>
        <v>40817</v>
      </c>
      <c r="G21" s="411">
        <f ca="1">IF(ROWS($1:8)&gt;COUNT(Dong12),0,IF(MID(OFFSET(TH!D$1,SMALL(Dong12,ROWS($1:8)),),4,1)="N",OFFSET(TH!I$1,SMALL(Dong12,ROWS($1:8)),),0))</f>
        <v>0</v>
      </c>
      <c r="H21" s="411">
        <f ca="1">IF(ROWS($1:8)&gt;COUNT(Dong12),0,IF(MID(OFFSET(TH!D$1,SMALL(Dong12,ROWS($1:8)),),4,1)="X",OFFSET(TH!I$1,SMALL(Dong12,ROWS($1:8)),),0))</f>
        <v>50</v>
      </c>
      <c r="I21" s="412">
        <f t="shared" ca="1" si="1"/>
        <v>0</v>
      </c>
      <c r="J21" s="413"/>
      <c r="K21" s="414"/>
    </row>
    <row r="22" spans="1:11" ht="16.5" customHeight="1">
      <c r="A22" s="415">
        <f t="shared" ca="1" si="2"/>
        <v>9</v>
      </c>
      <c r="B22" s="410">
        <f ca="1">IF(ROWS($1:9)&gt;COUNT(Dong12),"",OFFSET(TH!E$1,SMALL(Dong12,ROWS($1:9)),))</f>
        <v>40847</v>
      </c>
      <c r="C22" s="474" t="str">
        <f ca="1">IF(ROWS($1:9)&gt;COUNT(Dong12),"",IF(MID(OFFSET(TH!D$1,SMALL(Dong12,ROWS($1:9)),),4,1)="N",OFFSET(TH!D$1,SMALL(Dong12,ROWS($1:9)),),""))</f>
        <v>VL/N02</v>
      </c>
      <c r="D22" s="410" t="str">
        <f ca="1">IF(ROWS($1:9)&gt;COUNT(Dong12),"",IF(MID(OFFSET(TH!D$1,SMALL(Dong12,ROWS($1:9)),),4,1)="X",OFFSET(TH!D$1,SMALL(Dong12,ROWS($1:9)),),""))</f>
        <v/>
      </c>
      <c r="E22" s="679" t="str">
        <f ca="1">IF(ROWS($1:9)&gt;COUNT(Dong12),"",OFFSET(TH!H$1,SMALL(Dong12,ROWS($1:9)),))</f>
        <v>Cơ Sở Kéo Kẽm Thành Dũng</v>
      </c>
      <c r="F22" s="410">
        <f t="shared" ca="1" si="0"/>
        <v>40847</v>
      </c>
      <c r="G22" s="411">
        <f ca="1">IF(ROWS($1:9)&gt;COUNT(Dong12),0,IF(MID(OFFSET(TH!D$1,SMALL(Dong12,ROWS($1:9)),),4,1)="N",OFFSET(TH!I$1,SMALL(Dong12,ROWS($1:9)),),0))</f>
        <v>100</v>
      </c>
      <c r="H22" s="411">
        <f ca="1">IF(ROWS($1:9)&gt;COUNT(Dong12),0,IF(MID(OFFSET(TH!D$1,SMALL(Dong12,ROWS($1:9)),),4,1)="X",OFFSET(TH!I$1,SMALL(Dong12,ROWS($1:9)),),0))</f>
        <v>0</v>
      </c>
      <c r="I22" s="412">
        <f t="shared" ca="1" si="1"/>
        <v>100</v>
      </c>
      <c r="J22" s="413"/>
      <c r="K22" s="414"/>
    </row>
    <row r="23" spans="1:11" ht="16.5" customHeight="1">
      <c r="A23" s="415">
        <f t="shared" ca="1" si="2"/>
        <v>10</v>
      </c>
      <c r="B23" s="410">
        <f ca="1">IF(ROWS($1:10)&gt;COUNT(Dong12),"",OFFSET(TH!E$1,SMALL(Dong12,ROWS($1:10)),))</f>
        <v>40847</v>
      </c>
      <c r="C23" s="474" t="str">
        <f ca="1">IF(ROWS($1:10)&gt;COUNT(Dong12),"",IF(MID(OFFSET(TH!D$1,SMALL(Dong12,ROWS($1:10)),),4,1)="N",OFFSET(TH!D$1,SMALL(Dong12,ROWS($1:10)),),""))</f>
        <v/>
      </c>
      <c r="D23" s="410" t="str">
        <f ca="1">IF(ROWS($1:10)&gt;COUNT(Dong12),"",IF(MID(OFFSET(TH!D$1,SMALL(Dong12,ROWS($1:10)),),4,1)="X",OFFSET(TH!D$1,SMALL(Dong12,ROWS($1:10)),),""))</f>
        <v>VL/X03</v>
      </c>
      <c r="E23" s="679" t="str">
        <f ca="1">IF(ROWS($1:10)&gt;COUNT(Dong12),"",OFFSET(TH!H$1,SMALL(Dong12,ROWS($1:10)),))</f>
        <v>Bộ phận SX</v>
      </c>
      <c r="F23" s="410">
        <f t="shared" ca="1" si="0"/>
        <v>40847</v>
      </c>
      <c r="G23" s="411">
        <f ca="1">IF(ROWS($1:10)&gt;COUNT(Dong12),0,IF(MID(OFFSET(TH!D$1,SMALL(Dong12,ROWS($1:10)),),4,1)="N",OFFSET(TH!I$1,SMALL(Dong12,ROWS($1:10)),),0))</f>
        <v>0</v>
      </c>
      <c r="H23" s="411">
        <f ca="1">IF(ROWS($1:10)&gt;COUNT(Dong12),0,IF(MID(OFFSET(TH!D$1,SMALL(Dong12,ROWS($1:10)),),4,1)="X",OFFSET(TH!I$1,SMALL(Dong12,ROWS($1:10)),),0))</f>
        <v>50</v>
      </c>
      <c r="I23" s="412">
        <f t="shared" ca="1" si="1"/>
        <v>50</v>
      </c>
      <c r="J23" s="413"/>
      <c r="K23" s="414"/>
    </row>
    <row r="24" spans="1:11" ht="16.5" customHeight="1">
      <c r="A24" s="415" t="str">
        <f t="shared" ca="1" si="2"/>
        <v/>
      </c>
      <c r="B24" s="410" t="str">
        <f ca="1">IF(ROWS($1:11)&gt;COUNT(Dong12),"",OFFSET(TH!E$1,SMALL(Dong12,ROWS($1:11)),))</f>
        <v/>
      </c>
      <c r="C24" s="474" t="str">
        <f ca="1">IF(ROWS($1:11)&gt;COUNT(Dong12),"",IF(MID(OFFSET(TH!D$1,SMALL(Dong12,ROWS($1:11)),),4,1)="N",OFFSET(TH!D$1,SMALL(Dong12,ROWS($1:11)),),""))</f>
        <v/>
      </c>
      <c r="D24" s="410" t="str">
        <f ca="1">IF(ROWS($1:11)&gt;COUNT(Dong12),"",IF(MID(OFFSET(TH!D$1,SMALL(Dong12,ROWS($1:11)),),4,1)="X",OFFSET(TH!D$1,SMALL(Dong12,ROWS($1:11)),),""))</f>
        <v/>
      </c>
      <c r="E24" s="679" t="str">
        <f ca="1">IF(ROWS($1:11)&gt;COUNT(Dong12),"",OFFSET(TH!H$1,SMALL(Dong12,ROWS($1:11)),))</f>
        <v/>
      </c>
      <c r="F24" s="410" t="str">
        <f t="shared" ca="1" si="0"/>
        <v/>
      </c>
      <c r="G24" s="411">
        <f ca="1">IF(ROWS($1:11)&gt;COUNT(Dong12),0,IF(MID(OFFSET(TH!D$1,SMALL(Dong12,ROWS($1:11)),),4,1)="N",OFFSET(TH!I$1,SMALL(Dong12,ROWS($1:11)),),0))</f>
        <v>0</v>
      </c>
      <c r="H24" s="411">
        <f ca="1">IF(ROWS($1:11)&gt;COUNT(Dong12),0,IF(MID(OFFSET(TH!D$1,SMALL(Dong12,ROWS($1:11)),),4,1)="X",OFFSET(TH!I$1,SMALL(Dong12,ROWS($1:11)),),0))</f>
        <v>0</v>
      </c>
      <c r="I24" s="412">
        <f t="shared" ca="1" si="1"/>
        <v>0</v>
      </c>
      <c r="J24" s="413"/>
      <c r="K24" s="414"/>
    </row>
    <row r="25" spans="1:11" ht="16.5" customHeight="1">
      <c r="A25" s="415" t="str">
        <f t="shared" ca="1" si="2"/>
        <v/>
      </c>
      <c r="B25" s="410" t="str">
        <f ca="1">IF(ROWS($1:12)&gt;COUNT(Dong12),"",OFFSET(TH!E$1,SMALL(Dong12,ROWS($1:12)),))</f>
        <v/>
      </c>
      <c r="C25" s="474" t="str">
        <f ca="1">IF(ROWS($1:12)&gt;COUNT(Dong12),"",IF(MID(OFFSET(TH!D$1,SMALL(Dong12,ROWS($1:12)),),4,1)="N",OFFSET(TH!D$1,SMALL(Dong12,ROWS($1:12)),),""))</f>
        <v/>
      </c>
      <c r="D25" s="410" t="str">
        <f ca="1">IF(ROWS($1:12)&gt;COUNT(Dong12),"",IF(MID(OFFSET(TH!D$1,SMALL(Dong12,ROWS($1:12)),),4,1)="X",OFFSET(TH!D$1,SMALL(Dong12,ROWS($1:12)),),""))</f>
        <v/>
      </c>
      <c r="E25" s="679" t="str">
        <f ca="1">IF(ROWS($1:12)&gt;COUNT(Dong12),"",OFFSET(TH!H$1,SMALL(Dong12,ROWS($1:12)),))</f>
        <v/>
      </c>
      <c r="F25" s="410" t="str">
        <f t="shared" ca="1" si="0"/>
        <v/>
      </c>
      <c r="G25" s="411">
        <f ca="1">IF(ROWS($1:12)&gt;COUNT(Dong12),0,IF(MID(OFFSET(TH!D$1,SMALL(Dong12,ROWS($1:12)),),4,1)="N",OFFSET(TH!I$1,SMALL(Dong12,ROWS($1:12)),),0))</f>
        <v>0</v>
      </c>
      <c r="H25" s="411">
        <f ca="1">IF(ROWS($1:12)&gt;COUNT(Dong12),0,IF(MID(OFFSET(TH!D$1,SMALL(Dong12,ROWS($1:12)),),4,1)="X",OFFSET(TH!I$1,SMALL(Dong12,ROWS($1:12)),),0))</f>
        <v>0</v>
      </c>
      <c r="I25" s="412">
        <f t="shared" ca="1" si="1"/>
        <v>0</v>
      </c>
      <c r="J25" s="413"/>
      <c r="K25" s="414"/>
    </row>
    <row r="26" spans="1:11" ht="16.5" customHeight="1">
      <c r="A26" s="415" t="str">
        <f t="shared" ca="1" si="2"/>
        <v/>
      </c>
      <c r="B26" s="410" t="str">
        <f ca="1">IF(ROWS($1:13)&gt;COUNT(Dong12),"",OFFSET(TH!E$1,SMALL(Dong12,ROWS($1:13)),))</f>
        <v/>
      </c>
      <c r="C26" s="474" t="str">
        <f ca="1">IF(ROWS($1:13)&gt;COUNT(Dong12),"",IF(MID(OFFSET(TH!D$1,SMALL(Dong12,ROWS($1:13)),),4,1)="N",OFFSET(TH!D$1,SMALL(Dong12,ROWS($1:13)),),""))</f>
        <v/>
      </c>
      <c r="D26" s="410" t="str">
        <f ca="1">IF(ROWS($1:13)&gt;COUNT(Dong12),"",IF(MID(OFFSET(TH!D$1,SMALL(Dong12,ROWS($1:13)),),4,1)="X",OFFSET(TH!D$1,SMALL(Dong12,ROWS($1:13)),),""))</f>
        <v/>
      </c>
      <c r="E26" s="679" t="str">
        <f ca="1">IF(ROWS($1:13)&gt;COUNT(Dong12),"",OFFSET(TH!H$1,SMALL(Dong12,ROWS($1:13)),))</f>
        <v/>
      </c>
      <c r="F26" s="410" t="str">
        <f t="shared" ca="1" si="0"/>
        <v/>
      </c>
      <c r="G26" s="411">
        <f ca="1">IF(ROWS($1:13)&gt;COUNT(Dong12),0,IF(MID(OFFSET(TH!D$1,SMALL(Dong12,ROWS($1:13)),),4,1)="N",OFFSET(TH!I$1,SMALL(Dong12,ROWS($1:13)),),0))</f>
        <v>0</v>
      </c>
      <c r="H26" s="411">
        <f ca="1">IF(ROWS($1:13)&gt;COUNT(Dong12),0,IF(MID(OFFSET(TH!D$1,SMALL(Dong12,ROWS($1:13)),),4,1)="X",OFFSET(TH!I$1,SMALL(Dong12,ROWS($1:13)),),0))</f>
        <v>0</v>
      </c>
      <c r="I26" s="412">
        <f t="shared" ca="1" si="1"/>
        <v>0</v>
      </c>
      <c r="J26" s="413"/>
      <c r="K26" s="414"/>
    </row>
    <row r="27" spans="1:11" ht="16.5" customHeight="1">
      <c r="A27" s="415" t="str">
        <f t="shared" ca="1" si="2"/>
        <v/>
      </c>
      <c r="B27" s="410" t="str">
        <f ca="1">IF(ROWS($1:14)&gt;COUNT(Dong12),"",OFFSET(TH!E$1,SMALL(Dong12,ROWS($1:14)),))</f>
        <v/>
      </c>
      <c r="C27" s="474" t="str">
        <f ca="1">IF(ROWS($1:14)&gt;COUNT(Dong12),"",IF(MID(OFFSET(TH!D$1,SMALL(Dong12,ROWS($1:14)),),4,1)="N",OFFSET(TH!D$1,SMALL(Dong12,ROWS($1:14)),),""))</f>
        <v/>
      </c>
      <c r="D27" s="410" t="str">
        <f ca="1">IF(ROWS($1:14)&gt;COUNT(Dong12),"",IF(MID(OFFSET(TH!D$1,SMALL(Dong12,ROWS($1:14)),),4,1)="X",OFFSET(TH!D$1,SMALL(Dong12,ROWS($1:14)),),""))</f>
        <v/>
      </c>
      <c r="E27" s="679" t="str">
        <f ca="1">IF(ROWS($1:14)&gt;COUNT(Dong12),"",OFFSET(TH!H$1,SMALL(Dong12,ROWS($1:14)),))</f>
        <v/>
      </c>
      <c r="F27" s="410" t="str">
        <f t="shared" ca="1" si="0"/>
        <v/>
      </c>
      <c r="G27" s="411">
        <f ca="1">IF(ROWS($1:14)&gt;COUNT(Dong12),0,IF(MID(OFFSET(TH!D$1,SMALL(Dong12,ROWS($1:14)),),4,1)="N",OFFSET(TH!I$1,SMALL(Dong12,ROWS($1:14)),),0))</f>
        <v>0</v>
      </c>
      <c r="H27" s="411">
        <f ca="1">IF(ROWS($1:14)&gt;COUNT(Dong12),0,IF(MID(OFFSET(TH!D$1,SMALL(Dong12,ROWS($1:14)),),4,1)="X",OFFSET(TH!I$1,SMALL(Dong12,ROWS($1:14)),),0))</f>
        <v>0</v>
      </c>
      <c r="I27" s="412">
        <f t="shared" ca="1" si="1"/>
        <v>0</v>
      </c>
      <c r="J27" s="413"/>
      <c r="K27" s="414"/>
    </row>
    <row r="28" spans="1:11" ht="16.5" customHeight="1">
      <c r="A28" s="415" t="str">
        <f t="shared" ca="1" si="2"/>
        <v/>
      </c>
      <c r="B28" s="410" t="str">
        <f ca="1">IF(ROWS($1:15)&gt;COUNT(Dong12),"",OFFSET(TH!E$1,SMALL(Dong12,ROWS($1:15)),))</f>
        <v/>
      </c>
      <c r="C28" s="474" t="str">
        <f ca="1">IF(ROWS($1:15)&gt;COUNT(Dong12),"",IF(MID(OFFSET(TH!D$1,SMALL(Dong12,ROWS($1:15)),),4,1)="N",OFFSET(TH!D$1,SMALL(Dong12,ROWS($1:15)),),""))</f>
        <v/>
      </c>
      <c r="D28" s="410" t="str">
        <f ca="1">IF(ROWS($1:15)&gt;COUNT(Dong12),"",IF(MID(OFFSET(TH!D$1,SMALL(Dong12,ROWS($1:15)),),4,1)="X",OFFSET(TH!D$1,SMALL(Dong12,ROWS($1:15)),),""))</f>
        <v/>
      </c>
      <c r="E28" s="679" t="str">
        <f ca="1">IF(ROWS($1:15)&gt;COUNT(Dong12),"",OFFSET(TH!H$1,SMALL(Dong12,ROWS($1:15)),))</f>
        <v/>
      </c>
      <c r="F28" s="410" t="str">
        <f t="shared" ca="1" si="0"/>
        <v/>
      </c>
      <c r="G28" s="411">
        <f ca="1">IF(ROWS($1:15)&gt;COUNT(Dong12),0,IF(MID(OFFSET(TH!D$1,SMALL(Dong12,ROWS($1:15)),),4,1)="N",OFFSET(TH!I$1,SMALL(Dong12,ROWS($1:15)),),0))</f>
        <v>0</v>
      </c>
      <c r="H28" s="411">
        <f ca="1">IF(ROWS($1:15)&gt;COUNT(Dong12),0,IF(MID(OFFSET(TH!D$1,SMALL(Dong12,ROWS($1:15)),),4,1)="X",OFFSET(TH!I$1,SMALL(Dong12,ROWS($1:15)),),0))</f>
        <v>0</v>
      </c>
      <c r="I28" s="412">
        <f t="shared" ca="1" si="1"/>
        <v>0</v>
      </c>
      <c r="J28" s="413"/>
      <c r="K28" s="414"/>
    </row>
    <row r="29" spans="1:11" ht="16.5" customHeight="1">
      <c r="A29" s="415" t="str">
        <f t="shared" ca="1" si="2"/>
        <v/>
      </c>
      <c r="B29" s="410" t="str">
        <f ca="1">IF(ROWS($1:16)&gt;COUNT(Dong12),"",OFFSET(TH!E$1,SMALL(Dong12,ROWS($1:16)),))</f>
        <v/>
      </c>
      <c r="C29" s="474" t="str">
        <f ca="1">IF(ROWS($1:16)&gt;COUNT(Dong12),"",IF(MID(OFFSET(TH!D$1,SMALL(Dong12,ROWS($1:16)),),4,1)="N",OFFSET(TH!D$1,SMALL(Dong12,ROWS($1:16)),),""))</f>
        <v/>
      </c>
      <c r="D29" s="410" t="str">
        <f ca="1">IF(ROWS($1:16)&gt;COUNT(Dong12),"",IF(MID(OFFSET(TH!D$1,SMALL(Dong12,ROWS($1:16)),),4,1)="X",OFFSET(TH!D$1,SMALL(Dong12,ROWS($1:16)),),""))</f>
        <v/>
      </c>
      <c r="E29" s="679" t="str">
        <f ca="1">IF(ROWS($1:16)&gt;COUNT(Dong12),"",OFFSET(TH!H$1,SMALL(Dong12,ROWS($1:16)),))</f>
        <v/>
      </c>
      <c r="F29" s="410" t="str">
        <f t="shared" ca="1" si="0"/>
        <v/>
      </c>
      <c r="G29" s="411">
        <f ca="1">IF(ROWS($1:16)&gt;COUNT(Dong12),0,IF(MID(OFFSET(TH!D$1,SMALL(Dong12,ROWS($1:16)),),4,1)="N",OFFSET(TH!I$1,SMALL(Dong12,ROWS($1:16)),),0))</f>
        <v>0</v>
      </c>
      <c r="H29" s="411">
        <f ca="1">IF(ROWS($1:16)&gt;COUNT(Dong12),0,IF(MID(OFFSET(TH!D$1,SMALL(Dong12,ROWS($1:16)),),4,1)="X",OFFSET(TH!I$1,SMALL(Dong12,ROWS($1:16)),),0))</f>
        <v>0</v>
      </c>
      <c r="I29" s="412">
        <f t="shared" ca="1" si="1"/>
        <v>0</v>
      </c>
      <c r="J29" s="413"/>
      <c r="K29" s="414"/>
    </row>
    <row r="30" spans="1:11" ht="16.5" customHeight="1">
      <c r="A30" s="415" t="str">
        <f t="shared" ca="1" si="2"/>
        <v/>
      </c>
      <c r="B30" s="410" t="str">
        <f ca="1">IF(ROWS($1:17)&gt;COUNT(Dong12),"",OFFSET(TH!E$1,SMALL(Dong12,ROWS($1:17)),))</f>
        <v/>
      </c>
      <c r="C30" s="474" t="str">
        <f ca="1">IF(ROWS($1:17)&gt;COUNT(Dong12),"",IF(MID(OFFSET(TH!D$1,SMALL(Dong12,ROWS($1:17)),),4,1)="N",OFFSET(TH!D$1,SMALL(Dong12,ROWS($1:17)),),""))</f>
        <v/>
      </c>
      <c r="D30" s="410" t="str">
        <f ca="1">IF(ROWS($1:17)&gt;COUNT(Dong12),"",IF(MID(OFFSET(TH!D$1,SMALL(Dong12,ROWS($1:17)),),4,1)="X",OFFSET(TH!D$1,SMALL(Dong12,ROWS($1:17)),),""))</f>
        <v/>
      </c>
      <c r="E30" s="679" t="str">
        <f ca="1">IF(ROWS($1:17)&gt;COUNT(Dong12),"",OFFSET(TH!H$1,SMALL(Dong12,ROWS($1:17)),))</f>
        <v/>
      </c>
      <c r="F30" s="410" t="str">
        <f t="shared" ca="1" si="0"/>
        <v/>
      </c>
      <c r="G30" s="411">
        <f ca="1">IF(ROWS($1:17)&gt;COUNT(Dong12),0,IF(MID(OFFSET(TH!D$1,SMALL(Dong12,ROWS($1:17)),),4,1)="N",OFFSET(TH!I$1,SMALL(Dong12,ROWS($1:17)),),0))</f>
        <v>0</v>
      </c>
      <c r="H30" s="411">
        <f ca="1">IF(ROWS($1:17)&gt;COUNT(Dong12),0,IF(MID(OFFSET(TH!D$1,SMALL(Dong12,ROWS($1:17)),),4,1)="X",OFFSET(TH!I$1,SMALL(Dong12,ROWS($1:17)),),0))</f>
        <v>0</v>
      </c>
      <c r="I30" s="412">
        <f t="shared" ca="1" si="1"/>
        <v>0</v>
      </c>
      <c r="J30" s="413"/>
      <c r="K30" s="414"/>
    </row>
    <row r="31" spans="1:11" ht="16.5" customHeight="1">
      <c r="A31" s="416" t="str">
        <f>IF(D31&lt;&gt;"",A21+1,"")</f>
        <v/>
      </c>
      <c r="B31" s="417"/>
      <c r="C31" s="418"/>
      <c r="D31" s="418"/>
      <c r="E31" s="680"/>
      <c r="F31" s="417"/>
      <c r="G31" s="419"/>
      <c r="H31" s="419"/>
      <c r="I31" s="419"/>
      <c r="J31" s="420"/>
      <c r="K31" s="414"/>
    </row>
    <row r="32" spans="1:11" ht="16.5" customHeight="1">
      <c r="A32" s="404"/>
      <c r="B32" s="421"/>
      <c r="C32" s="404"/>
      <c r="D32" s="404"/>
      <c r="E32" s="405" t="s">
        <v>229</v>
      </c>
      <c r="F32" s="422" t="s">
        <v>18</v>
      </c>
      <c r="G32" s="423">
        <f ca="1">SUM(G14:G31)</f>
        <v>300</v>
      </c>
      <c r="H32" s="423">
        <f ca="1">SUM(H14:H31)</f>
        <v>250</v>
      </c>
      <c r="I32" s="423">
        <f ca="1">I13+G32-H32</f>
        <v>50</v>
      </c>
      <c r="J32" s="404" t="s">
        <v>18</v>
      </c>
      <c r="K32" s="424"/>
    </row>
    <row r="33" spans="1:11" ht="12.75" customHeight="1">
      <c r="A33" s="425"/>
      <c r="B33" s="383"/>
      <c r="C33" s="425"/>
      <c r="D33" s="425"/>
      <c r="E33" s="389"/>
      <c r="F33" s="383"/>
      <c r="G33" s="390"/>
      <c r="H33" s="390"/>
      <c r="I33" s="390"/>
      <c r="J33" s="379"/>
      <c r="K33" s="379"/>
    </row>
    <row r="34" spans="1:11" ht="15">
      <c r="A34" s="426" t="s">
        <v>230</v>
      </c>
      <c r="B34" s="426"/>
      <c r="C34" s="427"/>
      <c r="D34" s="427"/>
      <c r="E34" s="389"/>
      <c r="F34" s="383"/>
      <c r="G34" s="390"/>
      <c r="H34" s="390"/>
      <c r="I34" s="390"/>
      <c r="J34" s="379"/>
      <c r="K34" s="379"/>
    </row>
    <row r="35" spans="1:11" ht="15">
      <c r="A35" s="107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1073"/>
      <c r="C35" s="1073"/>
      <c r="D35" s="1073"/>
      <c r="E35" s="1073"/>
      <c r="F35" s="383"/>
      <c r="G35" s="390"/>
      <c r="H35" s="390"/>
      <c r="I35" s="390"/>
      <c r="J35" s="379"/>
      <c r="K35" s="379"/>
    </row>
    <row r="36" spans="1:11" ht="15">
      <c r="A36" s="428"/>
      <c r="B36" s="429"/>
      <c r="C36" s="430"/>
      <c r="D36" s="425"/>
      <c r="E36" s="389"/>
      <c r="F36" s="383"/>
      <c r="H36" s="311"/>
      <c r="I36" s="570" t="str">
        <f ca="1">"Ngày 31 tháng  12  năm  "&amp;YEAR($B$14)</f>
        <v>Ngày 31 tháng  12  năm  2011</v>
      </c>
      <c r="J36" s="311"/>
      <c r="K36" s="312"/>
    </row>
    <row r="37" spans="1:11" ht="15" customHeight="1">
      <c r="A37" s="428"/>
      <c r="C37" s="431" t="s">
        <v>231</v>
      </c>
      <c r="D37" s="425"/>
      <c r="E37" s="1074" t="s">
        <v>12</v>
      </c>
      <c r="F37" s="1074"/>
      <c r="G37" s="390"/>
      <c r="I37" s="603" t="s">
        <v>101</v>
      </c>
      <c r="J37" s="381"/>
      <c r="K37" s="428"/>
    </row>
    <row r="38" spans="1:11" ht="15" customHeight="1">
      <c r="A38" s="432"/>
      <c r="C38" s="433" t="s">
        <v>13</v>
      </c>
      <c r="D38" s="434"/>
      <c r="E38" s="1068" t="s">
        <v>13</v>
      </c>
      <c r="F38" s="1068"/>
      <c r="G38" s="390"/>
      <c r="I38" s="604" t="s">
        <v>128</v>
      </c>
      <c r="J38" s="602"/>
      <c r="K38" s="432"/>
    </row>
    <row r="39" spans="1:11" ht="15">
      <c r="A39" s="432"/>
      <c r="C39" s="433"/>
      <c r="D39" s="425"/>
      <c r="E39" s="435"/>
      <c r="F39" s="436"/>
      <c r="G39" s="390"/>
      <c r="H39" s="432"/>
      <c r="I39" s="432"/>
      <c r="J39" s="432"/>
      <c r="K39" s="432"/>
    </row>
    <row r="40" spans="1:11" ht="15">
      <c r="A40" s="432"/>
      <c r="B40" s="433"/>
      <c r="C40" s="432"/>
      <c r="D40" s="425"/>
      <c r="E40" s="435"/>
      <c r="F40" s="436"/>
      <c r="G40" s="390"/>
      <c r="H40" s="432"/>
      <c r="I40" s="432"/>
      <c r="J40" s="432"/>
      <c r="K40" s="432"/>
    </row>
    <row r="41" spans="1:11" ht="15">
      <c r="A41" s="432"/>
      <c r="B41" s="433"/>
      <c r="C41" s="432"/>
      <c r="D41" s="425"/>
      <c r="E41" s="435"/>
      <c r="F41" s="436"/>
      <c r="G41" s="390"/>
      <c r="H41" s="432"/>
      <c r="I41" s="432"/>
      <c r="J41" s="432"/>
      <c r="K41" s="432"/>
    </row>
    <row r="46" spans="1:11" ht="15">
      <c r="C46" s="605" t="s">
        <v>325</v>
      </c>
      <c r="H46" s="601"/>
      <c r="I46" s="600" t="s">
        <v>95</v>
      </c>
      <c r="J46" s="601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A592"/>
  <sheetViews>
    <sheetView workbookViewId="0">
      <selection sqref="A1:XFD11"/>
    </sheetView>
  </sheetViews>
  <sheetFormatPr defaultColWidth="10.28515625" defaultRowHeight="12.75"/>
  <cols>
    <col min="1" max="1" width="4.7109375" style="773" customWidth="1"/>
    <col min="2" max="2" width="23.140625" style="773" customWidth="1"/>
    <col min="3" max="3" width="12.140625" style="773" customWidth="1"/>
    <col min="4" max="4" width="11" style="773" customWidth="1"/>
    <col min="5" max="5" width="9.7109375" style="773" customWidth="1"/>
    <col min="6" max="6" width="11.140625" style="773" customWidth="1"/>
    <col min="7" max="7" width="10.140625" style="773" customWidth="1"/>
    <col min="8" max="8" width="10.85546875" style="773" customWidth="1"/>
    <col min="9" max="9" width="9.7109375" style="773" customWidth="1"/>
    <col min="10" max="10" width="13.7109375" style="443" hidden="1" customWidth="1"/>
    <col min="11" max="11" width="12" style="773" customWidth="1"/>
    <col min="12" max="13" width="7.42578125" style="773" customWidth="1"/>
    <col min="14" max="14" width="7.140625" style="785" customWidth="1"/>
    <col min="15" max="15" width="2" style="785" customWidth="1"/>
    <col min="16" max="16" width="23" style="773" customWidth="1"/>
    <col min="17" max="17" width="10.140625" style="786" customWidth="1"/>
    <col min="18" max="18" width="6.42578125" style="787" customWidth="1"/>
    <col min="19" max="19" width="7" style="840" customWidth="1"/>
    <col min="20" max="20" width="7.5703125" style="294" customWidth="1"/>
    <col min="21" max="21" width="12.42578125" style="773" customWidth="1"/>
    <col min="22" max="22" width="15.85546875" style="773" customWidth="1"/>
    <col min="23" max="23" width="8.28515625" style="786" customWidth="1"/>
    <col min="24" max="24" width="7.5703125" style="294" customWidth="1"/>
    <col min="25" max="25" width="9" style="294" customWidth="1"/>
    <col min="26" max="26" width="9.7109375" style="773" customWidth="1"/>
    <col min="27" max="27" width="10.28515625" style="773" customWidth="1"/>
    <col min="28" max="16384" width="10.28515625" style="773"/>
  </cols>
  <sheetData>
    <row r="1" spans="1:27">
      <c r="C1" s="783"/>
      <c r="D1" s="783"/>
      <c r="E1" s="784"/>
      <c r="F1" s="784"/>
      <c r="K1" s="802"/>
      <c r="L1" s="775"/>
      <c r="P1" s="459"/>
      <c r="Q1" s="799"/>
      <c r="R1" s="800"/>
      <c r="S1" s="843"/>
      <c r="T1" s="791"/>
      <c r="U1" s="801"/>
      <c r="V1" s="459"/>
      <c r="W1" s="799"/>
      <c r="X1" s="791"/>
      <c r="Y1" s="791"/>
    </row>
    <row r="2" spans="1:27" ht="18" customHeight="1">
      <c r="A2" s="584" t="str">
        <f>TH!$A$1</f>
        <v>Đơn vị: CÔNG TY TNHH SX TM KIM DUNG PHÁT</v>
      </c>
      <c r="B2" s="774"/>
      <c r="C2" s="294"/>
      <c r="D2" s="294"/>
      <c r="E2" s="294"/>
      <c r="F2" s="294"/>
      <c r="G2" s="294"/>
      <c r="H2" s="294"/>
      <c r="I2" s="294"/>
      <c r="J2" s="444"/>
      <c r="K2" s="294"/>
      <c r="L2" s="612"/>
      <c r="M2" s="294"/>
      <c r="N2" s="788"/>
      <c r="O2" s="788"/>
      <c r="P2" s="459"/>
      <c r="Q2" s="799"/>
      <c r="R2" s="800"/>
      <c r="S2" s="843"/>
      <c r="T2" s="791"/>
      <c r="U2" s="801"/>
      <c r="V2" s="459"/>
      <c r="W2" s="799"/>
      <c r="X2" s="791"/>
      <c r="Y2" s="791"/>
      <c r="AA2" s="783"/>
    </row>
    <row r="3" spans="1:27" ht="18.75" customHeight="1">
      <c r="A3" s="775" t="s">
        <v>772</v>
      </c>
      <c r="B3" s="775"/>
      <c r="C3" s="775"/>
      <c r="D3" s="775"/>
      <c r="E3" s="775"/>
      <c r="F3" s="775"/>
      <c r="G3" s="775"/>
      <c r="H3" s="775"/>
      <c r="I3" s="775"/>
      <c r="J3" s="445"/>
      <c r="K3" s="775"/>
      <c r="L3" s="775"/>
      <c r="M3" s="775"/>
      <c r="N3" s="788"/>
      <c r="O3" s="788"/>
      <c r="P3" s="459"/>
      <c r="Q3" s="799"/>
      <c r="R3" s="800"/>
      <c r="S3" s="843"/>
      <c r="T3" s="791"/>
      <c r="U3" s="801"/>
      <c r="V3" s="459"/>
      <c r="W3" s="799"/>
      <c r="X3" s="791"/>
      <c r="Y3" s="791"/>
    </row>
    <row r="4" spans="1:27" ht="18.75" hidden="1" customHeight="1">
      <c r="A4" s="775"/>
      <c r="B4" s="776"/>
      <c r="C4" s="776"/>
      <c r="D4" s="776"/>
      <c r="E4" s="776"/>
      <c r="F4" s="776"/>
      <c r="G4" s="776"/>
      <c r="H4" s="776"/>
      <c r="I4" s="775"/>
      <c r="J4" s="446"/>
      <c r="K4" s="776"/>
      <c r="L4" s="789"/>
      <c r="M4" s="776"/>
      <c r="N4" s="788"/>
      <c r="O4" s="788"/>
      <c r="P4" s="459"/>
      <c r="Q4" s="799"/>
      <c r="R4" s="800"/>
      <c r="S4" s="843"/>
      <c r="T4" s="791"/>
      <c r="U4" s="801"/>
      <c r="V4" s="459"/>
      <c r="W4" s="799"/>
      <c r="X4" s="791"/>
      <c r="Y4" s="791"/>
    </row>
    <row r="5" spans="1:27" ht="12.75" hidden="1" customHeight="1">
      <c r="A5" s="826"/>
      <c r="B5" s="819"/>
      <c r="C5" s="819"/>
      <c r="D5" s="819"/>
      <c r="E5" s="819"/>
      <c r="F5" s="819"/>
      <c r="G5" s="819"/>
      <c r="H5" s="819"/>
      <c r="I5" s="819"/>
      <c r="J5" s="447"/>
      <c r="K5" s="819"/>
      <c r="L5" s="790"/>
      <c r="M5" s="819"/>
      <c r="N5" s="788"/>
      <c r="O5" s="788"/>
      <c r="P5" s="459"/>
      <c r="Q5" s="799"/>
      <c r="R5" s="800"/>
      <c r="S5" s="843"/>
      <c r="T5" s="791"/>
      <c r="U5" s="801"/>
      <c r="V5" s="459"/>
      <c r="W5" s="799"/>
      <c r="X5" s="791"/>
      <c r="Y5" s="791"/>
    </row>
    <row r="6" spans="1:27" s="453" customFormat="1" ht="30.75" customHeight="1">
      <c r="A6" s="851" t="s">
        <v>34</v>
      </c>
      <c r="B6" s="448" t="s">
        <v>232</v>
      </c>
      <c r="C6" s="449" t="s">
        <v>235</v>
      </c>
      <c r="D6" s="449" t="s">
        <v>786</v>
      </c>
      <c r="E6" s="449" t="s">
        <v>236</v>
      </c>
      <c r="F6" s="449" t="s">
        <v>771</v>
      </c>
      <c r="G6" s="449" t="s">
        <v>237</v>
      </c>
      <c r="H6" s="450" t="s">
        <v>238</v>
      </c>
      <c r="I6" s="449" t="s">
        <v>770</v>
      </c>
      <c r="J6" s="450" t="s">
        <v>239</v>
      </c>
      <c r="K6" s="449" t="s">
        <v>240</v>
      </c>
      <c r="L6" s="451" t="s">
        <v>233</v>
      </c>
      <c r="M6" s="449" t="s">
        <v>241</v>
      </c>
      <c r="N6" s="452"/>
      <c r="O6" s="452"/>
      <c r="P6" s="448" t="s">
        <v>232</v>
      </c>
      <c r="Q6" s="449" t="s">
        <v>226</v>
      </c>
      <c r="R6" s="768"/>
      <c r="S6" s="841" t="s">
        <v>191</v>
      </c>
      <c r="T6" s="449" t="s">
        <v>234</v>
      </c>
      <c r="U6" s="449" t="s">
        <v>242</v>
      </c>
      <c r="V6" s="448" t="s">
        <v>232</v>
      </c>
      <c r="W6" s="449" t="s">
        <v>226</v>
      </c>
      <c r="X6" s="449" t="s">
        <v>191</v>
      </c>
      <c r="Y6" s="449" t="s">
        <v>234</v>
      </c>
      <c r="Z6" s="448" t="s">
        <v>242</v>
      </c>
    </row>
    <row r="7" spans="1:27">
      <c r="A7" s="852">
        <f>IF(B7&lt;&gt;"",ROW()-17,"")</f>
        <v>-10</v>
      </c>
      <c r="B7" s="850" t="s">
        <v>819</v>
      </c>
      <c r="C7" s="817">
        <f>U7</f>
        <v>1613276</v>
      </c>
      <c r="D7" s="817">
        <f t="shared" ref="D7:I16" si="0">IF($L$171&lt;&gt;0,D$171/$L$171*$L7,0)</f>
        <v>46699.591930132337</v>
      </c>
      <c r="E7" s="817">
        <f t="shared" si="0"/>
        <v>11642.195187063804</v>
      </c>
      <c r="F7" s="814">
        <f t="shared" si="0"/>
        <v>54043.705426947869</v>
      </c>
      <c r="G7" s="814">
        <f t="shared" si="0"/>
        <v>6215.1756225925783</v>
      </c>
      <c r="H7" s="814">
        <f t="shared" si="0"/>
        <v>2803.0967545097442</v>
      </c>
      <c r="I7" s="817">
        <f>IF($L$171&lt;&gt;0,I$171/$L$171*$L7,0)</f>
        <v>11828.48899736852</v>
      </c>
      <c r="J7" s="815"/>
      <c r="K7" s="817">
        <f>ROUND(SUM(C7:I7),0)-1</f>
        <v>1746507</v>
      </c>
      <c r="L7" s="817">
        <v>98</v>
      </c>
      <c r="M7" s="814">
        <f>IF(L7&lt;&gt;"",K7/L7,"")</f>
        <v>17821.5</v>
      </c>
      <c r="N7" s="678">
        <v>18940</v>
      </c>
      <c r="O7" s="678"/>
      <c r="P7" s="189" t="s">
        <v>496</v>
      </c>
      <c r="Q7" s="794">
        <v>40690</v>
      </c>
      <c r="R7" s="793"/>
      <c r="S7" s="306">
        <v>98</v>
      </c>
      <c r="T7" s="822">
        <v>16462</v>
      </c>
      <c r="U7" s="25">
        <f>S7*T7</f>
        <v>1613276</v>
      </c>
      <c r="V7" s="454" t="s">
        <v>388</v>
      </c>
      <c r="W7" s="792">
        <v>40644</v>
      </c>
      <c r="X7" s="822">
        <v>50</v>
      </c>
      <c r="Y7" s="822">
        <v>23500</v>
      </c>
      <c r="Z7" s="25">
        <f>X7*Y7</f>
        <v>1175000</v>
      </c>
    </row>
    <row r="8" spans="1:27">
      <c r="A8" s="827">
        <f>IF(B8&lt;&gt;"",A7+1,"")</f>
        <v>-9</v>
      </c>
      <c r="B8" s="299" t="s">
        <v>820</v>
      </c>
      <c r="C8" s="849">
        <f t="shared" ref="C8:C71" si="1">U8</f>
        <v>2189250</v>
      </c>
      <c r="D8" s="545">
        <f t="shared" si="0"/>
        <v>84345.181343198201</v>
      </c>
      <c r="E8" s="545">
        <f t="shared" si="0"/>
        <v>21027.230082758095</v>
      </c>
      <c r="F8" s="545">
        <f t="shared" si="0"/>
        <v>97609.549597650752</v>
      </c>
      <c r="G8" s="545">
        <f t="shared" si="0"/>
        <v>11225.368216315168</v>
      </c>
      <c r="H8" s="545">
        <f t="shared" si="0"/>
        <v>5062.7359749818852</v>
      </c>
      <c r="I8" s="545">
        <f t="shared" si="0"/>
        <v>21363.699515655389</v>
      </c>
      <c r="J8" s="828"/>
      <c r="K8" s="817">
        <f t="shared" ref="K8:K15" si="2">ROUND(SUM(C8:I8),0)-1</f>
        <v>2429883</v>
      </c>
      <c r="L8" s="545">
        <v>177</v>
      </c>
      <c r="M8" s="545">
        <f t="shared" ref="M8:M9" si="3">IF(L8&lt;&gt;"",K8/L8,"")</f>
        <v>13728.152542372882</v>
      </c>
      <c r="N8" s="678">
        <v>15550</v>
      </c>
      <c r="O8" s="678"/>
      <c r="P8" s="189" t="s">
        <v>402</v>
      </c>
      <c r="Q8" s="794">
        <v>40690</v>
      </c>
      <c r="R8" s="793"/>
      <c r="S8" s="306">
        <v>90</v>
      </c>
      <c r="T8" s="822">
        <v>24325</v>
      </c>
      <c r="U8" s="25">
        <f t="shared" ref="U8" si="4">S8*T8</f>
        <v>2189250</v>
      </c>
      <c r="V8" s="456" t="s">
        <v>340</v>
      </c>
      <c r="W8" s="794">
        <v>40644</v>
      </c>
      <c r="X8" s="821">
        <v>20</v>
      </c>
      <c r="Y8" s="821">
        <v>42000</v>
      </c>
      <c r="Z8" s="8">
        <f t="shared" ref="Z8" si="5">X8*Y8</f>
        <v>840000</v>
      </c>
    </row>
    <row r="9" spans="1:27">
      <c r="A9" s="816">
        <f>IF(B9&lt;&gt;"",A8+1,"")</f>
        <v>-8</v>
      </c>
      <c r="B9" s="298" t="s">
        <v>821</v>
      </c>
      <c r="C9" s="849">
        <f t="shared" si="1"/>
        <v>3370125</v>
      </c>
      <c r="D9" s="258">
        <f t="shared" si="0"/>
        <v>97687.921894664571</v>
      </c>
      <c r="E9" s="258">
        <f t="shared" si="0"/>
        <v>24353.571564776325</v>
      </c>
      <c r="F9" s="258">
        <f t="shared" si="0"/>
        <v>113050.60829106442</v>
      </c>
      <c r="G9" s="258">
        <f t="shared" si="0"/>
        <v>13001.132679913047</v>
      </c>
      <c r="H9" s="258">
        <f t="shared" si="0"/>
        <v>5863.6207619846691</v>
      </c>
      <c r="I9" s="258">
        <f t="shared" si="0"/>
        <v>24743.267800617825</v>
      </c>
      <c r="J9" s="455"/>
      <c r="K9" s="817">
        <f t="shared" si="2"/>
        <v>3648824</v>
      </c>
      <c r="L9" s="258">
        <v>205</v>
      </c>
      <c r="M9" s="258">
        <f t="shared" si="3"/>
        <v>17799.141463414635</v>
      </c>
      <c r="N9" s="678">
        <v>19690</v>
      </c>
      <c r="O9" s="678"/>
      <c r="P9" s="298" t="s">
        <v>480</v>
      </c>
      <c r="Q9" s="794">
        <v>40690</v>
      </c>
      <c r="R9" s="793"/>
      <c r="S9" s="844">
        <v>209</v>
      </c>
      <c r="T9" s="256">
        <v>16125</v>
      </c>
      <c r="U9" s="8">
        <f t="shared" ref="U9" si="6">S9*T9</f>
        <v>3370125</v>
      </c>
      <c r="V9" s="456" t="s">
        <v>475</v>
      </c>
      <c r="W9" s="794">
        <v>40660</v>
      </c>
      <c r="X9" s="821">
        <v>5000</v>
      </c>
      <c r="Y9" s="821">
        <v>220</v>
      </c>
      <c r="Z9" s="8">
        <f t="shared" ref="Z9:Z10" si="7">X9*Y9</f>
        <v>1100000</v>
      </c>
    </row>
    <row r="10" spans="1:27">
      <c r="A10" s="816">
        <f t="shared" ref="A10:A11" si="8">IF(B10&lt;&gt;"",A9+1,"")</f>
        <v>-7</v>
      </c>
      <c r="B10" s="298" t="s">
        <v>829</v>
      </c>
      <c r="C10" s="849">
        <f t="shared" si="1"/>
        <v>2056844</v>
      </c>
      <c r="D10" s="258">
        <f t="shared" si="0"/>
        <v>134856.98485946379</v>
      </c>
      <c r="E10" s="258">
        <f t="shared" si="0"/>
        <v>33619.808550398535</v>
      </c>
      <c r="F10" s="258">
        <f t="shared" si="0"/>
        <v>156064.98607985966</v>
      </c>
      <c r="G10" s="258">
        <f t="shared" si="0"/>
        <v>17947.905114221427</v>
      </c>
      <c r="H10" s="258">
        <f t="shared" si="0"/>
        <v>8094.656954349568</v>
      </c>
      <c r="I10" s="258">
        <f t="shared" si="0"/>
        <v>34157.779451584604</v>
      </c>
      <c r="J10" s="455"/>
      <c r="K10" s="817">
        <f t="shared" si="2"/>
        <v>2441585</v>
      </c>
      <c r="L10" s="258">
        <v>283</v>
      </c>
      <c r="M10" s="258">
        <f t="shared" ref="M10:M11" si="9">IF(L10&lt;&gt;"",K10/L10,"")</f>
        <v>8627.5088339222621</v>
      </c>
      <c r="N10" s="678">
        <v>9760</v>
      </c>
      <c r="O10" s="678"/>
      <c r="P10" s="189" t="s">
        <v>523</v>
      </c>
      <c r="Q10" s="794">
        <v>40690</v>
      </c>
      <c r="R10" s="793"/>
      <c r="S10" s="306">
        <f>L10</f>
        <v>283</v>
      </c>
      <c r="T10" s="259">
        <v>7268</v>
      </c>
      <c r="U10" s="8">
        <f t="shared" ref="U10:U11" si="10">S10*T10</f>
        <v>2056844</v>
      </c>
      <c r="V10" s="456"/>
      <c r="W10" s="794"/>
      <c r="X10" s="821"/>
      <c r="Y10" s="821"/>
      <c r="Z10" s="8">
        <f t="shared" si="7"/>
        <v>0</v>
      </c>
    </row>
    <row r="11" spans="1:27">
      <c r="A11" s="816">
        <f t="shared" si="8"/>
        <v>-6</v>
      </c>
      <c r="B11" s="298" t="s">
        <v>822</v>
      </c>
      <c r="C11" s="849">
        <f t="shared" si="1"/>
        <v>2772328</v>
      </c>
      <c r="D11" s="258">
        <f t="shared" si="0"/>
        <v>234927.53899546165</v>
      </c>
      <c r="E11" s="258">
        <f t="shared" si="0"/>
        <v>58567.369665535261</v>
      </c>
      <c r="F11" s="258">
        <f t="shared" si="0"/>
        <v>271872.92628046224</v>
      </c>
      <c r="G11" s="258">
        <f t="shared" si="0"/>
        <v>31266.138591205523</v>
      </c>
      <c r="H11" s="258">
        <f t="shared" si="0"/>
        <v>14101.292856870448</v>
      </c>
      <c r="I11" s="258">
        <f t="shared" si="0"/>
        <v>59504.541588802866</v>
      </c>
      <c r="J11" s="455"/>
      <c r="K11" s="817">
        <f t="shared" si="2"/>
        <v>3442567</v>
      </c>
      <c r="L11" s="258">
        <v>493</v>
      </c>
      <c r="M11" s="258">
        <f t="shared" si="9"/>
        <v>6982.8945233265722</v>
      </c>
      <c r="N11" s="678">
        <v>7160</v>
      </c>
      <c r="O11" s="678"/>
      <c r="P11" s="189" t="s">
        <v>502</v>
      </c>
      <c r="Q11" s="794">
        <v>40690</v>
      </c>
      <c r="R11" s="793"/>
      <c r="S11" s="844">
        <v>494</v>
      </c>
      <c r="T11" s="259">
        <v>5612</v>
      </c>
      <c r="U11" s="8">
        <f t="shared" si="10"/>
        <v>2772328</v>
      </c>
      <c r="V11" s="456"/>
      <c r="W11" s="794"/>
      <c r="X11" s="821"/>
      <c r="Y11" s="821"/>
      <c r="Z11" s="8">
        <f t="shared" ref="Z11" si="11">X11*Y11</f>
        <v>0</v>
      </c>
    </row>
    <row r="12" spans="1:27">
      <c r="A12" s="777">
        <f t="shared" ref="A12:A41" si="12">IF(B12&lt;&gt;"",A11+1,"")</f>
        <v>-5</v>
      </c>
      <c r="B12" s="298" t="s">
        <v>823</v>
      </c>
      <c r="C12" s="849">
        <f t="shared" si="1"/>
        <v>2320738</v>
      </c>
      <c r="D12" s="778">
        <f t="shared" si="0"/>
        <v>189657.52641012927</v>
      </c>
      <c r="E12" s="778">
        <f t="shared" si="0"/>
        <v>47281.568208687691</v>
      </c>
      <c r="F12" s="778">
        <f t="shared" si="0"/>
        <v>219483.61999923727</v>
      </c>
      <c r="G12" s="778">
        <f t="shared" si="0"/>
        <v>25241.223446855573</v>
      </c>
      <c r="H12" s="778">
        <f t="shared" si="0"/>
        <v>11384.005186682431</v>
      </c>
      <c r="I12" s="778">
        <f t="shared" si="0"/>
        <v>48038.149193394602</v>
      </c>
      <c r="J12" s="365"/>
      <c r="K12" s="817">
        <f t="shared" si="2"/>
        <v>2861823</v>
      </c>
      <c r="L12" s="778">
        <v>398</v>
      </c>
      <c r="M12" s="778">
        <f t="shared" ref="M12:M43" si="13">IF(L12&lt;&gt;"",K12/L12,"")</f>
        <v>7190.510050251256</v>
      </c>
      <c r="N12" s="678">
        <v>7360</v>
      </c>
      <c r="O12" s="678"/>
      <c r="P12" s="189" t="s">
        <v>503</v>
      </c>
      <c r="Q12" s="794">
        <v>40690</v>
      </c>
      <c r="R12" s="793"/>
      <c r="S12" s="844">
        <f>L12</f>
        <v>398</v>
      </c>
      <c r="T12" s="259">
        <v>5831</v>
      </c>
      <c r="U12" s="8">
        <f t="shared" ref="U12:U50" si="14">S12*T12</f>
        <v>2320738</v>
      </c>
      <c r="V12" s="456"/>
      <c r="W12" s="794"/>
      <c r="X12" s="821"/>
      <c r="Y12" s="821"/>
      <c r="Z12" s="8">
        <f t="shared" ref="Z12:Z43" si="15">X12*Y12</f>
        <v>0</v>
      </c>
    </row>
    <row r="13" spans="1:27">
      <c r="A13" s="777">
        <f t="shared" si="12"/>
        <v>-4</v>
      </c>
      <c r="B13" s="298" t="s">
        <v>824</v>
      </c>
      <c r="C13" s="849">
        <f t="shared" si="1"/>
        <v>1212200</v>
      </c>
      <c r="D13" s="778">
        <f t="shared" si="0"/>
        <v>46699.591930132337</v>
      </c>
      <c r="E13" s="778">
        <f t="shared" si="0"/>
        <v>11642.195187063804</v>
      </c>
      <c r="F13" s="778">
        <f t="shared" si="0"/>
        <v>54043.705426947869</v>
      </c>
      <c r="G13" s="778">
        <f t="shared" si="0"/>
        <v>6215.1756225925783</v>
      </c>
      <c r="H13" s="778">
        <f t="shared" si="0"/>
        <v>2803.0967545097442</v>
      </c>
      <c r="I13" s="778">
        <f t="shared" si="0"/>
        <v>11828.48899736852</v>
      </c>
      <c r="J13" s="365"/>
      <c r="K13" s="817">
        <f t="shared" si="2"/>
        <v>1345431</v>
      </c>
      <c r="L13" s="778">
        <v>98</v>
      </c>
      <c r="M13" s="778">
        <f t="shared" si="13"/>
        <v>13728.887755102041</v>
      </c>
      <c r="N13" s="678">
        <v>15400</v>
      </c>
      <c r="O13" s="678"/>
      <c r="P13" s="189" t="s">
        <v>508</v>
      </c>
      <c r="Q13" s="794">
        <v>40690</v>
      </c>
      <c r="R13" s="793"/>
      <c r="S13" s="306">
        <v>100</v>
      </c>
      <c r="T13" s="259">
        <v>12122</v>
      </c>
      <c r="U13" s="8">
        <f t="shared" si="14"/>
        <v>1212200</v>
      </c>
      <c r="V13" s="456"/>
      <c r="W13" s="794"/>
      <c r="X13" s="821"/>
      <c r="Y13" s="821"/>
      <c r="Z13" s="8">
        <f t="shared" si="15"/>
        <v>0</v>
      </c>
    </row>
    <row r="14" spans="1:27">
      <c r="A14" s="777">
        <f t="shared" si="12"/>
        <v>-3</v>
      </c>
      <c r="B14" s="298" t="s">
        <v>827</v>
      </c>
      <c r="C14" s="849">
        <f t="shared" si="1"/>
        <v>3042375</v>
      </c>
      <c r="D14" s="778">
        <f t="shared" si="0"/>
        <v>91016.551618931393</v>
      </c>
      <c r="E14" s="778">
        <f t="shared" si="0"/>
        <v>22690.40082376721</v>
      </c>
      <c r="F14" s="778">
        <f t="shared" si="0"/>
        <v>105330.07894435758</v>
      </c>
      <c r="G14" s="778">
        <f t="shared" si="0"/>
        <v>12113.250448114108</v>
      </c>
      <c r="H14" s="778">
        <f t="shared" si="0"/>
        <v>5463.1783684832772</v>
      </c>
      <c r="I14" s="778">
        <f t="shared" si="0"/>
        <v>23053.483658136607</v>
      </c>
      <c r="J14" s="365"/>
      <c r="K14" s="817">
        <f t="shared" si="2"/>
        <v>3302041</v>
      </c>
      <c r="L14" s="778">
        <v>191</v>
      </c>
      <c r="M14" s="778">
        <f t="shared" si="13"/>
        <v>17288.172774869108</v>
      </c>
      <c r="N14" s="678">
        <v>18480</v>
      </c>
      <c r="O14" s="678"/>
      <c r="P14" s="189" t="s">
        <v>485</v>
      </c>
      <c r="Q14" s="794">
        <v>40690</v>
      </c>
      <c r="R14" s="793"/>
      <c r="S14" s="844">
        <v>95</v>
      </c>
      <c r="T14" s="259">
        <v>32025</v>
      </c>
      <c r="U14" s="8">
        <f t="shared" si="14"/>
        <v>3042375</v>
      </c>
      <c r="V14" s="456"/>
      <c r="W14" s="794"/>
      <c r="X14" s="821"/>
      <c r="Y14" s="821"/>
      <c r="Z14" s="8">
        <f t="shared" si="15"/>
        <v>0</v>
      </c>
    </row>
    <row r="15" spans="1:27">
      <c r="A15" s="777">
        <f t="shared" si="12"/>
        <v>-2</v>
      </c>
      <c r="B15" s="298" t="s">
        <v>828</v>
      </c>
      <c r="C15" s="849">
        <f t="shared" si="1"/>
        <v>2780588</v>
      </c>
      <c r="D15" s="778">
        <f t="shared" si="0"/>
        <v>98164.448342931239</v>
      </c>
      <c r="E15" s="778">
        <f t="shared" si="0"/>
        <v>24472.369474848405</v>
      </c>
      <c r="F15" s="778">
        <f t="shared" si="0"/>
        <v>113602.07467297206</v>
      </c>
      <c r="G15" s="778">
        <f t="shared" si="0"/>
        <v>13064.552839327256</v>
      </c>
      <c r="H15" s="778">
        <f t="shared" si="0"/>
        <v>5892.2237900919117</v>
      </c>
      <c r="I15" s="778">
        <f t="shared" si="0"/>
        <v>24863.966667937912</v>
      </c>
      <c r="J15" s="365"/>
      <c r="K15" s="817">
        <f t="shared" si="2"/>
        <v>3060647</v>
      </c>
      <c r="L15" s="778">
        <v>206</v>
      </c>
      <c r="M15" s="778">
        <f t="shared" si="13"/>
        <v>14857.509708737864</v>
      </c>
      <c r="N15" s="678">
        <v>15230</v>
      </c>
      <c r="O15" s="678"/>
      <c r="P15" s="189" t="s">
        <v>501</v>
      </c>
      <c r="Q15" s="794">
        <v>40690</v>
      </c>
      <c r="R15" s="793"/>
      <c r="S15" s="306">
        <f>L15</f>
        <v>206</v>
      </c>
      <c r="T15" s="259">
        <v>13498</v>
      </c>
      <c r="U15" s="8">
        <f t="shared" si="14"/>
        <v>2780588</v>
      </c>
      <c r="V15" s="456"/>
      <c r="W15" s="794"/>
      <c r="X15" s="821"/>
      <c r="Y15" s="821"/>
      <c r="Z15" s="8">
        <f t="shared" si="15"/>
        <v>0</v>
      </c>
    </row>
    <row r="16" spans="1:27">
      <c r="A16" s="777">
        <f t="shared" si="12"/>
        <v>-1</v>
      </c>
      <c r="B16" s="298" t="s">
        <v>830</v>
      </c>
      <c r="C16" s="849">
        <f t="shared" si="1"/>
        <v>541500</v>
      </c>
      <c r="D16" s="778">
        <f t="shared" si="0"/>
        <v>23826.322413332822</v>
      </c>
      <c r="E16" s="778">
        <f t="shared" si="0"/>
        <v>5939.8955036039815</v>
      </c>
      <c r="F16" s="778">
        <f t="shared" si="0"/>
        <v>27573.319095381565</v>
      </c>
      <c r="G16" s="778">
        <f t="shared" si="0"/>
        <v>3171.0079707104992</v>
      </c>
      <c r="H16" s="778">
        <f t="shared" si="0"/>
        <v>1430.1514053621145</v>
      </c>
      <c r="I16" s="778">
        <f t="shared" si="0"/>
        <v>6034.9433660043469</v>
      </c>
      <c r="J16" s="365"/>
      <c r="K16" s="817">
        <f>ROUND(SUM(C16:I16),0)-1</f>
        <v>609475</v>
      </c>
      <c r="L16" s="778">
        <v>50</v>
      </c>
      <c r="M16" s="778">
        <f t="shared" si="13"/>
        <v>12189.5</v>
      </c>
      <c r="N16" s="678">
        <v>13832</v>
      </c>
      <c r="O16" s="678"/>
      <c r="P16" s="189" t="s">
        <v>400</v>
      </c>
      <c r="Q16" s="794">
        <v>40690</v>
      </c>
      <c r="R16" s="793"/>
      <c r="S16" s="306">
        <v>50</v>
      </c>
      <c r="T16" s="256">
        <v>10830</v>
      </c>
      <c r="U16" s="8">
        <f t="shared" si="14"/>
        <v>541500</v>
      </c>
      <c r="V16" s="456"/>
      <c r="W16" s="794"/>
      <c r="X16" s="821"/>
      <c r="Y16" s="821"/>
      <c r="Z16" s="8">
        <f t="shared" si="15"/>
        <v>0</v>
      </c>
    </row>
    <row r="17" spans="1:26">
      <c r="A17" s="777">
        <f t="shared" si="12"/>
        <v>0</v>
      </c>
      <c r="B17" s="298" t="s">
        <v>756</v>
      </c>
      <c r="C17" s="849">
        <f t="shared" si="1"/>
        <v>333675</v>
      </c>
      <c r="D17" s="778">
        <f t="shared" ref="D17:I26" si="16">IF($L$171&lt;&gt;0,D$171/$L$171*$L17,0)</f>
        <v>142957.93447999694</v>
      </c>
      <c r="E17" s="778">
        <f t="shared" si="16"/>
        <v>35639.373021623891</v>
      </c>
      <c r="F17" s="778">
        <f t="shared" si="16"/>
        <v>165439.91457228939</v>
      </c>
      <c r="G17" s="778">
        <f t="shared" si="16"/>
        <v>19026.047824262994</v>
      </c>
      <c r="H17" s="778">
        <f t="shared" si="16"/>
        <v>8580.9084321726859</v>
      </c>
      <c r="I17" s="778">
        <f t="shared" si="16"/>
        <v>36209.660196026081</v>
      </c>
      <c r="J17" s="365"/>
      <c r="K17" s="817">
        <f t="shared" ref="K17:K71" si="17">ROUND(SUM(C17:I17),0)</f>
        <v>741529</v>
      </c>
      <c r="L17" s="778">
        <v>300</v>
      </c>
      <c r="M17" s="778">
        <f t="shared" si="13"/>
        <v>2471.7633333333333</v>
      </c>
      <c r="N17" s="678">
        <v>3500</v>
      </c>
      <c r="O17" s="678"/>
      <c r="P17" s="189" t="s">
        <v>387</v>
      </c>
      <c r="Q17" s="794">
        <v>40690</v>
      </c>
      <c r="R17" s="793"/>
      <c r="S17" s="306">
        <f>L17/4</f>
        <v>75</v>
      </c>
      <c r="T17" s="259">
        <v>4449</v>
      </c>
      <c r="U17" s="8">
        <f t="shared" si="14"/>
        <v>333675</v>
      </c>
      <c r="V17" s="456"/>
      <c r="W17" s="794"/>
      <c r="X17" s="821"/>
      <c r="Y17" s="821"/>
      <c r="Z17" s="8">
        <f t="shared" si="15"/>
        <v>0</v>
      </c>
    </row>
    <row r="18" spans="1:26">
      <c r="A18" s="777">
        <f t="shared" si="12"/>
        <v>1</v>
      </c>
      <c r="B18" s="298" t="s">
        <v>831</v>
      </c>
      <c r="C18" s="849">
        <f t="shared" si="1"/>
        <v>112875</v>
      </c>
      <c r="D18" s="778">
        <f t="shared" si="16"/>
        <v>3335.6851378665951</v>
      </c>
      <c r="E18" s="778">
        <f t="shared" si="16"/>
        <v>831.58537050455743</v>
      </c>
      <c r="F18" s="778">
        <f t="shared" si="16"/>
        <v>3860.2646733534193</v>
      </c>
      <c r="G18" s="778">
        <f t="shared" si="16"/>
        <v>443.94111589946988</v>
      </c>
      <c r="H18" s="778">
        <f t="shared" si="16"/>
        <v>200.22119675069601</v>
      </c>
      <c r="I18" s="778">
        <f t="shared" si="16"/>
        <v>844.89207124060863</v>
      </c>
      <c r="J18" s="365"/>
      <c r="K18" s="817">
        <f t="shared" si="17"/>
        <v>122392</v>
      </c>
      <c r="L18" s="778">
        <v>7</v>
      </c>
      <c r="M18" s="778">
        <f t="shared" si="13"/>
        <v>17484.571428571428</v>
      </c>
      <c r="N18" s="678">
        <v>19908</v>
      </c>
      <c r="O18" s="678"/>
      <c r="P18" s="298" t="s">
        <v>480</v>
      </c>
      <c r="Q18" s="794">
        <v>40690</v>
      </c>
      <c r="R18" s="793"/>
      <c r="S18" s="844">
        <f t="shared" ref="S18:S19" si="18">L18</f>
        <v>7</v>
      </c>
      <c r="T18" s="256">
        <v>16125</v>
      </c>
      <c r="U18" s="8">
        <f t="shared" si="14"/>
        <v>112875</v>
      </c>
      <c r="V18" s="456"/>
      <c r="W18" s="794"/>
      <c r="X18" s="821"/>
      <c r="Y18" s="821"/>
      <c r="Z18" s="8">
        <f t="shared" si="15"/>
        <v>0</v>
      </c>
    </row>
    <row r="19" spans="1:26">
      <c r="A19" s="777">
        <f t="shared" si="12"/>
        <v>2</v>
      </c>
      <c r="B19" s="298" t="s">
        <v>832</v>
      </c>
      <c r="C19" s="849">
        <f t="shared" si="1"/>
        <v>112875</v>
      </c>
      <c r="D19" s="778">
        <f t="shared" si="16"/>
        <v>3335.6851378665951</v>
      </c>
      <c r="E19" s="778">
        <f t="shared" si="16"/>
        <v>831.58537050455743</v>
      </c>
      <c r="F19" s="778">
        <f t="shared" si="16"/>
        <v>3860.2646733534193</v>
      </c>
      <c r="G19" s="778">
        <f t="shared" si="16"/>
        <v>443.94111589946988</v>
      </c>
      <c r="H19" s="778">
        <f t="shared" si="16"/>
        <v>200.22119675069601</v>
      </c>
      <c r="I19" s="778">
        <f t="shared" si="16"/>
        <v>844.89207124060863</v>
      </c>
      <c r="J19" s="365"/>
      <c r="K19" s="817">
        <f t="shared" si="17"/>
        <v>122392</v>
      </c>
      <c r="L19" s="778">
        <v>7</v>
      </c>
      <c r="M19" s="778">
        <f t="shared" si="13"/>
        <v>17484.571428571428</v>
      </c>
      <c r="N19" s="678">
        <v>19285</v>
      </c>
      <c r="O19" s="678"/>
      <c r="P19" s="298" t="s">
        <v>480</v>
      </c>
      <c r="Q19" s="794">
        <v>40690</v>
      </c>
      <c r="R19" s="793"/>
      <c r="S19" s="844">
        <f t="shared" si="18"/>
        <v>7</v>
      </c>
      <c r="T19" s="256">
        <v>16125</v>
      </c>
      <c r="U19" s="8">
        <f t="shared" si="14"/>
        <v>112875</v>
      </c>
      <c r="V19" s="456"/>
      <c r="W19" s="794"/>
      <c r="X19" s="821"/>
      <c r="Y19" s="821"/>
      <c r="Z19" s="8">
        <f t="shared" si="15"/>
        <v>0</v>
      </c>
    </row>
    <row r="20" spans="1:26">
      <c r="A20" s="777">
        <f t="shared" si="12"/>
        <v>3</v>
      </c>
      <c r="B20" s="298" t="s">
        <v>830</v>
      </c>
      <c r="C20" s="849">
        <f t="shared" si="1"/>
        <v>2896750</v>
      </c>
      <c r="D20" s="778">
        <f t="shared" si="16"/>
        <v>119131.61206666412</v>
      </c>
      <c r="E20" s="778">
        <f t="shared" si="16"/>
        <v>29699.477518019907</v>
      </c>
      <c r="F20" s="778">
        <f t="shared" si="16"/>
        <v>137866.59547690782</v>
      </c>
      <c r="G20" s="778">
        <f t="shared" si="16"/>
        <v>15855.039853552496</v>
      </c>
      <c r="H20" s="778">
        <f t="shared" si="16"/>
        <v>7150.7570268105719</v>
      </c>
      <c r="I20" s="778">
        <f t="shared" si="16"/>
        <v>30174.716830021738</v>
      </c>
      <c r="J20" s="365"/>
      <c r="K20" s="817">
        <f t="shared" si="17"/>
        <v>3236628</v>
      </c>
      <c r="L20" s="778">
        <v>250</v>
      </c>
      <c r="M20" s="778">
        <f t="shared" si="13"/>
        <v>12946.512000000001</v>
      </c>
      <c r="N20" s="678">
        <v>13832</v>
      </c>
      <c r="O20" s="678"/>
      <c r="P20" s="189" t="s">
        <v>497</v>
      </c>
      <c r="Q20" s="794">
        <v>40690</v>
      </c>
      <c r="R20" s="793"/>
      <c r="S20" s="306">
        <f>L20</f>
        <v>250</v>
      </c>
      <c r="T20" s="256">
        <v>11587</v>
      </c>
      <c r="U20" s="8">
        <f t="shared" si="14"/>
        <v>2896750</v>
      </c>
      <c r="V20" s="456"/>
      <c r="W20" s="794"/>
      <c r="X20" s="821"/>
      <c r="Y20" s="821"/>
      <c r="Z20" s="8">
        <f t="shared" si="15"/>
        <v>0</v>
      </c>
    </row>
    <row r="21" spans="1:26">
      <c r="A21" s="777">
        <f t="shared" si="12"/>
        <v>4</v>
      </c>
      <c r="B21" s="298" t="s">
        <v>833</v>
      </c>
      <c r="C21" s="849">
        <f t="shared" si="1"/>
        <v>1255545</v>
      </c>
      <c r="D21" s="778">
        <f t="shared" si="16"/>
        <v>42887.380343999081</v>
      </c>
      <c r="E21" s="778">
        <f t="shared" si="16"/>
        <v>10691.811906487166</v>
      </c>
      <c r="F21" s="778">
        <f t="shared" si="16"/>
        <v>49631.974371686818</v>
      </c>
      <c r="G21" s="778">
        <f t="shared" si="16"/>
        <v>5707.8143472788988</v>
      </c>
      <c r="H21" s="778">
        <f t="shared" si="16"/>
        <v>2574.2725296518061</v>
      </c>
      <c r="I21" s="778">
        <f t="shared" si="16"/>
        <v>10862.898058807825</v>
      </c>
      <c r="J21" s="365"/>
      <c r="K21" s="817">
        <f t="shared" si="17"/>
        <v>1377901</v>
      </c>
      <c r="L21" s="778">
        <v>90</v>
      </c>
      <c r="M21" s="778">
        <f t="shared" si="13"/>
        <v>15310.011111111111</v>
      </c>
      <c r="N21" s="678">
        <v>15724</v>
      </c>
      <c r="O21" s="678"/>
      <c r="P21" s="298" t="s">
        <v>382</v>
      </c>
      <c r="Q21" s="794">
        <v>40690</v>
      </c>
      <c r="R21" s="793"/>
      <c r="S21" s="306">
        <f>L21/2</f>
        <v>45</v>
      </c>
      <c r="T21" s="822">
        <v>27901</v>
      </c>
      <c r="U21" s="8">
        <f t="shared" si="14"/>
        <v>1255545</v>
      </c>
      <c r="V21" s="456"/>
      <c r="W21" s="794"/>
      <c r="X21" s="821"/>
      <c r="Y21" s="821"/>
      <c r="Z21" s="8">
        <f t="shared" si="15"/>
        <v>0</v>
      </c>
    </row>
    <row r="22" spans="1:26">
      <c r="A22" s="827">
        <f t="shared" si="12"/>
        <v>5</v>
      </c>
      <c r="B22" s="299" t="s">
        <v>756</v>
      </c>
      <c r="C22" s="849">
        <f t="shared" si="1"/>
        <v>200205</v>
      </c>
      <c r="D22" s="301">
        <f t="shared" si="16"/>
        <v>42887.380343999081</v>
      </c>
      <c r="E22" s="301">
        <f t="shared" si="16"/>
        <v>10691.811906487166</v>
      </c>
      <c r="F22" s="301">
        <f t="shared" si="16"/>
        <v>49631.974371686818</v>
      </c>
      <c r="G22" s="301">
        <f t="shared" si="16"/>
        <v>5707.8143472788988</v>
      </c>
      <c r="H22" s="301">
        <f t="shared" si="16"/>
        <v>2574.2725296518061</v>
      </c>
      <c r="I22" s="301">
        <f t="shared" si="16"/>
        <v>10862.898058807825</v>
      </c>
      <c r="J22" s="545"/>
      <c r="K22" s="817">
        <f t="shared" si="17"/>
        <v>322561</v>
      </c>
      <c r="L22" s="545">
        <v>90</v>
      </c>
      <c r="M22" s="829">
        <f t="shared" si="13"/>
        <v>3584.0111111111109</v>
      </c>
      <c r="N22" s="678">
        <v>4265</v>
      </c>
      <c r="O22" s="678"/>
      <c r="P22" s="189" t="s">
        <v>387</v>
      </c>
      <c r="Q22" s="794">
        <v>40690</v>
      </c>
      <c r="R22" s="793"/>
      <c r="S22" s="306">
        <f>L22/2</f>
        <v>45</v>
      </c>
      <c r="T22" s="259">
        <v>4449</v>
      </c>
      <c r="U22" s="8">
        <f t="shared" si="14"/>
        <v>200205</v>
      </c>
      <c r="V22" s="456"/>
      <c r="W22" s="794"/>
      <c r="X22" s="821"/>
      <c r="Y22" s="821"/>
      <c r="Z22" s="8">
        <f t="shared" si="15"/>
        <v>0</v>
      </c>
    </row>
    <row r="23" spans="1:26">
      <c r="A23" s="777">
        <f>IF(B23&lt;&gt;"",A22+1,"")</f>
        <v>6</v>
      </c>
      <c r="B23" s="298" t="s">
        <v>836</v>
      </c>
      <c r="C23" s="849">
        <f t="shared" si="1"/>
        <v>12800</v>
      </c>
      <c r="D23" s="778">
        <f t="shared" si="16"/>
        <v>953.05289653331295</v>
      </c>
      <c r="E23" s="778">
        <f t="shared" si="16"/>
        <v>237.59582014415926</v>
      </c>
      <c r="F23" s="778">
        <f t="shared" si="16"/>
        <v>1102.9327638152627</v>
      </c>
      <c r="G23" s="778">
        <f t="shared" si="16"/>
        <v>126.84031882841997</v>
      </c>
      <c r="H23" s="778">
        <f t="shared" si="16"/>
        <v>57.206056214484576</v>
      </c>
      <c r="I23" s="778">
        <f t="shared" si="16"/>
        <v>241.39773464017389</v>
      </c>
      <c r="J23" s="365"/>
      <c r="K23" s="817">
        <f t="shared" si="17"/>
        <v>15519</v>
      </c>
      <c r="L23" s="778">
        <v>2</v>
      </c>
      <c r="M23" s="778">
        <f t="shared" si="13"/>
        <v>7759.5</v>
      </c>
      <c r="N23" s="678">
        <v>8839</v>
      </c>
      <c r="O23" s="678"/>
      <c r="P23" s="189" t="s">
        <v>520</v>
      </c>
      <c r="Q23" s="794">
        <v>40690</v>
      </c>
      <c r="R23" s="793"/>
      <c r="S23" s="306">
        <f>L23</f>
        <v>2</v>
      </c>
      <c r="T23" s="259">
        <v>6400</v>
      </c>
      <c r="U23" s="8">
        <f t="shared" si="14"/>
        <v>12800</v>
      </c>
      <c r="V23" s="456"/>
      <c r="W23" s="794"/>
      <c r="X23" s="821"/>
      <c r="Y23" s="821"/>
      <c r="Z23" s="8">
        <f t="shared" si="15"/>
        <v>0</v>
      </c>
    </row>
    <row r="24" spans="1:26">
      <c r="A24" s="777">
        <f t="shared" si="12"/>
        <v>7</v>
      </c>
      <c r="B24" s="298" t="s">
        <v>837</v>
      </c>
      <c r="C24" s="849">
        <f t="shared" si="1"/>
        <v>4592</v>
      </c>
      <c r="D24" s="778">
        <f t="shared" si="16"/>
        <v>953.05289653331295</v>
      </c>
      <c r="E24" s="778">
        <f t="shared" si="16"/>
        <v>237.59582014415926</v>
      </c>
      <c r="F24" s="778">
        <f t="shared" si="16"/>
        <v>1102.9327638152627</v>
      </c>
      <c r="G24" s="778">
        <f t="shared" si="16"/>
        <v>126.84031882841997</v>
      </c>
      <c r="H24" s="778">
        <f t="shared" si="16"/>
        <v>57.206056214484576</v>
      </c>
      <c r="I24" s="778">
        <f t="shared" si="16"/>
        <v>241.39773464017389</v>
      </c>
      <c r="J24" s="365"/>
      <c r="K24" s="817">
        <f t="shared" si="17"/>
        <v>7311</v>
      </c>
      <c r="L24" s="778">
        <v>2</v>
      </c>
      <c r="M24" s="778">
        <f t="shared" si="13"/>
        <v>3655.5</v>
      </c>
      <c r="N24" s="678">
        <v>5857</v>
      </c>
      <c r="O24" s="678"/>
      <c r="P24" s="189" t="s">
        <v>478</v>
      </c>
      <c r="Q24" s="794">
        <v>40690</v>
      </c>
      <c r="R24" s="793"/>
      <c r="S24" s="306">
        <f>L24/2</f>
        <v>1</v>
      </c>
      <c r="T24" s="259">
        <v>4592</v>
      </c>
      <c r="U24" s="8">
        <f t="shared" si="14"/>
        <v>4592</v>
      </c>
      <c r="V24" s="456"/>
      <c r="W24" s="794"/>
      <c r="X24" s="821"/>
      <c r="Y24" s="821"/>
      <c r="Z24" s="8">
        <f t="shared" si="15"/>
        <v>0</v>
      </c>
    </row>
    <row r="25" spans="1:26">
      <c r="A25" s="777">
        <f t="shared" si="12"/>
        <v>8</v>
      </c>
      <c r="B25" s="298" t="s">
        <v>838</v>
      </c>
      <c r="C25" s="849">
        <f t="shared" si="1"/>
        <v>1273600</v>
      </c>
      <c r="D25" s="778">
        <f t="shared" si="16"/>
        <v>92922.657411998007</v>
      </c>
      <c r="E25" s="778">
        <f t="shared" si="16"/>
        <v>23165.592464055528</v>
      </c>
      <c r="F25" s="778">
        <f t="shared" si="16"/>
        <v>107535.94447198811</v>
      </c>
      <c r="G25" s="778">
        <f t="shared" si="16"/>
        <v>12366.931085770946</v>
      </c>
      <c r="H25" s="778">
        <f t="shared" si="16"/>
        <v>5577.5904809122458</v>
      </c>
      <c r="I25" s="778">
        <f t="shared" si="16"/>
        <v>23536.279127416954</v>
      </c>
      <c r="J25" s="365"/>
      <c r="K25" s="817">
        <f t="shared" si="17"/>
        <v>1538705</v>
      </c>
      <c r="L25" s="778">
        <v>195</v>
      </c>
      <c r="M25" s="778">
        <f t="shared" si="13"/>
        <v>7890.7948717948721</v>
      </c>
      <c r="N25" s="678">
        <v>8824</v>
      </c>
      <c r="O25" s="678"/>
      <c r="P25" s="189" t="s">
        <v>520</v>
      </c>
      <c r="Q25" s="794">
        <v>40690</v>
      </c>
      <c r="R25" s="793"/>
      <c r="S25" s="306">
        <v>199</v>
      </c>
      <c r="T25" s="259">
        <v>6400</v>
      </c>
      <c r="U25" s="8">
        <f t="shared" si="14"/>
        <v>1273600</v>
      </c>
      <c r="V25" s="456"/>
      <c r="W25" s="794"/>
      <c r="X25" s="821"/>
      <c r="Y25" s="821"/>
      <c r="Z25" s="8">
        <f t="shared" si="15"/>
        <v>0</v>
      </c>
    </row>
    <row r="26" spans="1:26">
      <c r="A26" s="777">
        <f t="shared" si="12"/>
        <v>9</v>
      </c>
      <c r="B26" s="298" t="s">
        <v>839</v>
      </c>
      <c r="C26" s="849">
        <f t="shared" si="1"/>
        <v>295680</v>
      </c>
      <c r="D26" s="778">
        <f t="shared" si="16"/>
        <v>9530.5289653331292</v>
      </c>
      <c r="E26" s="778">
        <f t="shared" si="16"/>
        <v>2375.9582014415928</v>
      </c>
      <c r="F26" s="778">
        <f t="shared" si="16"/>
        <v>11029.327638152627</v>
      </c>
      <c r="G26" s="778">
        <f t="shared" si="16"/>
        <v>1268.4031882841996</v>
      </c>
      <c r="H26" s="778">
        <f t="shared" si="16"/>
        <v>572.06056214484579</v>
      </c>
      <c r="I26" s="778">
        <f t="shared" si="16"/>
        <v>2413.9773464017389</v>
      </c>
      <c r="J26" s="365"/>
      <c r="K26" s="817">
        <f t="shared" si="17"/>
        <v>322870</v>
      </c>
      <c r="L26" s="778">
        <v>20</v>
      </c>
      <c r="M26" s="778">
        <f t="shared" si="13"/>
        <v>16143.5</v>
      </c>
      <c r="N26" s="678">
        <v>16023</v>
      </c>
      <c r="O26" s="678"/>
      <c r="P26" s="189" t="s">
        <v>509</v>
      </c>
      <c r="Q26" s="794">
        <v>40690</v>
      </c>
      <c r="R26" s="793"/>
      <c r="S26" s="306">
        <f>L26</f>
        <v>20</v>
      </c>
      <c r="T26" s="256">
        <v>14784</v>
      </c>
      <c r="U26" s="8">
        <f t="shared" si="14"/>
        <v>295680</v>
      </c>
      <c r="V26" s="456"/>
      <c r="W26" s="794"/>
      <c r="X26" s="821"/>
      <c r="Y26" s="821"/>
      <c r="Z26" s="8">
        <f t="shared" si="15"/>
        <v>0</v>
      </c>
    </row>
    <row r="27" spans="1:26">
      <c r="A27" s="777">
        <f t="shared" si="12"/>
        <v>10</v>
      </c>
      <c r="B27" s="298" t="s">
        <v>840</v>
      </c>
      <c r="C27" s="849">
        <f t="shared" si="1"/>
        <v>5612</v>
      </c>
      <c r="D27" s="778">
        <f t="shared" ref="D27:I36" si="19">IF($L$171&lt;&gt;0,D$171/$L$171*$L27,0)</f>
        <v>476.52644826665647</v>
      </c>
      <c r="E27" s="778">
        <f t="shared" si="19"/>
        <v>118.79791007207963</v>
      </c>
      <c r="F27" s="778">
        <f t="shared" si="19"/>
        <v>551.46638190763133</v>
      </c>
      <c r="G27" s="778">
        <f t="shared" si="19"/>
        <v>63.420159414209984</v>
      </c>
      <c r="H27" s="778">
        <f t="shared" si="19"/>
        <v>28.603028107242288</v>
      </c>
      <c r="I27" s="778">
        <f t="shared" si="19"/>
        <v>120.69886732008695</v>
      </c>
      <c r="J27" s="365"/>
      <c r="K27" s="817">
        <f t="shared" si="17"/>
        <v>6972</v>
      </c>
      <c r="L27" s="778">
        <v>1</v>
      </c>
      <c r="M27" s="778">
        <f t="shared" si="13"/>
        <v>6972</v>
      </c>
      <c r="N27" s="678">
        <v>7358</v>
      </c>
      <c r="O27" s="678"/>
      <c r="P27" s="189" t="s">
        <v>502</v>
      </c>
      <c r="Q27" s="794">
        <v>40690</v>
      </c>
      <c r="R27" s="793"/>
      <c r="S27" s="844">
        <f t="shared" ref="S27" si="20">L27</f>
        <v>1</v>
      </c>
      <c r="T27" s="259">
        <v>5612</v>
      </c>
      <c r="U27" s="8">
        <f t="shared" si="14"/>
        <v>5612</v>
      </c>
      <c r="V27" s="456"/>
      <c r="W27" s="794"/>
      <c r="X27" s="821"/>
      <c r="Y27" s="821"/>
      <c r="Z27" s="8">
        <f t="shared" si="15"/>
        <v>0</v>
      </c>
    </row>
    <row r="28" spans="1:26">
      <c r="A28" s="777">
        <f t="shared" si="12"/>
        <v>11</v>
      </c>
      <c r="B28" s="298" t="s">
        <v>841</v>
      </c>
      <c r="C28" s="849">
        <f t="shared" si="1"/>
        <v>17796</v>
      </c>
      <c r="D28" s="778">
        <f t="shared" si="19"/>
        <v>1906.1057930666259</v>
      </c>
      <c r="E28" s="778">
        <f t="shared" si="19"/>
        <v>475.19164028831852</v>
      </c>
      <c r="F28" s="778">
        <f t="shared" si="19"/>
        <v>2205.8655276305253</v>
      </c>
      <c r="G28" s="778">
        <f t="shared" si="19"/>
        <v>253.68063765683993</v>
      </c>
      <c r="H28" s="778">
        <f t="shared" si="19"/>
        <v>114.41211242896915</v>
      </c>
      <c r="I28" s="778">
        <f t="shared" si="19"/>
        <v>482.79546928034779</v>
      </c>
      <c r="J28" s="365"/>
      <c r="K28" s="817">
        <f t="shared" si="17"/>
        <v>23234</v>
      </c>
      <c r="L28" s="778">
        <v>4</v>
      </c>
      <c r="M28" s="778">
        <f t="shared" si="13"/>
        <v>5808.5</v>
      </c>
      <c r="N28" s="678">
        <v>7429</v>
      </c>
      <c r="O28" s="678"/>
      <c r="P28" s="298" t="s">
        <v>387</v>
      </c>
      <c r="Q28" s="794">
        <v>40690</v>
      </c>
      <c r="R28" s="793"/>
      <c r="S28" s="306">
        <f>L28</f>
        <v>4</v>
      </c>
      <c r="T28" s="259">
        <v>4449</v>
      </c>
      <c r="U28" s="8">
        <f t="shared" si="14"/>
        <v>17796</v>
      </c>
      <c r="V28" s="456"/>
      <c r="W28" s="794"/>
      <c r="X28" s="821"/>
      <c r="Y28" s="821"/>
      <c r="Z28" s="8">
        <f t="shared" si="15"/>
        <v>0</v>
      </c>
    </row>
    <row r="29" spans="1:26">
      <c r="A29" s="777">
        <f t="shared" si="12"/>
        <v>12</v>
      </c>
      <c r="B29" s="298" t="s">
        <v>842</v>
      </c>
      <c r="C29" s="849">
        <f t="shared" si="1"/>
        <v>4449</v>
      </c>
      <c r="D29" s="778">
        <f t="shared" si="19"/>
        <v>953.05289653331295</v>
      </c>
      <c r="E29" s="778">
        <f t="shared" si="19"/>
        <v>237.59582014415926</v>
      </c>
      <c r="F29" s="778">
        <f t="shared" si="19"/>
        <v>1102.9327638152627</v>
      </c>
      <c r="G29" s="778">
        <f t="shared" si="19"/>
        <v>126.84031882841997</v>
      </c>
      <c r="H29" s="778">
        <f t="shared" si="19"/>
        <v>57.206056214484576</v>
      </c>
      <c r="I29" s="778">
        <f t="shared" si="19"/>
        <v>241.39773464017389</v>
      </c>
      <c r="J29" s="365"/>
      <c r="K29" s="817">
        <f t="shared" si="17"/>
        <v>7168</v>
      </c>
      <c r="L29" s="778">
        <v>2</v>
      </c>
      <c r="M29" s="778">
        <f t="shared" si="13"/>
        <v>3584</v>
      </c>
      <c r="N29" s="678">
        <v>4823</v>
      </c>
      <c r="O29" s="678"/>
      <c r="P29" s="189" t="s">
        <v>387</v>
      </c>
      <c r="Q29" s="794">
        <v>40690</v>
      </c>
      <c r="R29" s="793"/>
      <c r="S29" s="306">
        <f>L29/2</f>
        <v>1</v>
      </c>
      <c r="T29" s="259">
        <v>4449</v>
      </c>
      <c r="U29" s="8">
        <f t="shared" si="14"/>
        <v>4449</v>
      </c>
      <c r="V29" s="456"/>
      <c r="W29" s="794"/>
      <c r="X29" s="821"/>
      <c r="Y29" s="821"/>
      <c r="Z29" s="8">
        <f t="shared" si="15"/>
        <v>0</v>
      </c>
    </row>
    <row r="30" spans="1:26">
      <c r="A30" s="777">
        <f t="shared" si="12"/>
        <v>13</v>
      </c>
      <c r="B30" s="298" t="s">
        <v>843</v>
      </c>
      <c r="C30" s="849">
        <f t="shared" si="1"/>
        <v>14536</v>
      </c>
      <c r="D30" s="778">
        <f t="shared" si="19"/>
        <v>953.05289653331295</v>
      </c>
      <c r="E30" s="778">
        <f t="shared" si="19"/>
        <v>237.59582014415926</v>
      </c>
      <c r="F30" s="778">
        <f t="shared" si="19"/>
        <v>1102.9327638152627</v>
      </c>
      <c r="G30" s="778">
        <f t="shared" si="19"/>
        <v>126.84031882841997</v>
      </c>
      <c r="H30" s="778">
        <f t="shared" si="19"/>
        <v>57.206056214484576</v>
      </c>
      <c r="I30" s="778">
        <f t="shared" si="19"/>
        <v>241.39773464017389</v>
      </c>
      <c r="J30" s="365"/>
      <c r="K30" s="817">
        <f t="shared" si="17"/>
        <v>17255</v>
      </c>
      <c r="L30" s="778">
        <v>2</v>
      </c>
      <c r="M30" s="778">
        <f t="shared" si="13"/>
        <v>8627.5</v>
      </c>
      <c r="N30" s="678">
        <v>9141</v>
      </c>
      <c r="O30" s="678"/>
      <c r="P30" s="189" t="s">
        <v>523</v>
      </c>
      <c r="Q30" s="794">
        <v>40690</v>
      </c>
      <c r="R30" s="793"/>
      <c r="S30" s="306">
        <f>L30</f>
        <v>2</v>
      </c>
      <c r="T30" s="259">
        <v>7268</v>
      </c>
      <c r="U30" s="8">
        <f t="shared" si="14"/>
        <v>14536</v>
      </c>
      <c r="V30" s="456"/>
      <c r="W30" s="794"/>
      <c r="X30" s="821"/>
      <c r="Y30" s="821"/>
      <c r="Z30" s="8">
        <f t="shared" si="15"/>
        <v>0</v>
      </c>
    </row>
    <row r="31" spans="1:26">
      <c r="A31" s="777">
        <f t="shared" si="12"/>
        <v>14</v>
      </c>
      <c r="B31" s="298" t="s">
        <v>849</v>
      </c>
      <c r="C31" s="849">
        <f t="shared" si="1"/>
        <v>11662</v>
      </c>
      <c r="D31" s="778">
        <f t="shared" si="19"/>
        <v>953.05289653331295</v>
      </c>
      <c r="E31" s="778">
        <f t="shared" si="19"/>
        <v>237.59582014415926</v>
      </c>
      <c r="F31" s="778">
        <f t="shared" si="19"/>
        <v>1102.9327638152627</v>
      </c>
      <c r="G31" s="778">
        <f t="shared" si="19"/>
        <v>126.84031882841997</v>
      </c>
      <c r="H31" s="778">
        <f t="shared" si="19"/>
        <v>57.206056214484576</v>
      </c>
      <c r="I31" s="778">
        <f t="shared" si="19"/>
        <v>241.39773464017389</v>
      </c>
      <c r="J31" s="365"/>
      <c r="K31" s="817">
        <f t="shared" si="17"/>
        <v>14381</v>
      </c>
      <c r="L31" s="778">
        <v>2</v>
      </c>
      <c r="M31" s="778">
        <f t="shared" si="13"/>
        <v>7190.5</v>
      </c>
      <c r="N31" s="678">
        <v>7441</v>
      </c>
      <c r="O31" s="678"/>
      <c r="P31" s="189" t="s">
        <v>503</v>
      </c>
      <c r="Q31" s="794">
        <v>40690</v>
      </c>
      <c r="R31" s="793"/>
      <c r="S31" s="844">
        <f t="shared" ref="S31:S32" si="21">L31</f>
        <v>2</v>
      </c>
      <c r="T31" s="259">
        <v>5831</v>
      </c>
      <c r="U31" s="8">
        <f t="shared" si="14"/>
        <v>11662</v>
      </c>
      <c r="V31" s="456"/>
      <c r="W31" s="794"/>
      <c r="X31" s="821"/>
      <c r="Y31" s="821"/>
      <c r="Z31" s="8">
        <f t="shared" si="15"/>
        <v>0</v>
      </c>
    </row>
    <row r="32" spans="1:26">
      <c r="A32" s="777">
        <f t="shared" si="12"/>
        <v>15</v>
      </c>
      <c r="B32" s="298" t="s">
        <v>850</v>
      </c>
      <c r="C32" s="849">
        <f t="shared" si="1"/>
        <v>28060</v>
      </c>
      <c r="D32" s="778">
        <f t="shared" si="19"/>
        <v>2382.6322413332823</v>
      </c>
      <c r="E32" s="778">
        <f t="shared" si="19"/>
        <v>593.9895503603982</v>
      </c>
      <c r="F32" s="778">
        <f t="shared" si="19"/>
        <v>2757.3319095381567</v>
      </c>
      <c r="G32" s="778">
        <f t="shared" si="19"/>
        <v>317.1007970710499</v>
      </c>
      <c r="H32" s="778">
        <f t="shared" si="19"/>
        <v>143.01514053621145</v>
      </c>
      <c r="I32" s="778">
        <f t="shared" si="19"/>
        <v>603.49433660043474</v>
      </c>
      <c r="J32" s="365"/>
      <c r="K32" s="817">
        <f t="shared" si="17"/>
        <v>34858</v>
      </c>
      <c r="L32" s="778">
        <v>5</v>
      </c>
      <c r="M32" s="778">
        <f t="shared" si="13"/>
        <v>6971.6</v>
      </c>
      <c r="N32" s="678">
        <v>7175</v>
      </c>
      <c r="O32" s="678"/>
      <c r="P32" s="189" t="s">
        <v>502</v>
      </c>
      <c r="Q32" s="794">
        <v>40690</v>
      </c>
      <c r="R32" s="793"/>
      <c r="S32" s="844">
        <f t="shared" si="21"/>
        <v>5</v>
      </c>
      <c r="T32" s="259">
        <v>5612</v>
      </c>
      <c r="U32" s="8">
        <f t="shared" si="14"/>
        <v>28060</v>
      </c>
      <c r="V32" s="456"/>
      <c r="W32" s="794"/>
      <c r="X32" s="821"/>
      <c r="Y32" s="821"/>
      <c r="Z32" s="8">
        <f t="shared" si="15"/>
        <v>0</v>
      </c>
    </row>
    <row r="33" spans="1:26" ht="409.6">
      <c r="A33" s="777">
        <f t="shared" si="12"/>
        <v>16</v>
      </c>
      <c r="B33" s="298" t="s">
        <v>851</v>
      </c>
      <c r="C33" s="849">
        <f t="shared" si="1"/>
        <v>1455550</v>
      </c>
      <c r="D33" s="778">
        <f t="shared" si="19"/>
        <v>40981.27455093246</v>
      </c>
      <c r="E33" s="778">
        <f t="shared" si="19"/>
        <v>10216.620266198848</v>
      </c>
      <c r="F33" s="778">
        <f t="shared" si="19"/>
        <v>47426.108844056296</v>
      </c>
      <c r="G33" s="778">
        <f t="shared" si="19"/>
        <v>5454.1337096220586</v>
      </c>
      <c r="H33" s="778">
        <f t="shared" si="19"/>
        <v>2459.860417222837</v>
      </c>
      <c r="I33" s="778">
        <f t="shared" si="19"/>
        <v>10380.102589527478</v>
      </c>
      <c r="J33" s="365"/>
      <c r="K33" s="817">
        <f t="shared" si="17"/>
        <v>1572468</v>
      </c>
      <c r="L33" s="778">
        <v>86</v>
      </c>
      <c r="M33" s="778">
        <f t="shared" si="13"/>
        <v>18284.511627906977</v>
      </c>
      <c r="N33" s="678">
        <v>19591</v>
      </c>
      <c r="O33" s="678"/>
      <c r="P33" s="189" t="s">
        <v>489</v>
      </c>
      <c r="Q33" s="794">
        <v>40690</v>
      </c>
      <c r="R33" s="793"/>
      <c r="S33" s="844">
        <f>L33</f>
        <v>86</v>
      </c>
      <c r="T33" s="822">
        <v>16925</v>
      </c>
      <c r="U33" s="8">
        <f t="shared" si="14"/>
        <v>1455550</v>
      </c>
      <c r="V33" s="456"/>
      <c r="W33" s="794"/>
      <c r="X33" s="821"/>
      <c r="Y33" s="821"/>
      <c r="Z33" s="8">
        <f t="shared" si="15"/>
        <v>0</v>
      </c>
    </row>
    <row r="34" spans="1:26" ht="409.6">
      <c r="A34" s="777">
        <f t="shared" si="12"/>
        <v>17</v>
      </c>
      <c r="B34" s="298" t="s">
        <v>852</v>
      </c>
      <c r="C34" s="849">
        <f t="shared" si="1"/>
        <v>53992</v>
      </c>
      <c r="D34" s="778">
        <f t="shared" si="19"/>
        <v>1906.1057930666259</v>
      </c>
      <c r="E34" s="778">
        <f t="shared" si="19"/>
        <v>475.19164028831852</v>
      </c>
      <c r="F34" s="778">
        <f t="shared" si="19"/>
        <v>2205.8655276305253</v>
      </c>
      <c r="G34" s="778">
        <f t="shared" si="19"/>
        <v>253.68063765683993</v>
      </c>
      <c r="H34" s="778">
        <f t="shared" si="19"/>
        <v>114.41211242896915</v>
      </c>
      <c r="I34" s="778">
        <f t="shared" si="19"/>
        <v>482.79546928034779</v>
      </c>
      <c r="J34" s="365"/>
      <c r="K34" s="817">
        <f t="shared" si="17"/>
        <v>59430</v>
      </c>
      <c r="L34" s="778">
        <v>4</v>
      </c>
      <c r="M34" s="778">
        <f t="shared" si="13"/>
        <v>14857.5</v>
      </c>
      <c r="N34" s="678">
        <v>16433</v>
      </c>
      <c r="O34" s="678"/>
      <c r="P34" s="189" t="s">
        <v>501</v>
      </c>
      <c r="Q34" s="794">
        <v>40690</v>
      </c>
      <c r="R34" s="793"/>
      <c r="S34" s="306">
        <f t="shared" ref="S34:S35" si="22">L34</f>
        <v>4</v>
      </c>
      <c r="T34" s="259">
        <v>13498</v>
      </c>
      <c r="U34" s="8">
        <f t="shared" si="14"/>
        <v>53992</v>
      </c>
      <c r="V34" s="456"/>
      <c r="W34" s="794"/>
      <c r="X34" s="821"/>
      <c r="Y34" s="821"/>
      <c r="Z34" s="8">
        <f t="shared" si="15"/>
        <v>0</v>
      </c>
    </row>
    <row r="35" spans="1:26" ht="409.6">
      <c r="A35" s="777">
        <f t="shared" si="12"/>
        <v>18</v>
      </c>
      <c r="B35" s="298" t="s">
        <v>853</v>
      </c>
      <c r="C35" s="849">
        <f t="shared" si="1"/>
        <v>323952</v>
      </c>
      <c r="D35" s="778">
        <f t="shared" si="19"/>
        <v>11436.634758399756</v>
      </c>
      <c r="E35" s="778">
        <f t="shared" si="19"/>
        <v>2851.1498417299113</v>
      </c>
      <c r="F35" s="778">
        <f t="shared" si="19"/>
        <v>13235.193165783152</v>
      </c>
      <c r="G35" s="778">
        <f t="shared" si="19"/>
        <v>1522.0838259410395</v>
      </c>
      <c r="H35" s="778">
        <f t="shared" si="19"/>
        <v>686.47267457381486</v>
      </c>
      <c r="I35" s="778">
        <f t="shared" si="19"/>
        <v>2896.7728156820867</v>
      </c>
      <c r="J35" s="365"/>
      <c r="K35" s="817">
        <f t="shared" si="17"/>
        <v>356580</v>
      </c>
      <c r="L35" s="778">
        <v>24</v>
      </c>
      <c r="M35" s="778">
        <f t="shared" si="13"/>
        <v>14857.5</v>
      </c>
      <c r="N35" s="678">
        <v>15538</v>
      </c>
      <c r="O35" s="678"/>
      <c r="P35" s="189" t="s">
        <v>501</v>
      </c>
      <c r="Q35" s="794">
        <v>40690</v>
      </c>
      <c r="R35" s="793"/>
      <c r="S35" s="306">
        <f t="shared" si="22"/>
        <v>24</v>
      </c>
      <c r="T35" s="259">
        <v>13498</v>
      </c>
      <c r="U35" s="8">
        <f t="shared" si="14"/>
        <v>323952</v>
      </c>
      <c r="V35" s="456"/>
      <c r="W35" s="794"/>
      <c r="X35" s="821"/>
      <c r="Y35" s="821"/>
      <c r="Z35" s="8">
        <f t="shared" si="15"/>
        <v>0</v>
      </c>
    </row>
    <row r="36" spans="1:26" ht="409.6">
      <c r="A36" s="777">
        <f t="shared" si="12"/>
        <v>19</v>
      </c>
      <c r="B36" s="298" t="s">
        <v>854</v>
      </c>
      <c r="C36" s="849">
        <f t="shared" si="1"/>
        <v>5128200</v>
      </c>
      <c r="D36" s="778">
        <f t="shared" si="19"/>
        <v>173455.62716906297</v>
      </c>
      <c r="E36" s="778">
        <f t="shared" si="19"/>
        <v>43242.439266236986</v>
      </c>
      <c r="F36" s="778">
        <f t="shared" si="19"/>
        <v>200733.76301437779</v>
      </c>
      <c r="G36" s="778">
        <f t="shared" si="19"/>
        <v>23084.938026772434</v>
      </c>
      <c r="H36" s="778">
        <f t="shared" si="19"/>
        <v>10411.502231036193</v>
      </c>
      <c r="I36" s="778">
        <f t="shared" si="19"/>
        <v>43934.387704511646</v>
      </c>
      <c r="J36" s="365"/>
      <c r="K36" s="817">
        <f t="shared" si="17"/>
        <v>5623063</v>
      </c>
      <c r="L36" s="778">
        <v>364</v>
      </c>
      <c r="M36" s="778">
        <f t="shared" si="13"/>
        <v>15447.975274725275</v>
      </c>
      <c r="N36" s="678">
        <v>17124</v>
      </c>
      <c r="O36" s="678"/>
      <c r="P36" s="298" t="s">
        <v>482</v>
      </c>
      <c r="Q36" s="794">
        <v>40690</v>
      </c>
      <c r="R36" s="793"/>
      <c r="S36" s="306">
        <v>185</v>
      </c>
      <c r="T36" s="256">
        <v>27720</v>
      </c>
      <c r="U36" s="8">
        <f t="shared" si="14"/>
        <v>5128200</v>
      </c>
      <c r="V36" s="456"/>
      <c r="W36" s="794"/>
      <c r="X36" s="821"/>
      <c r="Y36" s="821"/>
      <c r="Z36" s="8">
        <f t="shared" si="15"/>
        <v>0</v>
      </c>
    </row>
    <row r="37" spans="1:26">
      <c r="A37" s="777">
        <f t="shared" si="12"/>
        <v>20</v>
      </c>
      <c r="B37" s="298" t="s">
        <v>855</v>
      </c>
      <c r="C37" s="849">
        <f t="shared" si="1"/>
        <v>17240</v>
      </c>
      <c r="D37" s="778">
        <f t="shared" ref="D37:I46" si="23">IF($L$171&lt;&gt;0,D$171/$L$171*$L37,0)</f>
        <v>953.05289653331295</v>
      </c>
      <c r="E37" s="778">
        <f t="shared" si="23"/>
        <v>237.59582014415926</v>
      </c>
      <c r="F37" s="778">
        <f t="shared" si="23"/>
        <v>1102.9327638152627</v>
      </c>
      <c r="G37" s="778">
        <f t="shared" si="23"/>
        <v>126.84031882841997</v>
      </c>
      <c r="H37" s="778">
        <f t="shared" si="23"/>
        <v>57.206056214484576</v>
      </c>
      <c r="I37" s="778">
        <f t="shared" si="23"/>
        <v>241.39773464017389</v>
      </c>
      <c r="J37" s="365"/>
      <c r="K37" s="817">
        <f t="shared" si="17"/>
        <v>19959</v>
      </c>
      <c r="L37" s="778">
        <v>2</v>
      </c>
      <c r="M37" s="778">
        <f t="shared" si="13"/>
        <v>9979.5</v>
      </c>
      <c r="N37" s="678">
        <v>12738</v>
      </c>
      <c r="O37" s="678"/>
      <c r="P37" s="189" t="s">
        <v>507</v>
      </c>
      <c r="Q37" s="794">
        <v>40690</v>
      </c>
      <c r="R37" s="793"/>
      <c r="S37" s="306">
        <f>L37</f>
        <v>2</v>
      </c>
      <c r="T37" s="256">
        <v>8620</v>
      </c>
      <c r="U37" s="8">
        <f t="shared" si="14"/>
        <v>17240</v>
      </c>
      <c r="V37" s="456"/>
      <c r="W37" s="794"/>
      <c r="X37" s="821"/>
      <c r="Y37" s="821"/>
      <c r="Z37" s="8">
        <f t="shared" si="15"/>
        <v>0</v>
      </c>
    </row>
    <row r="38" spans="1:26">
      <c r="A38" s="827">
        <f t="shared" si="12"/>
        <v>21</v>
      </c>
      <c r="B38" s="299" t="s">
        <v>856</v>
      </c>
      <c r="C38" s="849">
        <f t="shared" si="1"/>
        <v>118580</v>
      </c>
      <c r="D38" s="301">
        <f t="shared" si="23"/>
        <v>4765.2644826665646</v>
      </c>
      <c r="E38" s="301">
        <f t="shared" si="23"/>
        <v>1187.9791007207964</v>
      </c>
      <c r="F38" s="301">
        <f t="shared" si="23"/>
        <v>5514.6638190763133</v>
      </c>
      <c r="G38" s="301">
        <f t="shared" si="23"/>
        <v>634.20159414209979</v>
      </c>
      <c r="H38" s="301">
        <f t="shared" si="23"/>
        <v>286.03028107242289</v>
      </c>
      <c r="I38" s="301">
        <f t="shared" si="23"/>
        <v>1206.9886732008695</v>
      </c>
      <c r="J38" s="365"/>
      <c r="K38" s="817">
        <f t="shared" si="17"/>
        <v>132175</v>
      </c>
      <c r="L38" s="545">
        <v>10</v>
      </c>
      <c r="M38" s="545">
        <f t="shared" si="13"/>
        <v>13217.5</v>
      </c>
      <c r="N38" s="830">
        <v>14997</v>
      </c>
      <c r="O38" s="678"/>
      <c r="P38" s="189" t="s">
        <v>492</v>
      </c>
      <c r="Q38" s="794">
        <v>40690</v>
      </c>
      <c r="R38" s="793"/>
      <c r="S38" s="844">
        <v>5</v>
      </c>
      <c r="T38" s="259">
        <v>23716</v>
      </c>
      <c r="U38" s="8">
        <f t="shared" si="14"/>
        <v>118580</v>
      </c>
      <c r="V38" s="456"/>
      <c r="W38" s="794"/>
      <c r="X38" s="821"/>
      <c r="Y38" s="821"/>
      <c r="Z38" s="8">
        <f t="shared" si="15"/>
        <v>0</v>
      </c>
    </row>
    <row r="39" spans="1:26">
      <c r="A39" s="777">
        <f>IF(B39&lt;&gt;"",A38+1,"")</f>
        <v>22</v>
      </c>
      <c r="B39" s="298" t="s">
        <v>857</v>
      </c>
      <c r="C39" s="849">
        <f t="shared" si="1"/>
        <v>5821200</v>
      </c>
      <c r="D39" s="778">
        <f t="shared" si="23"/>
        <v>197281.94958239578</v>
      </c>
      <c r="E39" s="778">
        <f t="shared" si="23"/>
        <v>49182.334769840971</v>
      </c>
      <c r="F39" s="778">
        <f t="shared" si="23"/>
        <v>228307.08210975936</v>
      </c>
      <c r="G39" s="778">
        <f t="shared" si="23"/>
        <v>26255.945997482933</v>
      </c>
      <c r="H39" s="258">
        <f t="shared" si="23"/>
        <v>11841.653636398307</v>
      </c>
      <c r="I39" s="258">
        <f t="shared" si="23"/>
        <v>49969.331070515997</v>
      </c>
      <c r="J39" s="365"/>
      <c r="K39" s="817">
        <f t="shared" si="17"/>
        <v>6384038</v>
      </c>
      <c r="L39" s="258">
        <v>414</v>
      </c>
      <c r="M39" s="258">
        <f t="shared" si="13"/>
        <v>15420.381642512077</v>
      </c>
      <c r="N39" s="678">
        <v>16852</v>
      </c>
      <c r="O39" s="678"/>
      <c r="P39" s="298" t="s">
        <v>482</v>
      </c>
      <c r="Q39" s="794">
        <v>40690</v>
      </c>
      <c r="R39" s="793"/>
      <c r="S39" s="306">
        <v>210</v>
      </c>
      <c r="T39" s="256">
        <v>27720</v>
      </c>
      <c r="U39" s="8">
        <f t="shared" si="14"/>
        <v>5821200</v>
      </c>
      <c r="V39" s="456"/>
      <c r="W39" s="794"/>
      <c r="X39" s="821"/>
      <c r="Y39" s="821"/>
      <c r="Z39" s="8">
        <f t="shared" si="15"/>
        <v>0</v>
      </c>
    </row>
    <row r="40" spans="1:26">
      <c r="A40" s="777">
        <f t="shared" si="12"/>
        <v>23</v>
      </c>
      <c r="B40" s="298" t="s">
        <v>858</v>
      </c>
      <c r="C40" s="849">
        <f t="shared" si="1"/>
        <v>17388000</v>
      </c>
      <c r="D40" s="778">
        <f t="shared" si="23"/>
        <v>657606.49860798591</v>
      </c>
      <c r="E40" s="778">
        <f t="shared" si="23"/>
        <v>163941.11589946988</v>
      </c>
      <c r="F40" s="778">
        <f t="shared" si="23"/>
        <v>761023.60703253129</v>
      </c>
      <c r="G40" s="778">
        <f t="shared" si="23"/>
        <v>87519.81999160978</v>
      </c>
      <c r="H40" s="258">
        <f t="shared" si="23"/>
        <v>39472.178787994359</v>
      </c>
      <c r="I40" s="258">
        <f t="shared" si="23"/>
        <v>166564.43690171998</v>
      </c>
      <c r="J40" s="365"/>
      <c r="K40" s="817">
        <f t="shared" si="17"/>
        <v>19264128</v>
      </c>
      <c r="L40" s="258">
        <v>1380</v>
      </c>
      <c r="M40" s="258">
        <f t="shared" si="13"/>
        <v>13959.51304347826</v>
      </c>
      <c r="N40" s="678">
        <v>14135</v>
      </c>
      <c r="O40" s="678"/>
      <c r="P40" s="298" t="s">
        <v>481</v>
      </c>
      <c r="Q40" s="794">
        <v>40690</v>
      </c>
      <c r="R40" s="793"/>
      <c r="S40" s="844">
        <f>L40/2</f>
        <v>690</v>
      </c>
      <c r="T40" s="259">
        <v>25200</v>
      </c>
      <c r="U40" s="8">
        <f t="shared" si="14"/>
        <v>17388000</v>
      </c>
      <c r="V40" s="456"/>
      <c r="W40" s="794"/>
      <c r="X40" s="821"/>
      <c r="Y40" s="821"/>
      <c r="Z40" s="8">
        <f t="shared" si="15"/>
        <v>0</v>
      </c>
    </row>
    <row r="41" spans="1:26">
      <c r="A41" s="827">
        <f t="shared" si="12"/>
        <v>24</v>
      </c>
      <c r="B41" s="299" t="s">
        <v>859</v>
      </c>
      <c r="C41" s="849">
        <f t="shared" si="1"/>
        <v>14212800</v>
      </c>
      <c r="D41" s="301">
        <f t="shared" si="23"/>
        <v>537045.3071965219</v>
      </c>
      <c r="E41" s="301">
        <f t="shared" si="23"/>
        <v>133885.24465123375</v>
      </c>
      <c r="F41" s="301">
        <f t="shared" si="23"/>
        <v>621502.61240990052</v>
      </c>
      <c r="G41" s="301">
        <f t="shared" si="23"/>
        <v>71474.519659814658</v>
      </c>
      <c r="H41" s="301">
        <f t="shared" si="23"/>
        <v>32235.61267686206</v>
      </c>
      <c r="I41" s="301">
        <f t="shared" si="23"/>
        <v>136027.623469738</v>
      </c>
      <c r="J41" s="301"/>
      <c r="K41" s="817">
        <f t="shared" si="17"/>
        <v>15744971</v>
      </c>
      <c r="L41" s="545">
        <v>1127</v>
      </c>
      <c r="M41" s="545">
        <f t="shared" si="13"/>
        <v>13970.692990239573</v>
      </c>
      <c r="N41" s="830">
        <v>14920</v>
      </c>
      <c r="O41" s="678"/>
      <c r="P41" s="298" t="s">
        <v>481</v>
      </c>
      <c r="Q41" s="794">
        <v>40690</v>
      </c>
      <c r="R41" s="793"/>
      <c r="S41" s="844">
        <v>564</v>
      </c>
      <c r="T41" s="259">
        <v>25200</v>
      </c>
      <c r="U41" s="8">
        <f t="shared" si="14"/>
        <v>14212800</v>
      </c>
      <c r="V41" s="456"/>
      <c r="W41" s="794"/>
      <c r="X41" s="821"/>
      <c r="Y41" s="821"/>
      <c r="Z41" s="8">
        <f t="shared" si="15"/>
        <v>0</v>
      </c>
    </row>
    <row r="42" spans="1:26">
      <c r="A42" s="827">
        <f>IF(B42&lt;&gt;"",A41+1,"")</f>
        <v>25</v>
      </c>
      <c r="B42" s="299" t="s">
        <v>742</v>
      </c>
      <c r="C42" s="849">
        <f t="shared" si="1"/>
        <v>3063425</v>
      </c>
      <c r="D42" s="301">
        <f t="shared" si="23"/>
        <v>86251.287136264815</v>
      </c>
      <c r="E42" s="301">
        <f t="shared" si="23"/>
        <v>21502.421723046413</v>
      </c>
      <c r="F42" s="301">
        <f t="shared" si="23"/>
        <v>99815.415125281274</v>
      </c>
      <c r="G42" s="301">
        <f t="shared" si="23"/>
        <v>11479.048853972006</v>
      </c>
      <c r="H42" s="301">
        <f t="shared" si="23"/>
        <v>5177.1480874108538</v>
      </c>
      <c r="I42" s="301">
        <f t="shared" si="23"/>
        <v>21846.494984935736</v>
      </c>
      <c r="J42" s="301"/>
      <c r="K42" s="817">
        <f t="shared" si="17"/>
        <v>3309497</v>
      </c>
      <c r="L42" s="545">
        <v>181</v>
      </c>
      <c r="M42" s="545">
        <f t="shared" si="13"/>
        <v>18284.513812154695</v>
      </c>
      <c r="N42" s="830">
        <v>19720</v>
      </c>
      <c r="O42" s="678"/>
      <c r="P42" s="189" t="s">
        <v>489</v>
      </c>
      <c r="Q42" s="794">
        <v>40691</v>
      </c>
      <c r="R42" s="793"/>
      <c r="S42" s="844">
        <f>L42</f>
        <v>181</v>
      </c>
      <c r="T42" s="822">
        <v>16925</v>
      </c>
      <c r="U42" s="8">
        <f t="shared" si="14"/>
        <v>3063425</v>
      </c>
      <c r="V42" s="456"/>
      <c r="W42" s="794"/>
      <c r="X42" s="821"/>
      <c r="Y42" s="821"/>
      <c r="Z42" s="8">
        <f t="shared" si="15"/>
        <v>0</v>
      </c>
    </row>
    <row r="43" spans="1:26">
      <c r="A43" s="827">
        <f>IF(B43&lt;&gt;"",A42+1,"")</f>
        <v>26</v>
      </c>
      <c r="B43" s="299" t="s">
        <v>866</v>
      </c>
      <c r="C43" s="849">
        <f t="shared" si="1"/>
        <v>284736</v>
      </c>
      <c r="D43" s="301">
        <f t="shared" si="23"/>
        <v>121037.71785973075</v>
      </c>
      <c r="E43" s="301">
        <f t="shared" si="23"/>
        <v>30174.669158308225</v>
      </c>
      <c r="F43" s="301">
        <f t="shared" si="23"/>
        <v>140072.46100453835</v>
      </c>
      <c r="G43" s="301">
        <f t="shared" si="23"/>
        <v>16108.720491209337</v>
      </c>
      <c r="H43" s="301">
        <f t="shared" si="23"/>
        <v>7265.1691392395414</v>
      </c>
      <c r="I43" s="301">
        <f t="shared" si="23"/>
        <v>30657.512299302085</v>
      </c>
      <c r="J43" s="545"/>
      <c r="K43" s="817">
        <f t="shared" si="17"/>
        <v>630052</v>
      </c>
      <c r="L43" s="545">
        <v>254</v>
      </c>
      <c r="M43" s="545">
        <f t="shared" si="13"/>
        <v>2480.51968503937</v>
      </c>
      <c r="N43" s="830">
        <v>2200</v>
      </c>
      <c r="O43" s="678"/>
      <c r="P43" s="189" t="s">
        <v>387</v>
      </c>
      <c r="Q43" s="794">
        <v>40691</v>
      </c>
      <c r="R43" s="793"/>
      <c r="S43" s="306">
        <v>64</v>
      </c>
      <c r="T43" s="259">
        <v>4449</v>
      </c>
      <c r="U43" s="8">
        <f t="shared" si="14"/>
        <v>284736</v>
      </c>
      <c r="V43" s="456"/>
      <c r="W43" s="794"/>
      <c r="X43" s="821"/>
      <c r="Y43" s="821"/>
      <c r="Z43" s="8">
        <f t="shared" si="15"/>
        <v>0</v>
      </c>
    </row>
    <row r="44" spans="1:26">
      <c r="A44" s="777">
        <f>IF(B44&lt;&gt;"",A43+1,"")</f>
        <v>27</v>
      </c>
      <c r="B44" s="298" t="s">
        <v>867</v>
      </c>
      <c r="C44" s="849">
        <f t="shared" si="1"/>
        <v>5241600</v>
      </c>
      <c r="D44" s="778">
        <f t="shared" si="23"/>
        <v>194422.79089279583</v>
      </c>
      <c r="E44" s="778">
        <f t="shared" si="23"/>
        <v>48469.547309408488</v>
      </c>
      <c r="F44" s="778">
        <f t="shared" si="23"/>
        <v>224998.28381831359</v>
      </c>
      <c r="G44" s="778">
        <f t="shared" si="23"/>
        <v>25875.425040997674</v>
      </c>
      <c r="H44" s="778">
        <f t="shared" si="23"/>
        <v>11670.035467754853</v>
      </c>
      <c r="I44" s="778">
        <f t="shared" si="23"/>
        <v>49245.137866595476</v>
      </c>
      <c r="J44" s="365"/>
      <c r="K44" s="817">
        <f t="shared" si="17"/>
        <v>5796281</v>
      </c>
      <c r="L44" s="778">
        <v>408</v>
      </c>
      <c r="M44" s="778">
        <f t="shared" ref="M44:M75" si="24">IF(L44&lt;&gt;"",K44/L44,"")</f>
        <v>14206.571078431372</v>
      </c>
      <c r="N44" s="678">
        <v>15770</v>
      </c>
      <c r="O44" s="678"/>
      <c r="P44" s="298" t="s">
        <v>481</v>
      </c>
      <c r="Q44" s="794">
        <v>40691</v>
      </c>
      <c r="R44" s="793"/>
      <c r="S44" s="306">
        <v>208</v>
      </c>
      <c r="T44" s="256">
        <v>25200</v>
      </c>
      <c r="U44" s="8">
        <f t="shared" si="14"/>
        <v>5241600</v>
      </c>
      <c r="V44" s="456"/>
      <c r="W44" s="794"/>
      <c r="X44" s="821"/>
      <c r="Y44" s="821"/>
      <c r="Z44" s="8">
        <f t="shared" ref="Z44:Z75" si="25">X44*Y44</f>
        <v>0</v>
      </c>
    </row>
    <row r="45" spans="1:26">
      <c r="A45" s="777">
        <f t="shared" ref="A45:A75" si="26">IF(B45&lt;&gt;"",A44+1,"")</f>
        <v>28</v>
      </c>
      <c r="B45" s="298" t="s">
        <v>868</v>
      </c>
      <c r="C45" s="849">
        <f t="shared" si="1"/>
        <v>2764485</v>
      </c>
      <c r="D45" s="778">
        <f t="shared" si="23"/>
        <v>164401.62465199648</v>
      </c>
      <c r="E45" s="778">
        <f t="shared" si="23"/>
        <v>40985.27897486747</v>
      </c>
      <c r="F45" s="778">
        <f t="shared" si="23"/>
        <v>190255.90175813282</v>
      </c>
      <c r="G45" s="778">
        <f t="shared" si="23"/>
        <v>21879.954997902445</v>
      </c>
      <c r="H45" s="778">
        <f t="shared" si="23"/>
        <v>9868.0446969985896</v>
      </c>
      <c r="I45" s="778">
        <f t="shared" si="23"/>
        <v>41641.109225429995</v>
      </c>
      <c r="J45" s="365"/>
      <c r="K45" s="817">
        <f t="shared" si="17"/>
        <v>3233517</v>
      </c>
      <c r="L45" s="778">
        <v>345</v>
      </c>
      <c r="M45" s="778">
        <f t="shared" si="24"/>
        <v>9372.5130434782604</v>
      </c>
      <c r="N45" s="678">
        <v>11002</v>
      </c>
      <c r="O45" s="678"/>
      <c r="P45" s="189" t="s">
        <v>517</v>
      </c>
      <c r="Q45" s="794">
        <v>40691</v>
      </c>
      <c r="R45" s="793"/>
      <c r="S45" s="306">
        <f t="shared" ref="S45:S47" si="27">L45</f>
        <v>345</v>
      </c>
      <c r="T45" s="256">
        <v>8013</v>
      </c>
      <c r="U45" s="8">
        <f t="shared" si="14"/>
        <v>2764485</v>
      </c>
      <c r="V45" s="456"/>
      <c r="W45" s="794"/>
      <c r="X45" s="821"/>
      <c r="Y45" s="821"/>
      <c r="Z45" s="8">
        <f t="shared" si="25"/>
        <v>0</v>
      </c>
    </row>
    <row r="46" spans="1:26">
      <c r="A46" s="777">
        <f t="shared" si="26"/>
        <v>29</v>
      </c>
      <c r="B46" s="298" t="s">
        <v>869</v>
      </c>
      <c r="C46" s="849">
        <f t="shared" si="1"/>
        <v>34480</v>
      </c>
      <c r="D46" s="778">
        <f t="shared" si="23"/>
        <v>1906.1057930666259</v>
      </c>
      <c r="E46" s="778">
        <f t="shared" si="23"/>
        <v>475.19164028831852</v>
      </c>
      <c r="F46" s="778">
        <f t="shared" si="23"/>
        <v>2205.8655276305253</v>
      </c>
      <c r="G46" s="778">
        <f t="shared" si="23"/>
        <v>253.68063765683993</v>
      </c>
      <c r="H46" s="778">
        <f t="shared" si="23"/>
        <v>114.41211242896915</v>
      </c>
      <c r="I46" s="778">
        <f t="shared" si="23"/>
        <v>482.79546928034779</v>
      </c>
      <c r="J46" s="365"/>
      <c r="K46" s="817">
        <f t="shared" si="17"/>
        <v>39918</v>
      </c>
      <c r="L46" s="778">
        <v>4</v>
      </c>
      <c r="M46" s="778">
        <f t="shared" si="24"/>
        <v>9979.5</v>
      </c>
      <c r="N46" s="678">
        <v>12279</v>
      </c>
      <c r="O46" s="678"/>
      <c r="P46" s="189" t="s">
        <v>507</v>
      </c>
      <c r="Q46" s="794">
        <v>40691</v>
      </c>
      <c r="R46" s="793"/>
      <c r="S46" s="306">
        <f t="shared" si="27"/>
        <v>4</v>
      </c>
      <c r="T46" s="256">
        <v>8620</v>
      </c>
      <c r="U46" s="8">
        <f t="shared" si="14"/>
        <v>34480</v>
      </c>
      <c r="V46" s="456"/>
      <c r="W46" s="794"/>
      <c r="X46" s="821"/>
      <c r="Y46" s="821"/>
      <c r="Z46" s="8">
        <f t="shared" si="25"/>
        <v>0</v>
      </c>
    </row>
    <row r="47" spans="1:26">
      <c r="A47" s="777">
        <f t="shared" si="26"/>
        <v>30</v>
      </c>
      <c r="B47" s="298" t="s">
        <v>870</v>
      </c>
      <c r="C47" s="849">
        <f t="shared" si="1"/>
        <v>577540</v>
      </c>
      <c r="D47" s="778">
        <f t="shared" ref="D47:I56" si="28">IF($L$171&lt;&gt;0,D$171/$L$171*$L47,0)</f>
        <v>31927.272033865982</v>
      </c>
      <c r="E47" s="778">
        <f t="shared" si="28"/>
        <v>7959.4599748293349</v>
      </c>
      <c r="F47" s="778">
        <f t="shared" si="28"/>
        <v>36948.247587811296</v>
      </c>
      <c r="G47" s="778">
        <f t="shared" si="28"/>
        <v>4249.1506807520691</v>
      </c>
      <c r="H47" s="778">
        <f t="shared" si="28"/>
        <v>1916.4028831852333</v>
      </c>
      <c r="I47" s="778">
        <f t="shared" si="28"/>
        <v>8086.8241104458257</v>
      </c>
      <c r="J47" s="365"/>
      <c r="K47" s="817">
        <f t="shared" si="17"/>
        <v>668627</v>
      </c>
      <c r="L47" s="778">
        <v>67</v>
      </c>
      <c r="M47" s="778">
        <f t="shared" si="24"/>
        <v>9979.507462686568</v>
      </c>
      <c r="N47" s="678">
        <v>11075</v>
      </c>
      <c r="O47" s="678"/>
      <c r="P47" s="189" t="s">
        <v>507</v>
      </c>
      <c r="Q47" s="794">
        <v>40691</v>
      </c>
      <c r="R47" s="793"/>
      <c r="S47" s="306">
        <f t="shared" si="27"/>
        <v>67</v>
      </c>
      <c r="T47" s="256">
        <v>8620</v>
      </c>
      <c r="U47" s="8">
        <f t="shared" si="14"/>
        <v>577540</v>
      </c>
      <c r="V47" s="456"/>
      <c r="W47" s="794"/>
      <c r="X47" s="821"/>
      <c r="Y47" s="821"/>
      <c r="Z47" s="8">
        <f t="shared" si="25"/>
        <v>0</v>
      </c>
    </row>
    <row r="48" spans="1:26">
      <c r="A48" s="777">
        <f t="shared" si="26"/>
        <v>31</v>
      </c>
      <c r="B48" s="298" t="s">
        <v>871</v>
      </c>
      <c r="C48" s="849">
        <f t="shared" si="1"/>
        <v>399168</v>
      </c>
      <c r="D48" s="778">
        <f t="shared" si="28"/>
        <v>12866.214103199725</v>
      </c>
      <c r="E48" s="778">
        <f t="shared" si="28"/>
        <v>3207.5435719461502</v>
      </c>
      <c r="F48" s="778">
        <f t="shared" si="28"/>
        <v>14889.592311506047</v>
      </c>
      <c r="G48" s="778">
        <f t="shared" si="28"/>
        <v>1712.3443041836695</v>
      </c>
      <c r="H48" s="778">
        <f t="shared" si="28"/>
        <v>772.28175889554177</v>
      </c>
      <c r="I48" s="778">
        <f t="shared" si="28"/>
        <v>3258.8694176423478</v>
      </c>
      <c r="J48" s="365"/>
      <c r="K48" s="817">
        <f t="shared" si="17"/>
        <v>435875</v>
      </c>
      <c r="L48" s="778">
        <v>27</v>
      </c>
      <c r="M48" s="778">
        <f t="shared" si="24"/>
        <v>16143.518518518518</v>
      </c>
      <c r="N48" s="678">
        <v>15277</v>
      </c>
      <c r="O48" s="678"/>
      <c r="P48" s="189" t="s">
        <v>509</v>
      </c>
      <c r="Q48" s="794">
        <v>40691</v>
      </c>
      <c r="R48" s="793"/>
      <c r="S48" s="306">
        <f>L48</f>
        <v>27</v>
      </c>
      <c r="T48" s="256">
        <v>14784</v>
      </c>
      <c r="U48" s="8">
        <f t="shared" si="14"/>
        <v>399168</v>
      </c>
      <c r="V48" s="456"/>
      <c r="W48" s="794"/>
      <c r="X48" s="821"/>
      <c r="Y48" s="821"/>
      <c r="Z48" s="8">
        <f t="shared" si="25"/>
        <v>0</v>
      </c>
    </row>
    <row r="49" spans="1:26">
      <c r="A49" s="777">
        <f t="shared" si="26"/>
        <v>32</v>
      </c>
      <c r="B49" s="298" t="s">
        <v>872</v>
      </c>
      <c r="C49" s="849">
        <f t="shared" si="1"/>
        <v>97984</v>
      </c>
      <c r="D49" s="778">
        <f t="shared" si="28"/>
        <v>7624.4231722665036</v>
      </c>
      <c r="E49" s="778">
        <f t="shared" si="28"/>
        <v>1900.7665611532741</v>
      </c>
      <c r="F49" s="778">
        <f t="shared" si="28"/>
        <v>8823.4621105221013</v>
      </c>
      <c r="G49" s="778">
        <f t="shared" si="28"/>
        <v>1014.7225506273597</v>
      </c>
      <c r="H49" s="778">
        <f t="shared" si="28"/>
        <v>457.64844971587661</v>
      </c>
      <c r="I49" s="778">
        <f t="shared" si="28"/>
        <v>1931.1818771213912</v>
      </c>
      <c r="J49" s="365"/>
      <c r="K49" s="817">
        <f t="shared" si="17"/>
        <v>119736</v>
      </c>
      <c r="L49" s="778">
        <v>16</v>
      </c>
      <c r="M49" s="778">
        <f t="shared" si="24"/>
        <v>7483.5</v>
      </c>
      <c r="N49" s="678">
        <v>9352</v>
      </c>
      <c r="O49" s="678"/>
      <c r="P49" s="189" t="s">
        <v>385</v>
      </c>
      <c r="Q49" s="794">
        <v>40691</v>
      </c>
      <c r="R49" s="793"/>
      <c r="S49" s="306">
        <f>L49</f>
        <v>16</v>
      </c>
      <c r="T49" s="256">
        <v>6124</v>
      </c>
      <c r="U49" s="8">
        <f t="shared" si="14"/>
        <v>97984</v>
      </c>
      <c r="V49" s="456"/>
      <c r="W49" s="794"/>
      <c r="X49" s="821"/>
      <c r="Y49" s="821"/>
      <c r="Z49" s="8">
        <f t="shared" si="25"/>
        <v>0</v>
      </c>
    </row>
    <row r="50" spans="1:26">
      <c r="A50" s="777">
        <f t="shared" si="26"/>
        <v>33</v>
      </c>
      <c r="B50" s="298" t="s">
        <v>873</v>
      </c>
      <c r="C50" s="849">
        <f t="shared" si="1"/>
        <v>1877568</v>
      </c>
      <c r="D50" s="778">
        <f t="shared" si="28"/>
        <v>60518.858929865375</v>
      </c>
      <c r="E50" s="778">
        <f t="shared" si="28"/>
        <v>15087.334579154112</v>
      </c>
      <c r="F50" s="778">
        <f t="shared" si="28"/>
        <v>70036.230502269173</v>
      </c>
      <c r="G50" s="778">
        <f t="shared" si="28"/>
        <v>8054.3602456046683</v>
      </c>
      <c r="H50" s="778">
        <f t="shared" si="28"/>
        <v>3632.5845696197707</v>
      </c>
      <c r="I50" s="778">
        <f t="shared" si="28"/>
        <v>15328.756149651043</v>
      </c>
      <c r="J50" s="365"/>
      <c r="K50" s="817">
        <f t="shared" si="17"/>
        <v>2050226</v>
      </c>
      <c r="L50" s="778">
        <v>127</v>
      </c>
      <c r="M50" s="778">
        <f t="shared" si="24"/>
        <v>16143.511811023622</v>
      </c>
      <c r="N50" s="678">
        <v>17979</v>
      </c>
      <c r="O50" s="678"/>
      <c r="P50" s="189" t="s">
        <v>509</v>
      </c>
      <c r="Q50" s="794">
        <v>40691</v>
      </c>
      <c r="R50" s="793"/>
      <c r="S50" s="306">
        <f>L50</f>
        <v>127</v>
      </c>
      <c r="T50" s="256">
        <v>14784</v>
      </c>
      <c r="U50" s="8">
        <f t="shared" si="14"/>
        <v>1877568</v>
      </c>
      <c r="V50" s="456"/>
      <c r="W50" s="794"/>
      <c r="X50" s="821"/>
      <c r="Y50" s="821"/>
      <c r="Z50" s="8">
        <f t="shared" si="25"/>
        <v>0</v>
      </c>
    </row>
    <row r="51" spans="1:26">
      <c r="A51" s="777">
        <f t="shared" si="26"/>
        <v>34</v>
      </c>
      <c r="B51" s="298" t="s">
        <v>874</v>
      </c>
      <c r="C51" s="849">
        <f t="shared" si="1"/>
        <v>22245</v>
      </c>
      <c r="D51" s="778">
        <f t="shared" si="28"/>
        <v>2382.6322413332823</v>
      </c>
      <c r="E51" s="778">
        <f t="shared" si="28"/>
        <v>593.9895503603982</v>
      </c>
      <c r="F51" s="778">
        <f t="shared" si="28"/>
        <v>2757.3319095381567</v>
      </c>
      <c r="G51" s="778">
        <f t="shared" si="28"/>
        <v>317.1007970710499</v>
      </c>
      <c r="H51" s="778">
        <f t="shared" si="28"/>
        <v>143.01514053621145</v>
      </c>
      <c r="I51" s="778">
        <f t="shared" si="28"/>
        <v>603.49433660043474</v>
      </c>
      <c r="J51" s="365"/>
      <c r="K51" s="817">
        <f t="shared" si="17"/>
        <v>29043</v>
      </c>
      <c r="L51" s="778">
        <v>5</v>
      </c>
      <c r="M51" s="778">
        <f t="shared" si="24"/>
        <v>5808.6</v>
      </c>
      <c r="N51" s="678">
        <v>5282</v>
      </c>
      <c r="O51" s="678"/>
      <c r="P51" s="298" t="s">
        <v>387</v>
      </c>
      <c r="Q51" s="794">
        <v>40691</v>
      </c>
      <c r="R51" s="793"/>
      <c r="S51" s="306">
        <f>L51</f>
        <v>5</v>
      </c>
      <c r="T51" s="259">
        <v>4449</v>
      </c>
      <c r="U51" s="8">
        <f t="shared" ref="U51:U75" si="29">S51*T51</f>
        <v>22245</v>
      </c>
      <c r="V51" s="456"/>
      <c r="W51" s="794"/>
      <c r="X51" s="821"/>
      <c r="Y51" s="821"/>
      <c r="Z51" s="8">
        <f t="shared" si="25"/>
        <v>0</v>
      </c>
    </row>
    <row r="52" spans="1:26">
      <c r="A52" s="777">
        <f t="shared" si="26"/>
        <v>35</v>
      </c>
      <c r="B52" s="298" t="s">
        <v>875</v>
      </c>
      <c r="C52" s="849">
        <f t="shared" si="1"/>
        <v>25860</v>
      </c>
      <c r="D52" s="778">
        <f t="shared" si="28"/>
        <v>1429.5793447999695</v>
      </c>
      <c r="E52" s="778">
        <f t="shared" si="28"/>
        <v>356.39373021623891</v>
      </c>
      <c r="F52" s="778">
        <f t="shared" si="28"/>
        <v>1654.399145722894</v>
      </c>
      <c r="G52" s="778">
        <f t="shared" si="28"/>
        <v>190.26047824262994</v>
      </c>
      <c r="H52" s="778">
        <f t="shared" si="28"/>
        <v>85.809084321726857</v>
      </c>
      <c r="I52" s="778">
        <f t="shared" si="28"/>
        <v>362.09660196026084</v>
      </c>
      <c r="J52" s="365"/>
      <c r="K52" s="817">
        <f t="shared" si="17"/>
        <v>29939</v>
      </c>
      <c r="L52" s="778">
        <v>3</v>
      </c>
      <c r="M52" s="778">
        <f t="shared" si="24"/>
        <v>9979.6666666666661</v>
      </c>
      <c r="N52" s="678">
        <v>11444</v>
      </c>
      <c r="O52" s="678"/>
      <c r="P52" s="189" t="s">
        <v>507</v>
      </c>
      <c r="Q52" s="794">
        <v>40691</v>
      </c>
      <c r="R52" s="793"/>
      <c r="S52" s="306">
        <f t="shared" ref="S52:S58" si="30">L52</f>
        <v>3</v>
      </c>
      <c r="T52" s="256">
        <v>8620</v>
      </c>
      <c r="U52" s="8">
        <f t="shared" si="29"/>
        <v>25860</v>
      </c>
      <c r="V52" s="456"/>
      <c r="W52" s="794"/>
      <c r="X52" s="821"/>
      <c r="Y52" s="821"/>
      <c r="Z52" s="8">
        <f t="shared" si="25"/>
        <v>0</v>
      </c>
    </row>
    <row r="53" spans="1:26">
      <c r="A53" s="777">
        <f t="shared" si="26"/>
        <v>36</v>
      </c>
      <c r="B53" s="298" t="s">
        <v>876</v>
      </c>
      <c r="C53" s="849">
        <f t="shared" si="1"/>
        <v>193500</v>
      </c>
      <c r="D53" s="778">
        <f t="shared" si="28"/>
        <v>5718.3173791998779</v>
      </c>
      <c r="E53" s="778">
        <f t="shared" si="28"/>
        <v>1425.5749208649556</v>
      </c>
      <c r="F53" s="778">
        <f t="shared" si="28"/>
        <v>6617.596582891576</v>
      </c>
      <c r="G53" s="778">
        <f t="shared" si="28"/>
        <v>761.04191297051977</v>
      </c>
      <c r="H53" s="778">
        <f t="shared" si="28"/>
        <v>343.23633728690743</v>
      </c>
      <c r="I53" s="778">
        <f t="shared" si="28"/>
        <v>1448.3864078410434</v>
      </c>
      <c r="J53" s="365"/>
      <c r="K53" s="817">
        <f t="shared" si="17"/>
        <v>209814</v>
      </c>
      <c r="L53" s="778">
        <v>12</v>
      </c>
      <c r="M53" s="778">
        <f t="shared" si="24"/>
        <v>17484.5</v>
      </c>
      <c r="N53" s="678">
        <v>19788</v>
      </c>
      <c r="O53" s="678"/>
      <c r="P53" s="298" t="s">
        <v>480</v>
      </c>
      <c r="Q53" s="794">
        <v>40691</v>
      </c>
      <c r="R53" s="793"/>
      <c r="S53" s="844">
        <f t="shared" si="30"/>
        <v>12</v>
      </c>
      <c r="T53" s="256">
        <v>16125</v>
      </c>
      <c r="U53" s="8">
        <f t="shared" si="29"/>
        <v>193500</v>
      </c>
      <c r="V53" s="456"/>
      <c r="W53" s="794"/>
      <c r="X53" s="821"/>
      <c r="Y53" s="821"/>
      <c r="Z53" s="8">
        <f t="shared" si="25"/>
        <v>0</v>
      </c>
    </row>
    <row r="54" spans="1:26">
      <c r="A54" s="777">
        <f t="shared" si="26"/>
        <v>37</v>
      </c>
      <c r="B54" s="298" t="s">
        <v>877</v>
      </c>
      <c r="C54" s="849">
        <f t="shared" si="1"/>
        <v>57600</v>
      </c>
      <c r="D54" s="778">
        <f t="shared" si="28"/>
        <v>4288.7380343999084</v>
      </c>
      <c r="E54" s="778">
        <f t="shared" si="28"/>
        <v>1069.1811906487167</v>
      </c>
      <c r="F54" s="778">
        <f t="shared" si="28"/>
        <v>4963.197437168682</v>
      </c>
      <c r="G54" s="778">
        <f t="shared" si="28"/>
        <v>570.78143472788986</v>
      </c>
      <c r="H54" s="778">
        <f t="shared" si="28"/>
        <v>257.42725296518057</v>
      </c>
      <c r="I54" s="778">
        <f t="shared" si="28"/>
        <v>1086.2898058807825</v>
      </c>
      <c r="J54" s="365"/>
      <c r="K54" s="817">
        <f t="shared" si="17"/>
        <v>69836</v>
      </c>
      <c r="L54" s="778">
        <v>9</v>
      </c>
      <c r="M54" s="778">
        <f t="shared" si="24"/>
        <v>7759.5555555555557</v>
      </c>
      <c r="N54" s="678">
        <v>8450</v>
      </c>
      <c r="O54" s="678"/>
      <c r="P54" s="189" t="s">
        <v>520</v>
      </c>
      <c r="Q54" s="794">
        <v>40691</v>
      </c>
      <c r="R54" s="793"/>
      <c r="S54" s="306">
        <f t="shared" si="30"/>
        <v>9</v>
      </c>
      <c r="T54" s="259">
        <v>6400</v>
      </c>
      <c r="U54" s="8">
        <f t="shared" si="29"/>
        <v>57600</v>
      </c>
      <c r="V54" s="456"/>
      <c r="W54" s="794"/>
      <c r="X54" s="821"/>
      <c r="Y54" s="821"/>
      <c r="Z54" s="8">
        <f t="shared" si="25"/>
        <v>0</v>
      </c>
    </row>
    <row r="55" spans="1:26">
      <c r="A55" s="777">
        <f t="shared" si="26"/>
        <v>38</v>
      </c>
      <c r="B55" s="298" t="s">
        <v>878</v>
      </c>
      <c r="C55" s="849">
        <f t="shared" si="1"/>
        <v>68960</v>
      </c>
      <c r="D55" s="778">
        <f t="shared" si="28"/>
        <v>3812.2115861332518</v>
      </c>
      <c r="E55" s="778">
        <f t="shared" si="28"/>
        <v>950.38328057663705</v>
      </c>
      <c r="F55" s="778">
        <f t="shared" si="28"/>
        <v>4411.7310552610506</v>
      </c>
      <c r="G55" s="778">
        <f t="shared" si="28"/>
        <v>507.36127531367987</v>
      </c>
      <c r="H55" s="778">
        <f t="shared" si="28"/>
        <v>228.8242248579383</v>
      </c>
      <c r="I55" s="778">
        <f t="shared" si="28"/>
        <v>965.59093856069558</v>
      </c>
      <c r="J55" s="365"/>
      <c r="K55" s="817">
        <f t="shared" si="17"/>
        <v>79836</v>
      </c>
      <c r="L55" s="778">
        <v>8</v>
      </c>
      <c r="M55" s="778">
        <f t="shared" si="24"/>
        <v>9979.5</v>
      </c>
      <c r="N55" s="678">
        <v>10110</v>
      </c>
      <c r="O55" s="678"/>
      <c r="P55" s="189" t="s">
        <v>507</v>
      </c>
      <c r="Q55" s="794">
        <v>40691</v>
      </c>
      <c r="R55" s="793"/>
      <c r="S55" s="306">
        <f t="shared" si="30"/>
        <v>8</v>
      </c>
      <c r="T55" s="256">
        <v>8620</v>
      </c>
      <c r="U55" s="8">
        <f t="shared" si="29"/>
        <v>68960</v>
      </c>
      <c r="V55" s="456"/>
      <c r="W55" s="794"/>
      <c r="X55" s="821"/>
      <c r="Y55" s="821"/>
      <c r="Z55" s="8">
        <f t="shared" si="25"/>
        <v>0</v>
      </c>
    </row>
    <row r="56" spans="1:26">
      <c r="A56" s="777">
        <f t="shared" si="26"/>
        <v>39</v>
      </c>
      <c r="B56" s="298" t="s">
        <v>879</v>
      </c>
      <c r="C56" s="849">
        <f t="shared" si="1"/>
        <v>60340</v>
      </c>
      <c r="D56" s="778">
        <f t="shared" si="28"/>
        <v>3335.6851378665951</v>
      </c>
      <c r="E56" s="778">
        <f t="shared" si="28"/>
        <v>831.58537050455743</v>
      </c>
      <c r="F56" s="778">
        <f t="shared" si="28"/>
        <v>3860.2646733534193</v>
      </c>
      <c r="G56" s="778">
        <f t="shared" si="28"/>
        <v>443.94111589946988</v>
      </c>
      <c r="H56" s="778">
        <f t="shared" si="28"/>
        <v>200.22119675069601</v>
      </c>
      <c r="I56" s="778">
        <f t="shared" si="28"/>
        <v>844.89207124060863</v>
      </c>
      <c r="J56" s="365"/>
      <c r="K56" s="817">
        <f t="shared" si="17"/>
        <v>69857</v>
      </c>
      <c r="L56" s="778">
        <v>7</v>
      </c>
      <c r="M56" s="778">
        <f t="shared" si="24"/>
        <v>9979.5714285714294</v>
      </c>
      <c r="N56" s="678">
        <v>10345</v>
      </c>
      <c r="O56" s="678"/>
      <c r="P56" s="189" t="s">
        <v>507</v>
      </c>
      <c r="Q56" s="794">
        <v>40691</v>
      </c>
      <c r="R56" s="793"/>
      <c r="S56" s="306">
        <f t="shared" si="30"/>
        <v>7</v>
      </c>
      <c r="T56" s="256">
        <v>8620</v>
      </c>
      <c r="U56" s="8">
        <f t="shared" si="29"/>
        <v>60340</v>
      </c>
      <c r="V56" s="456"/>
      <c r="W56" s="794"/>
      <c r="X56" s="821"/>
      <c r="Y56" s="821"/>
      <c r="Z56" s="8">
        <f t="shared" si="25"/>
        <v>0</v>
      </c>
    </row>
    <row r="57" spans="1:26">
      <c r="A57" s="777">
        <f t="shared" si="26"/>
        <v>40</v>
      </c>
      <c r="B57" s="298" t="s">
        <v>880</v>
      </c>
      <c r="C57" s="849">
        <f t="shared" si="1"/>
        <v>150631</v>
      </c>
      <c r="D57" s="778">
        <f t="shared" ref="D57:I66" si="31">IF($L$171&lt;&gt;0,D$171/$L$171*$L57,0)</f>
        <v>6194.8438274665341</v>
      </c>
      <c r="E57" s="778">
        <f t="shared" si="31"/>
        <v>1544.3728309370351</v>
      </c>
      <c r="F57" s="778">
        <f t="shared" si="31"/>
        <v>7169.0629647992073</v>
      </c>
      <c r="G57" s="778">
        <f t="shared" si="31"/>
        <v>824.46207238472982</v>
      </c>
      <c r="H57" s="778">
        <f t="shared" si="31"/>
        <v>371.83936539414975</v>
      </c>
      <c r="I57" s="778">
        <f t="shared" si="31"/>
        <v>1569.0852751611303</v>
      </c>
      <c r="J57" s="365"/>
      <c r="K57" s="817">
        <f t="shared" si="17"/>
        <v>168305</v>
      </c>
      <c r="L57" s="778">
        <v>13</v>
      </c>
      <c r="M57" s="778">
        <f t="shared" si="24"/>
        <v>12946.538461538461</v>
      </c>
      <c r="N57" s="678">
        <v>12672</v>
      </c>
      <c r="O57" s="678"/>
      <c r="P57" s="189" t="s">
        <v>497</v>
      </c>
      <c r="Q57" s="794">
        <v>40691</v>
      </c>
      <c r="R57" s="793"/>
      <c r="S57" s="306">
        <f t="shared" si="30"/>
        <v>13</v>
      </c>
      <c r="T57" s="822">
        <v>11587</v>
      </c>
      <c r="U57" s="8">
        <f t="shared" si="29"/>
        <v>150631</v>
      </c>
      <c r="V57" s="456"/>
      <c r="W57" s="794"/>
      <c r="X57" s="821"/>
      <c r="Y57" s="821"/>
      <c r="Z57" s="8">
        <f t="shared" si="25"/>
        <v>0</v>
      </c>
    </row>
    <row r="58" spans="1:26">
      <c r="A58" s="777">
        <f t="shared" si="26"/>
        <v>41</v>
      </c>
      <c r="B58" s="298" t="s">
        <v>882</v>
      </c>
      <c r="C58" s="849">
        <f t="shared" si="1"/>
        <v>57935</v>
      </c>
      <c r="D58" s="778">
        <f t="shared" si="31"/>
        <v>2382.6322413332823</v>
      </c>
      <c r="E58" s="778">
        <f t="shared" si="31"/>
        <v>593.9895503603982</v>
      </c>
      <c r="F58" s="778">
        <f t="shared" si="31"/>
        <v>2757.3319095381567</v>
      </c>
      <c r="G58" s="778">
        <f t="shared" si="31"/>
        <v>317.1007970710499</v>
      </c>
      <c r="H58" s="778">
        <f t="shared" si="31"/>
        <v>143.01514053621145</v>
      </c>
      <c r="I58" s="778">
        <f t="shared" si="31"/>
        <v>603.49433660043474</v>
      </c>
      <c r="J58" s="365"/>
      <c r="K58" s="817">
        <f t="shared" si="17"/>
        <v>64733</v>
      </c>
      <c r="L58" s="778">
        <v>5</v>
      </c>
      <c r="M58" s="778">
        <f t="shared" si="24"/>
        <v>12946.6</v>
      </c>
      <c r="N58" s="678">
        <v>12304</v>
      </c>
      <c r="O58" s="678"/>
      <c r="P58" s="189" t="s">
        <v>497</v>
      </c>
      <c r="Q58" s="794">
        <v>40691</v>
      </c>
      <c r="R58" s="793"/>
      <c r="S58" s="306">
        <f t="shared" si="30"/>
        <v>5</v>
      </c>
      <c r="T58" s="822">
        <v>11587</v>
      </c>
      <c r="U58" s="8">
        <f t="shared" si="29"/>
        <v>57935</v>
      </c>
      <c r="V58" s="456"/>
      <c r="W58" s="794"/>
      <c r="X58" s="821"/>
      <c r="Y58" s="821"/>
      <c r="Z58" s="8">
        <f t="shared" si="25"/>
        <v>0</v>
      </c>
    </row>
    <row r="59" spans="1:26">
      <c r="A59" s="777">
        <f t="shared" si="26"/>
        <v>42</v>
      </c>
      <c r="B59" s="298" t="s">
        <v>883</v>
      </c>
      <c r="C59" s="849">
        <f t="shared" si="1"/>
        <v>362164</v>
      </c>
      <c r="D59" s="778">
        <f t="shared" si="31"/>
        <v>10483.581861866442</v>
      </c>
      <c r="E59" s="778">
        <f t="shared" si="31"/>
        <v>2613.5540215857518</v>
      </c>
      <c r="F59" s="778">
        <f t="shared" si="31"/>
        <v>12132.260401967889</v>
      </c>
      <c r="G59" s="778">
        <f t="shared" si="31"/>
        <v>1395.2435071126197</v>
      </c>
      <c r="H59" s="778">
        <f t="shared" si="31"/>
        <v>629.26661835933032</v>
      </c>
      <c r="I59" s="778">
        <f t="shared" si="31"/>
        <v>2655.3750810419128</v>
      </c>
      <c r="J59" s="365"/>
      <c r="K59" s="817">
        <f t="shared" si="17"/>
        <v>392073</v>
      </c>
      <c r="L59" s="778">
        <v>22</v>
      </c>
      <c r="M59" s="778">
        <f t="shared" si="24"/>
        <v>17821.5</v>
      </c>
      <c r="N59" s="678">
        <v>18862</v>
      </c>
      <c r="O59" s="678"/>
      <c r="P59" s="189" t="s">
        <v>496</v>
      </c>
      <c r="Q59" s="794">
        <v>40691</v>
      </c>
      <c r="R59" s="793"/>
      <c r="S59" s="306">
        <v>22</v>
      </c>
      <c r="T59" s="822">
        <v>16462</v>
      </c>
      <c r="U59" s="8">
        <f t="shared" si="29"/>
        <v>362164</v>
      </c>
      <c r="V59" s="456"/>
      <c r="W59" s="794"/>
      <c r="X59" s="821"/>
      <c r="Y59" s="821"/>
      <c r="Z59" s="8">
        <f t="shared" si="25"/>
        <v>0</v>
      </c>
    </row>
    <row r="60" spans="1:26">
      <c r="A60" s="777">
        <f t="shared" si="26"/>
        <v>43</v>
      </c>
      <c r="B60" s="298" t="s">
        <v>884</v>
      </c>
      <c r="C60" s="849">
        <f t="shared" si="1"/>
        <v>1500380</v>
      </c>
      <c r="D60" s="778">
        <f t="shared" si="31"/>
        <v>116748.97982533084</v>
      </c>
      <c r="E60" s="778">
        <f t="shared" si="31"/>
        <v>29105.487967659508</v>
      </c>
      <c r="F60" s="778">
        <f t="shared" si="31"/>
        <v>135109.26356736966</v>
      </c>
      <c r="G60" s="778">
        <f t="shared" si="31"/>
        <v>15537.939056481446</v>
      </c>
      <c r="H60" s="778">
        <f t="shared" si="31"/>
        <v>7007.7418862743607</v>
      </c>
      <c r="I60" s="778">
        <f t="shared" si="31"/>
        <v>29571.222493421301</v>
      </c>
      <c r="J60" s="365"/>
      <c r="K60" s="817">
        <f t="shared" si="17"/>
        <v>1833461</v>
      </c>
      <c r="L60" s="778">
        <v>245</v>
      </c>
      <c r="M60" s="778">
        <f t="shared" si="24"/>
        <v>7483.5142857142855</v>
      </c>
      <c r="N60" s="678">
        <v>9989</v>
      </c>
      <c r="O60" s="678"/>
      <c r="P60" s="189" t="s">
        <v>385</v>
      </c>
      <c r="Q60" s="794">
        <v>40691</v>
      </c>
      <c r="R60" s="793"/>
      <c r="S60" s="306">
        <f>L60</f>
        <v>245</v>
      </c>
      <c r="T60" s="256">
        <v>6124</v>
      </c>
      <c r="U60" s="8">
        <f t="shared" si="29"/>
        <v>1500380</v>
      </c>
      <c r="V60" s="456"/>
      <c r="W60" s="794"/>
      <c r="X60" s="821"/>
      <c r="Y60" s="821"/>
      <c r="Z60" s="8">
        <f t="shared" si="25"/>
        <v>0</v>
      </c>
    </row>
    <row r="61" spans="1:26">
      <c r="A61" s="777">
        <f t="shared" si="26"/>
        <v>44</v>
      </c>
      <c r="B61" s="298" t="s">
        <v>885</v>
      </c>
      <c r="C61" s="849">
        <f t="shared" si="1"/>
        <v>9720774</v>
      </c>
      <c r="D61" s="778">
        <f t="shared" si="31"/>
        <v>204429.84630639563</v>
      </c>
      <c r="E61" s="778">
        <f t="shared" si="31"/>
        <v>50964.303420922159</v>
      </c>
      <c r="F61" s="778">
        <f t="shared" si="31"/>
        <v>236579.07783837384</v>
      </c>
      <c r="G61" s="778">
        <f t="shared" si="31"/>
        <v>27207.248388696084</v>
      </c>
      <c r="H61" s="778">
        <f t="shared" si="31"/>
        <v>12270.699058006941</v>
      </c>
      <c r="I61" s="778">
        <f t="shared" si="31"/>
        <v>51779.814080317301</v>
      </c>
      <c r="J61" s="365"/>
      <c r="K61" s="817">
        <f t="shared" si="17"/>
        <v>10304005</v>
      </c>
      <c r="L61" s="778">
        <v>429</v>
      </c>
      <c r="M61" s="778">
        <f t="shared" si="24"/>
        <v>24018.659673659673</v>
      </c>
      <c r="N61" s="678">
        <v>25535</v>
      </c>
      <c r="O61" s="678"/>
      <c r="P61" s="189" t="s">
        <v>491</v>
      </c>
      <c r="Q61" s="794">
        <v>40691</v>
      </c>
      <c r="R61" s="793"/>
      <c r="S61" s="306">
        <v>431</v>
      </c>
      <c r="T61" s="259">
        <v>22554</v>
      </c>
      <c r="U61" s="8">
        <f t="shared" si="29"/>
        <v>9720774</v>
      </c>
      <c r="V61" s="456"/>
      <c r="W61" s="794"/>
      <c r="X61" s="821"/>
      <c r="Y61" s="821"/>
      <c r="Z61" s="8">
        <f t="shared" si="25"/>
        <v>0</v>
      </c>
    </row>
    <row r="62" spans="1:26">
      <c r="A62" s="777">
        <f t="shared" si="26"/>
        <v>45</v>
      </c>
      <c r="B62" s="298" t="s">
        <v>873</v>
      </c>
      <c r="C62" s="849">
        <f t="shared" si="1"/>
        <v>325248</v>
      </c>
      <c r="D62" s="778">
        <f t="shared" si="31"/>
        <v>10483.581861866442</v>
      </c>
      <c r="E62" s="778">
        <f t="shared" si="31"/>
        <v>2613.5540215857518</v>
      </c>
      <c r="F62" s="778">
        <f t="shared" si="31"/>
        <v>12132.260401967889</v>
      </c>
      <c r="G62" s="778">
        <f t="shared" si="31"/>
        <v>1395.2435071126197</v>
      </c>
      <c r="H62" s="778">
        <f t="shared" si="31"/>
        <v>629.26661835933032</v>
      </c>
      <c r="I62" s="778">
        <f t="shared" si="31"/>
        <v>2655.3750810419128</v>
      </c>
      <c r="J62" s="365"/>
      <c r="K62" s="817">
        <f t="shared" si="17"/>
        <v>355157</v>
      </c>
      <c r="L62" s="778">
        <v>22</v>
      </c>
      <c r="M62" s="778">
        <f t="shared" si="24"/>
        <v>16143.5</v>
      </c>
      <c r="N62" s="678">
        <v>17979</v>
      </c>
      <c r="O62" s="678"/>
      <c r="P62" s="189" t="s">
        <v>509</v>
      </c>
      <c r="Q62" s="794">
        <v>40691</v>
      </c>
      <c r="R62" s="793"/>
      <c r="S62" s="306">
        <f t="shared" ref="S62:S66" si="32">L62</f>
        <v>22</v>
      </c>
      <c r="T62" s="256">
        <v>14784</v>
      </c>
      <c r="U62" s="8">
        <f t="shared" si="29"/>
        <v>325248</v>
      </c>
      <c r="V62" s="456"/>
      <c r="W62" s="794"/>
      <c r="X62" s="821"/>
      <c r="Y62" s="821"/>
      <c r="Z62" s="8">
        <f t="shared" si="25"/>
        <v>0</v>
      </c>
    </row>
    <row r="63" spans="1:26">
      <c r="A63" s="777">
        <f t="shared" si="26"/>
        <v>46</v>
      </c>
      <c r="B63" s="298" t="s">
        <v>886</v>
      </c>
      <c r="C63" s="849">
        <f t="shared" si="1"/>
        <v>59136</v>
      </c>
      <c r="D63" s="778">
        <f t="shared" si="31"/>
        <v>1906.1057930666259</v>
      </c>
      <c r="E63" s="778">
        <f t="shared" si="31"/>
        <v>475.19164028831852</v>
      </c>
      <c r="F63" s="778">
        <f t="shared" si="31"/>
        <v>2205.8655276305253</v>
      </c>
      <c r="G63" s="778">
        <f t="shared" si="31"/>
        <v>253.68063765683993</v>
      </c>
      <c r="H63" s="778">
        <f t="shared" si="31"/>
        <v>114.41211242896915</v>
      </c>
      <c r="I63" s="778">
        <f t="shared" si="31"/>
        <v>482.79546928034779</v>
      </c>
      <c r="J63" s="365"/>
      <c r="K63" s="817">
        <f t="shared" si="17"/>
        <v>64574</v>
      </c>
      <c r="L63" s="778">
        <v>4</v>
      </c>
      <c r="M63" s="778">
        <f t="shared" si="24"/>
        <v>16143.5</v>
      </c>
      <c r="N63" s="678">
        <v>16852</v>
      </c>
      <c r="O63" s="678"/>
      <c r="P63" s="189" t="s">
        <v>509</v>
      </c>
      <c r="Q63" s="794">
        <v>40691</v>
      </c>
      <c r="R63" s="793"/>
      <c r="S63" s="306">
        <f t="shared" si="32"/>
        <v>4</v>
      </c>
      <c r="T63" s="256">
        <v>14784</v>
      </c>
      <c r="U63" s="8">
        <f t="shared" si="29"/>
        <v>59136</v>
      </c>
      <c r="V63" s="456"/>
      <c r="W63" s="794"/>
      <c r="X63" s="821"/>
      <c r="Y63" s="821"/>
      <c r="Z63" s="8">
        <f t="shared" si="25"/>
        <v>0</v>
      </c>
    </row>
    <row r="64" spans="1:26">
      <c r="A64" s="777">
        <f t="shared" si="26"/>
        <v>47</v>
      </c>
      <c r="B64" s="298" t="s">
        <v>887</v>
      </c>
      <c r="C64" s="849">
        <f t="shared" si="1"/>
        <v>26996</v>
      </c>
      <c r="D64" s="778">
        <f t="shared" si="31"/>
        <v>953.05289653331295</v>
      </c>
      <c r="E64" s="778">
        <f t="shared" si="31"/>
        <v>237.59582014415926</v>
      </c>
      <c r="F64" s="778">
        <f t="shared" si="31"/>
        <v>1102.9327638152627</v>
      </c>
      <c r="G64" s="778">
        <f t="shared" si="31"/>
        <v>126.84031882841997</v>
      </c>
      <c r="H64" s="778">
        <f t="shared" si="31"/>
        <v>57.206056214484576</v>
      </c>
      <c r="I64" s="778">
        <f t="shared" si="31"/>
        <v>241.39773464017389</v>
      </c>
      <c r="J64" s="365"/>
      <c r="K64" s="817">
        <f t="shared" si="17"/>
        <v>29715</v>
      </c>
      <c r="L64" s="778">
        <v>2</v>
      </c>
      <c r="M64" s="778">
        <f t="shared" si="24"/>
        <v>14857.5</v>
      </c>
      <c r="N64" s="678">
        <v>16052</v>
      </c>
      <c r="O64" s="678"/>
      <c r="P64" s="189" t="s">
        <v>501</v>
      </c>
      <c r="Q64" s="794">
        <v>40691</v>
      </c>
      <c r="R64" s="793"/>
      <c r="S64" s="306">
        <f t="shared" si="32"/>
        <v>2</v>
      </c>
      <c r="T64" s="259">
        <v>13498</v>
      </c>
      <c r="U64" s="8">
        <f t="shared" si="29"/>
        <v>26996</v>
      </c>
      <c r="V64" s="456"/>
      <c r="W64" s="794"/>
      <c r="X64" s="821"/>
      <c r="Y64" s="821"/>
      <c r="Z64" s="8">
        <f t="shared" si="25"/>
        <v>0</v>
      </c>
    </row>
    <row r="65" spans="1:26">
      <c r="A65" s="777">
        <f t="shared" si="26"/>
        <v>48</v>
      </c>
      <c r="B65" s="298" t="s">
        <v>867</v>
      </c>
      <c r="C65" s="849">
        <f t="shared" si="1"/>
        <v>40494</v>
      </c>
      <c r="D65" s="778">
        <f t="shared" si="31"/>
        <v>1429.5793447999695</v>
      </c>
      <c r="E65" s="778">
        <f t="shared" si="31"/>
        <v>356.39373021623891</v>
      </c>
      <c r="F65" s="778">
        <f t="shared" si="31"/>
        <v>1654.399145722894</v>
      </c>
      <c r="G65" s="778">
        <f t="shared" si="31"/>
        <v>190.26047824262994</v>
      </c>
      <c r="H65" s="778">
        <f t="shared" si="31"/>
        <v>85.809084321726857</v>
      </c>
      <c r="I65" s="778">
        <f t="shared" si="31"/>
        <v>362.09660196026084</v>
      </c>
      <c r="J65" s="365"/>
      <c r="K65" s="817">
        <f t="shared" si="17"/>
        <v>44573</v>
      </c>
      <c r="L65" s="778">
        <v>3</v>
      </c>
      <c r="M65" s="778">
        <f t="shared" si="24"/>
        <v>14857.666666666666</v>
      </c>
      <c r="N65" s="678">
        <v>15770</v>
      </c>
      <c r="O65" s="678"/>
      <c r="P65" s="189" t="s">
        <v>501</v>
      </c>
      <c r="Q65" s="794">
        <v>40691</v>
      </c>
      <c r="R65" s="793"/>
      <c r="S65" s="306">
        <f t="shared" si="32"/>
        <v>3</v>
      </c>
      <c r="T65" s="259">
        <v>13498</v>
      </c>
      <c r="U65" s="8">
        <f t="shared" si="29"/>
        <v>40494</v>
      </c>
      <c r="V65" s="456"/>
      <c r="W65" s="794"/>
      <c r="X65" s="821"/>
      <c r="Y65" s="821"/>
      <c r="Z65" s="8">
        <f t="shared" si="25"/>
        <v>0</v>
      </c>
    </row>
    <row r="66" spans="1:26">
      <c r="A66" s="777">
        <f t="shared" si="26"/>
        <v>49</v>
      </c>
      <c r="B66" s="298" t="s">
        <v>871</v>
      </c>
      <c r="C66" s="849">
        <f t="shared" si="1"/>
        <v>13498</v>
      </c>
      <c r="D66" s="778">
        <f t="shared" si="31"/>
        <v>476.52644826665647</v>
      </c>
      <c r="E66" s="778">
        <f t="shared" si="31"/>
        <v>118.79791007207963</v>
      </c>
      <c r="F66" s="778">
        <f t="shared" si="31"/>
        <v>551.46638190763133</v>
      </c>
      <c r="G66" s="778">
        <f t="shared" si="31"/>
        <v>63.420159414209984</v>
      </c>
      <c r="H66" s="778">
        <f t="shared" si="31"/>
        <v>28.603028107242288</v>
      </c>
      <c r="I66" s="778">
        <f t="shared" si="31"/>
        <v>120.69886732008695</v>
      </c>
      <c r="J66" s="365"/>
      <c r="K66" s="817">
        <f t="shared" si="17"/>
        <v>14858</v>
      </c>
      <c r="L66" s="778">
        <v>1</v>
      </c>
      <c r="M66" s="778">
        <f t="shared" si="24"/>
        <v>14858</v>
      </c>
      <c r="N66" s="678">
        <v>15277</v>
      </c>
      <c r="O66" s="678"/>
      <c r="P66" s="189" t="s">
        <v>501</v>
      </c>
      <c r="Q66" s="794">
        <v>40691</v>
      </c>
      <c r="R66" s="793"/>
      <c r="S66" s="306">
        <f t="shared" si="32"/>
        <v>1</v>
      </c>
      <c r="T66" s="259">
        <v>13498</v>
      </c>
      <c r="U66" s="8">
        <f t="shared" si="29"/>
        <v>13498</v>
      </c>
      <c r="V66" s="456"/>
      <c r="W66" s="794"/>
      <c r="X66" s="821"/>
      <c r="Y66" s="821"/>
      <c r="Z66" s="8">
        <f t="shared" si="25"/>
        <v>0</v>
      </c>
    </row>
    <row r="67" spans="1:26">
      <c r="A67" s="777">
        <f t="shared" si="26"/>
        <v>50</v>
      </c>
      <c r="B67" s="298" t="s">
        <v>868</v>
      </c>
      <c r="C67" s="849">
        <f t="shared" si="1"/>
        <v>40065</v>
      </c>
      <c r="D67" s="778">
        <f t="shared" ref="D67:I76" si="33">IF($L$171&lt;&gt;0,D$171/$L$171*$L67,0)</f>
        <v>2382.6322413332823</v>
      </c>
      <c r="E67" s="778">
        <f t="shared" si="33"/>
        <v>593.9895503603982</v>
      </c>
      <c r="F67" s="778">
        <f t="shared" si="33"/>
        <v>2757.3319095381567</v>
      </c>
      <c r="G67" s="778">
        <f t="shared" si="33"/>
        <v>317.1007970710499</v>
      </c>
      <c r="H67" s="778">
        <f t="shared" si="33"/>
        <v>143.01514053621145</v>
      </c>
      <c r="I67" s="778">
        <f t="shared" si="33"/>
        <v>603.49433660043474</v>
      </c>
      <c r="J67" s="365"/>
      <c r="K67" s="817">
        <f t="shared" si="17"/>
        <v>46863</v>
      </c>
      <c r="L67" s="778">
        <v>5</v>
      </c>
      <c r="M67" s="778">
        <f t="shared" si="24"/>
        <v>9372.6</v>
      </c>
      <c r="N67" s="678">
        <v>11002</v>
      </c>
      <c r="O67" s="678"/>
      <c r="P67" s="189" t="s">
        <v>517</v>
      </c>
      <c r="Q67" s="794">
        <v>40691</v>
      </c>
      <c r="R67" s="793"/>
      <c r="S67" s="306">
        <f>L67</f>
        <v>5</v>
      </c>
      <c r="T67" s="256">
        <v>8013</v>
      </c>
      <c r="U67" s="8">
        <f t="shared" si="29"/>
        <v>40065</v>
      </c>
      <c r="V67" s="456"/>
      <c r="W67" s="794"/>
      <c r="X67" s="821"/>
      <c r="Y67" s="821"/>
      <c r="Z67" s="8">
        <f t="shared" si="25"/>
        <v>0</v>
      </c>
    </row>
    <row r="68" spans="1:26">
      <c r="A68" s="777">
        <f t="shared" si="26"/>
        <v>51</v>
      </c>
      <c r="B68" s="298" t="s">
        <v>891</v>
      </c>
      <c r="C68" s="849">
        <f t="shared" si="1"/>
        <v>5275116</v>
      </c>
      <c r="D68" s="778">
        <f t="shared" si="33"/>
        <v>163925.09820372984</v>
      </c>
      <c r="E68" s="778">
        <f t="shared" si="33"/>
        <v>40866.481064795393</v>
      </c>
      <c r="F68" s="778">
        <f t="shared" si="33"/>
        <v>189704.43537622518</v>
      </c>
      <c r="G68" s="778">
        <f t="shared" si="33"/>
        <v>21816.534838488235</v>
      </c>
      <c r="H68" s="778">
        <f t="shared" si="33"/>
        <v>9839.4416688913479</v>
      </c>
      <c r="I68" s="778">
        <f t="shared" si="33"/>
        <v>41520.410358109912</v>
      </c>
      <c r="J68" s="365"/>
      <c r="K68" s="817">
        <f t="shared" si="17"/>
        <v>5742788</v>
      </c>
      <c r="L68" s="778">
        <v>344</v>
      </c>
      <c r="M68" s="778">
        <f t="shared" si="24"/>
        <v>16694.151162790698</v>
      </c>
      <c r="N68" s="678">
        <v>19248</v>
      </c>
      <c r="O68" s="678"/>
      <c r="P68" s="189" t="s">
        <v>514</v>
      </c>
      <c r="Q68" s="794">
        <v>40691</v>
      </c>
      <c r="R68" s="793"/>
      <c r="S68" s="844">
        <v>346</v>
      </c>
      <c r="T68" s="256">
        <v>15246</v>
      </c>
      <c r="U68" s="8">
        <f t="shared" si="29"/>
        <v>5275116</v>
      </c>
      <c r="V68" s="456"/>
      <c r="W68" s="794"/>
      <c r="X68" s="821"/>
      <c r="Y68" s="821"/>
      <c r="Z68" s="8">
        <f t="shared" si="25"/>
        <v>0</v>
      </c>
    </row>
    <row r="69" spans="1:26">
      <c r="A69" s="777">
        <f t="shared" si="26"/>
        <v>52</v>
      </c>
      <c r="B69" s="298" t="s">
        <v>889</v>
      </c>
      <c r="C69" s="849">
        <f t="shared" si="1"/>
        <v>1063311</v>
      </c>
      <c r="D69" s="778">
        <f t="shared" si="33"/>
        <v>113889.82113573089</v>
      </c>
      <c r="E69" s="778">
        <f t="shared" si="33"/>
        <v>28392.700507227033</v>
      </c>
      <c r="F69" s="778">
        <f t="shared" si="33"/>
        <v>131800.4652759239</v>
      </c>
      <c r="G69" s="778">
        <f t="shared" si="33"/>
        <v>15157.418099996186</v>
      </c>
      <c r="H69" s="778">
        <f t="shared" si="33"/>
        <v>6836.1237176309069</v>
      </c>
      <c r="I69" s="778">
        <f t="shared" si="33"/>
        <v>28847.029289500781</v>
      </c>
      <c r="J69" s="365"/>
      <c r="K69" s="817">
        <f t="shared" si="17"/>
        <v>1388235</v>
      </c>
      <c r="L69" s="778">
        <v>239</v>
      </c>
      <c r="M69" s="778">
        <f t="shared" si="24"/>
        <v>5808.5146443514641</v>
      </c>
      <c r="N69" s="678">
        <v>6577</v>
      </c>
      <c r="O69" s="678"/>
      <c r="P69" s="298" t="s">
        <v>387</v>
      </c>
      <c r="Q69" s="794">
        <v>40691</v>
      </c>
      <c r="R69" s="793"/>
      <c r="S69" s="306">
        <f>L69</f>
        <v>239</v>
      </c>
      <c r="T69" s="259">
        <v>4449</v>
      </c>
      <c r="U69" s="8">
        <f t="shared" si="29"/>
        <v>1063311</v>
      </c>
      <c r="V69" s="456"/>
      <c r="W69" s="794"/>
      <c r="X69" s="821"/>
      <c r="Y69" s="821"/>
      <c r="Z69" s="8">
        <f t="shared" si="25"/>
        <v>0</v>
      </c>
    </row>
    <row r="70" spans="1:26">
      <c r="A70" s="777">
        <f t="shared" si="26"/>
        <v>53</v>
      </c>
      <c r="B70" s="298" t="s">
        <v>890</v>
      </c>
      <c r="C70" s="849">
        <f t="shared" si="1"/>
        <v>226899</v>
      </c>
      <c r="D70" s="778">
        <f t="shared" si="33"/>
        <v>48605.697723198959</v>
      </c>
      <c r="E70" s="778">
        <f t="shared" si="33"/>
        <v>12117.386827352122</v>
      </c>
      <c r="F70" s="778">
        <f t="shared" si="33"/>
        <v>56249.570954578398</v>
      </c>
      <c r="G70" s="778">
        <f t="shared" si="33"/>
        <v>6468.8562602494185</v>
      </c>
      <c r="H70" s="778">
        <f t="shared" si="33"/>
        <v>2917.5088669387133</v>
      </c>
      <c r="I70" s="778">
        <f t="shared" si="33"/>
        <v>12311.284466648869</v>
      </c>
      <c r="J70" s="365"/>
      <c r="K70" s="817">
        <f t="shared" si="17"/>
        <v>365569</v>
      </c>
      <c r="L70" s="778">
        <v>102</v>
      </c>
      <c r="M70" s="778">
        <f t="shared" si="24"/>
        <v>3584.0098039215686</v>
      </c>
      <c r="N70" s="678">
        <v>4704</v>
      </c>
      <c r="O70" s="678"/>
      <c r="P70" s="189" t="s">
        <v>387</v>
      </c>
      <c r="Q70" s="794">
        <v>40691</v>
      </c>
      <c r="R70" s="793"/>
      <c r="S70" s="306">
        <f>L70/2</f>
        <v>51</v>
      </c>
      <c r="T70" s="259">
        <v>4449</v>
      </c>
      <c r="U70" s="8">
        <f t="shared" si="29"/>
        <v>226899</v>
      </c>
      <c r="V70" s="456"/>
      <c r="W70" s="794"/>
      <c r="X70" s="821"/>
      <c r="Y70" s="821"/>
      <c r="Z70" s="8">
        <f t="shared" si="25"/>
        <v>0</v>
      </c>
    </row>
    <row r="71" spans="1:26">
      <c r="A71" s="777">
        <f t="shared" si="26"/>
        <v>54</v>
      </c>
      <c r="B71" s="298" t="s">
        <v>892</v>
      </c>
      <c r="C71" s="849">
        <f t="shared" si="1"/>
        <v>302400</v>
      </c>
      <c r="D71" s="778">
        <f t="shared" si="33"/>
        <v>11436.634758399756</v>
      </c>
      <c r="E71" s="778">
        <f t="shared" si="33"/>
        <v>2851.1498417299113</v>
      </c>
      <c r="F71" s="778">
        <f t="shared" si="33"/>
        <v>13235.193165783152</v>
      </c>
      <c r="G71" s="778">
        <f t="shared" si="33"/>
        <v>1522.0838259410395</v>
      </c>
      <c r="H71" s="778">
        <f t="shared" si="33"/>
        <v>686.47267457381486</v>
      </c>
      <c r="I71" s="778">
        <f t="shared" si="33"/>
        <v>2896.7728156820867</v>
      </c>
      <c r="J71" s="365"/>
      <c r="K71" s="817">
        <f t="shared" si="17"/>
        <v>335028</v>
      </c>
      <c r="L71" s="778">
        <v>24</v>
      </c>
      <c r="M71" s="778">
        <f t="shared" si="24"/>
        <v>13959.5</v>
      </c>
      <c r="N71" s="678">
        <v>14056</v>
      </c>
      <c r="O71" s="678"/>
      <c r="P71" s="298" t="s">
        <v>481</v>
      </c>
      <c r="Q71" s="794">
        <v>40691</v>
      </c>
      <c r="R71" s="793"/>
      <c r="S71" s="306">
        <v>12</v>
      </c>
      <c r="T71" s="256">
        <v>25200</v>
      </c>
      <c r="U71" s="8">
        <f t="shared" si="29"/>
        <v>302400</v>
      </c>
      <c r="V71" s="456"/>
      <c r="W71" s="794"/>
      <c r="X71" s="821"/>
      <c r="Y71" s="821"/>
      <c r="Z71" s="8">
        <f t="shared" si="25"/>
        <v>0</v>
      </c>
    </row>
    <row r="72" spans="1:26">
      <c r="A72" s="777">
        <f t="shared" si="26"/>
        <v>55</v>
      </c>
      <c r="B72" s="298" t="s">
        <v>885</v>
      </c>
      <c r="C72" s="849">
        <f t="shared" ref="C72:C135" si="34">U72</f>
        <v>4713786</v>
      </c>
      <c r="D72" s="778">
        <f t="shared" si="33"/>
        <v>99117.501239464546</v>
      </c>
      <c r="E72" s="778">
        <f t="shared" si="33"/>
        <v>24709.965294992562</v>
      </c>
      <c r="F72" s="778">
        <f t="shared" si="33"/>
        <v>114705.00743678732</v>
      </c>
      <c r="G72" s="778">
        <f t="shared" si="33"/>
        <v>13191.393158155677</v>
      </c>
      <c r="H72" s="778">
        <f t="shared" si="33"/>
        <v>5949.429846306396</v>
      </c>
      <c r="I72" s="778">
        <f t="shared" si="33"/>
        <v>25105.364402578085</v>
      </c>
      <c r="J72" s="365"/>
      <c r="K72" s="817">
        <f t="shared" ref="K72:K135" si="35">ROUND(SUM(C72:I72),0)</f>
        <v>4996565</v>
      </c>
      <c r="L72" s="778">
        <v>208</v>
      </c>
      <c r="M72" s="778">
        <f t="shared" si="24"/>
        <v>24021.947115384617</v>
      </c>
      <c r="N72" s="678">
        <v>25535</v>
      </c>
      <c r="O72" s="678"/>
      <c r="P72" s="189" t="s">
        <v>491</v>
      </c>
      <c r="Q72" s="794">
        <v>40691</v>
      </c>
      <c r="R72" s="793"/>
      <c r="S72" s="306">
        <v>209</v>
      </c>
      <c r="T72" s="259">
        <v>22554</v>
      </c>
      <c r="U72" s="8">
        <f t="shared" si="29"/>
        <v>4713786</v>
      </c>
      <c r="V72" s="456"/>
      <c r="W72" s="794"/>
      <c r="X72" s="821"/>
      <c r="Y72" s="821"/>
      <c r="Z72" s="8">
        <f t="shared" si="25"/>
        <v>0</v>
      </c>
    </row>
    <row r="73" spans="1:26">
      <c r="A73" s="777">
        <f t="shared" si="26"/>
        <v>56</v>
      </c>
      <c r="B73" s="298" t="s">
        <v>893</v>
      </c>
      <c r="C73" s="849">
        <f t="shared" si="34"/>
        <v>1264900</v>
      </c>
      <c r="D73" s="778">
        <f t="shared" si="33"/>
        <v>24302.848861599479</v>
      </c>
      <c r="E73" s="778">
        <f t="shared" si="33"/>
        <v>6058.693413676061</v>
      </c>
      <c r="F73" s="778">
        <f t="shared" si="33"/>
        <v>28124.785477289199</v>
      </c>
      <c r="G73" s="778">
        <f t="shared" si="33"/>
        <v>3234.4281301247092</v>
      </c>
      <c r="H73" s="778">
        <f t="shared" si="33"/>
        <v>1458.7544334693566</v>
      </c>
      <c r="I73" s="778">
        <f t="shared" si="33"/>
        <v>6155.6422333244345</v>
      </c>
      <c r="J73" s="365"/>
      <c r="K73" s="817">
        <f t="shared" si="35"/>
        <v>1334235</v>
      </c>
      <c r="L73" s="778">
        <v>51</v>
      </c>
      <c r="M73" s="778">
        <f t="shared" si="24"/>
        <v>26161.470588235294</v>
      </c>
      <c r="N73" s="678">
        <v>27650</v>
      </c>
      <c r="O73" s="678"/>
      <c r="P73" s="189" t="s">
        <v>402</v>
      </c>
      <c r="Q73" s="794">
        <v>40691</v>
      </c>
      <c r="R73" s="793"/>
      <c r="S73" s="306">
        <v>52</v>
      </c>
      <c r="T73" s="259">
        <v>24325</v>
      </c>
      <c r="U73" s="8">
        <f t="shared" si="29"/>
        <v>1264900</v>
      </c>
      <c r="V73" s="456"/>
      <c r="W73" s="794"/>
      <c r="X73" s="821"/>
      <c r="Y73" s="821"/>
      <c r="Z73" s="8">
        <f t="shared" si="25"/>
        <v>0</v>
      </c>
    </row>
    <row r="74" spans="1:26">
      <c r="A74" s="777">
        <f t="shared" si="26"/>
        <v>57</v>
      </c>
      <c r="B74" s="298" t="s">
        <v>895</v>
      </c>
      <c r="C74" s="849">
        <f t="shared" si="34"/>
        <v>9628696</v>
      </c>
      <c r="D74" s="778">
        <f t="shared" si="33"/>
        <v>193469.73799626253</v>
      </c>
      <c r="E74" s="778">
        <f t="shared" si="33"/>
        <v>48231.951489264327</v>
      </c>
      <c r="F74" s="778">
        <f t="shared" si="33"/>
        <v>223895.35105449831</v>
      </c>
      <c r="G74" s="778">
        <f t="shared" si="33"/>
        <v>25748.584722169253</v>
      </c>
      <c r="H74" s="778">
        <f t="shared" si="33"/>
        <v>11612.82941154037</v>
      </c>
      <c r="I74" s="778">
        <f t="shared" si="33"/>
        <v>49003.740131955303</v>
      </c>
      <c r="J74" s="365"/>
      <c r="K74" s="817">
        <f t="shared" si="35"/>
        <v>10180658</v>
      </c>
      <c r="L74" s="778">
        <v>406</v>
      </c>
      <c r="M74" s="778">
        <f t="shared" si="24"/>
        <v>25075.512315270935</v>
      </c>
      <c r="N74" s="678">
        <v>26855</v>
      </c>
      <c r="O74" s="678"/>
      <c r="P74" s="189" t="s">
        <v>492</v>
      </c>
      <c r="Q74" s="794">
        <v>40691</v>
      </c>
      <c r="R74" s="793"/>
      <c r="S74" s="306">
        <v>406</v>
      </c>
      <c r="T74" s="259">
        <v>23716</v>
      </c>
      <c r="U74" s="8">
        <f t="shared" si="29"/>
        <v>9628696</v>
      </c>
      <c r="V74" s="456"/>
      <c r="W74" s="794"/>
      <c r="X74" s="821"/>
      <c r="Y74" s="821"/>
      <c r="Z74" s="8">
        <f t="shared" si="25"/>
        <v>0</v>
      </c>
    </row>
    <row r="75" spans="1:26">
      <c r="A75" s="777">
        <f t="shared" si="26"/>
        <v>58</v>
      </c>
      <c r="B75" s="298" t="s">
        <v>896</v>
      </c>
      <c r="C75" s="849">
        <f t="shared" si="34"/>
        <v>222450</v>
      </c>
      <c r="D75" s="778">
        <f t="shared" si="33"/>
        <v>23826.322413332822</v>
      </c>
      <c r="E75" s="778">
        <f t="shared" si="33"/>
        <v>5939.8955036039815</v>
      </c>
      <c r="F75" s="778">
        <f t="shared" si="33"/>
        <v>27573.319095381565</v>
      </c>
      <c r="G75" s="778">
        <f t="shared" si="33"/>
        <v>3171.0079707104992</v>
      </c>
      <c r="H75" s="778">
        <f t="shared" si="33"/>
        <v>1430.1514053621145</v>
      </c>
      <c r="I75" s="778">
        <f t="shared" si="33"/>
        <v>6034.9433660043469</v>
      </c>
      <c r="J75" s="365"/>
      <c r="K75" s="817">
        <f t="shared" si="35"/>
        <v>290426</v>
      </c>
      <c r="L75" s="778">
        <v>50</v>
      </c>
      <c r="M75" s="778">
        <f t="shared" si="24"/>
        <v>5808.52</v>
      </c>
      <c r="N75" s="678">
        <v>5286</v>
      </c>
      <c r="O75" s="678"/>
      <c r="P75" s="298" t="s">
        <v>387</v>
      </c>
      <c r="Q75" s="794">
        <v>40691</v>
      </c>
      <c r="R75" s="793"/>
      <c r="S75" s="306">
        <f>L75</f>
        <v>50</v>
      </c>
      <c r="T75" s="259">
        <v>4449</v>
      </c>
      <c r="U75" s="8">
        <f t="shared" si="29"/>
        <v>222450</v>
      </c>
      <c r="V75" s="456"/>
      <c r="W75" s="794"/>
      <c r="X75" s="821"/>
      <c r="Y75" s="821"/>
      <c r="Z75" s="8">
        <f t="shared" si="25"/>
        <v>0</v>
      </c>
    </row>
    <row r="76" spans="1:26">
      <c r="A76" s="777">
        <f t="shared" ref="A76:A89" si="36">IF(B76&lt;&gt;"",A75+1,"")</f>
        <v>59</v>
      </c>
      <c r="B76" s="298" t="s">
        <v>897</v>
      </c>
      <c r="C76" s="849">
        <f t="shared" si="34"/>
        <v>75633</v>
      </c>
      <c r="D76" s="778">
        <f t="shared" si="33"/>
        <v>32403.798482132639</v>
      </c>
      <c r="E76" s="778">
        <f t="shared" si="33"/>
        <v>8078.2578849014153</v>
      </c>
      <c r="F76" s="778">
        <f t="shared" si="33"/>
        <v>37499.713969718927</v>
      </c>
      <c r="G76" s="778">
        <f t="shared" si="33"/>
        <v>4312.5708401662787</v>
      </c>
      <c r="H76" s="778">
        <f t="shared" si="33"/>
        <v>1945.0059112924755</v>
      </c>
      <c r="I76" s="778">
        <f t="shared" si="33"/>
        <v>8207.5229777659115</v>
      </c>
      <c r="J76" s="365"/>
      <c r="K76" s="817">
        <f t="shared" si="35"/>
        <v>168080</v>
      </c>
      <c r="L76" s="778">
        <v>68</v>
      </c>
      <c r="M76" s="778">
        <f t="shared" ref="M76:M89" si="37">IF(L76&lt;&gt;"",K76/L76,"")</f>
        <v>2471.7647058823532</v>
      </c>
      <c r="N76" s="678">
        <v>2734</v>
      </c>
      <c r="O76" s="678"/>
      <c r="P76" s="189" t="s">
        <v>387</v>
      </c>
      <c r="Q76" s="794">
        <v>40691</v>
      </c>
      <c r="R76" s="793"/>
      <c r="S76" s="306">
        <f t="shared" ref="S76:S78" si="38">L76/4</f>
        <v>17</v>
      </c>
      <c r="T76" s="259">
        <v>4449</v>
      </c>
      <c r="U76" s="8">
        <f t="shared" ref="U76:U89" si="39">S76*T76</f>
        <v>75633</v>
      </c>
      <c r="V76" s="456"/>
      <c r="W76" s="794"/>
      <c r="X76" s="821"/>
      <c r="Y76" s="821"/>
      <c r="Z76" s="8">
        <f t="shared" ref="Z76:Z89" si="40">X76*Y76</f>
        <v>0</v>
      </c>
    </row>
    <row r="77" spans="1:26">
      <c r="A77" s="777">
        <f t="shared" si="36"/>
        <v>60</v>
      </c>
      <c r="B77" s="298" t="s">
        <v>898</v>
      </c>
      <c r="C77" s="849">
        <f t="shared" si="34"/>
        <v>333675</v>
      </c>
      <c r="D77" s="778">
        <f t="shared" ref="D77:I86" si="41">IF($L$171&lt;&gt;0,D$171/$L$171*$L77,0)</f>
        <v>142957.93447999694</v>
      </c>
      <c r="E77" s="778">
        <f t="shared" si="41"/>
        <v>35639.373021623891</v>
      </c>
      <c r="F77" s="778">
        <f t="shared" si="41"/>
        <v>165439.91457228939</v>
      </c>
      <c r="G77" s="778">
        <f t="shared" si="41"/>
        <v>19026.047824262994</v>
      </c>
      <c r="H77" s="778">
        <f t="shared" si="41"/>
        <v>8580.9084321726859</v>
      </c>
      <c r="I77" s="778">
        <f t="shared" si="41"/>
        <v>36209.660196026081</v>
      </c>
      <c r="J77" s="365"/>
      <c r="K77" s="817">
        <f t="shared" si="35"/>
        <v>741529</v>
      </c>
      <c r="L77" s="778">
        <v>300</v>
      </c>
      <c r="M77" s="778">
        <f t="shared" si="37"/>
        <v>2471.7633333333333</v>
      </c>
      <c r="N77" s="678">
        <v>3065</v>
      </c>
      <c r="O77" s="678"/>
      <c r="P77" s="189" t="s">
        <v>387</v>
      </c>
      <c r="Q77" s="794">
        <v>40691</v>
      </c>
      <c r="R77" s="793"/>
      <c r="S77" s="306">
        <f t="shared" si="38"/>
        <v>75</v>
      </c>
      <c r="T77" s="259">
        <v>4449</v>
      </c>
      <c r="U77" s="8">
        <f t="shared" si="39"/>
        <v>333675</v>
      </c>
      <c r="V77" s="456"/>
      <c r="W77" s="794"/>
      <c r="X77" s="821"/>
      <c r="Y77" s="821"/>
      <c r="Z77" s="8">
        <f t="shared" si="40"/>
        <v>0</v>
      </c>
    </row>
    <row r="78" spans="1:26">
      <c r="A78" s="777">
        <f t="shared" si="36"/>
        <v>61</v>
      </c>
      <c r="B78" s="298" t="s">
        <v>899</v>
      </c>
      <c r="C78" s="849">
        <f t="shared" si="34"/>
        <v>44490</v>
      </c>
      <c r="D78" s="778">
        <f t="shared" si="41"/>
        <v>19061.057930666258</v>
      </c>
      <c r="E78" s="778">
        <f t="shared" si="41"/>
        <v>4751.9164028831856</v>
      </c>
      <c r="F78" s="778">
        <f t="shared" si="41"/>
        <v>22058.655276305253</v>
      </c>
      <c r="G78" s="778">
        <f t="shared" si="41"/>
        <v>2536.8063765683992</v>
      </c>
      <c r="H78" s="778">
        <f t="shared" si="41"/>
        <v>1144.1211242896916</v>
      </c>
      <c r="I78" s="778">
        <f t="shared" si="41"/>
        <v>4827.9546928034779</v>
      </c>
      <c r="J78" s="365"/>
      <c r="K78" s="817">
        <f t="shared" si="35"/>
        <v>98871</v>
      </c>
      <c r="L78" s="778">
        <v>40</v>
      </c>
      <c r="M78" s="778">
        <f t="shared" si="37"/>
        <v>2471.7750000000001</v>
      </c>
      <c r="N78" s="678">
        <v>3778</v>
      </c>
      <c r="O78" s="678"/>
      <c r="P78" s="189" t="s">
        <v>387</v>
      </c>
      <c r="Q78" s="794">
        <v>40691</v>
      </c>
      <c r="R78" s="793"/>
      <c r="S78" s="306">
        <f t="shared" si="38"/>
        <v>10</v>
      </c>
      <c r="T78" s="259">
        <v>4449</v>
      </c>
      <c r="U78" s="8">
        <f t="shared" si="39"/>
        <v>44490</v>
      </c>
      <c r="V78" s="456"/>
      <c r="W78" s="794"/>
      <c r="X78" s="821"/>
      <c r="Y78" s="821"/>
      <c r="Z78" s="8">
        <f t="shared" si="40"/>
        <v>0</v>
      </c>
    </row>
    <row r="79" spans="1:26">
      <c r="A79" s="777">
        <f t="shared" si="36"/>
        <v>62</v>
      </c>
      <c r="B79" s="298" t="s">
        <v>900</v>
      </c>
      <c r="C79" s="849">
        <f t="shared" si="34"/>
        <v>75633</v>
      </c>
      <c r="D79" s="778">
        <f t="shared" si="41"/>
        <v>16201.89924106632</v>
      </c>
      <c r="E79" s="778">
        <f t="shared" si="41"/>
        <v>4039.1289424507077</v>
      </c>
      <c r="F79" s="778">
        <f t="shared" si="41"/>
        <v>18749.856984859463</v>
      </c>
      <c r="G79" s="778">
        <f t="shared" si="41"/>
        <v>2156.2854200831393</v>
      </c>
      <c r="H79" s="778">
        <f t="shared" si="41"/>
        <v>972.50295564623775</v>
      </c>
      <c r="I79" s="778">
        <f t="shared" si="41"/>
        <v>4103.7614888829557</v>
      </c>
      <c r="J79" s="365"/>
      <c r="K79" s="817">
        <f t="shared" si="35"/>
        <v>121856</v>
      </c>
      <c r="L79" s="778">
        <v>34</v>
      </c>
      <c r="M79" s="778">
        <f t="shared" si="37"/>
        <v>3584</v>
      </c>
      <c r="N79" s="678">
        <v>4913</v>
      </c>
      <c r="O79" s="678"/>
      <c r="P79" s="189" t="s">
        <v>387</v>
      </c>
      <c r="Q79" s="794">
        <v>40691</v>
      </c>
      <c r="R79" s="793"/>
      <c r="S79" s="306">
        <f t="shared" ref="S79:S80" si="42">L79/2</f>
        <v>17</v>
      </c>
      <c r="T79" s="259">
        <v>4449</v>
      </c>
      <c r="U79" s="8">
        <f t="shared" si="39"/>
        <v>75633</v>
      </c>
      <c r="V79" s="456"/>
      <c r="W79" s="794"/>
      <c r="X79" s="821"/>
      <c r="Y79" s="821"/>
      <c r="Z79" s="8">
        <f t="shared" si="40"/>
        <v>0</v>
      </c>
    </row>
    <row r="80" spans="1:26">
      <c r="A80" s="777">
        <f t="shared" si="36"/>
        <v>63</v>
      </c>
      <c r="B80" s="298" t="s">
        <v>901</v>
      </c>
      <c r="C80" s="849">
        <f t="shared" si="34"/>
        <v>311430</v>
      </c>
      <c r="D80" s="778">
        <f t="shared" si="41"/>
        <v>66713.702757331906</v>
      </c>
      <c r="E80" s="778">
        <f t="shared" si="41"/>
        <v>16631.707410091149</v>
      </c>
      <c r="F80" s="778">
        <f t="shared" si="41"/>
        <v>77205.29346706839</v>
      </c>
      <c r="G80" s="778">
        <f t="shared" si="41"/>
        <v>8878.8223179893976</v>
      </c>
      <c r="H80" s="778">
        <f t="shared" si="41"/>
        <v>4004.4239350139205</v>
      </c>
      <c r="I80" s="778">
        <f t="shared" si="41"/>
        <v>16897.841424812173</v>
      </c>
      <c r="J80" s="365"/>
      <c r="K80" s="817">
        <f t="shared" si="35"/>
        <v>501762</v>
      </c>
      <c r="L80" s="778">
        <v>140</v>
      </c>
      <c r="M80" s="778">
        <f t="shared" si="37"/>
        <v>3584.0142857142855</v>
      </c>
      <c r="N80" s="678">
        <v>4320</v>
      </c>
      <c r="O80" s="678"/>
      <c r="P80" s="189" t="s">
        <v>387</v>
      </c>
      <c r="Q80" s="794">
        <v>40691</v>
      </c>
      <c r="R80" s="793"/>
      <c r="S80" s="306">
        <f t="shared" si="42"/>
        <v>70</v>
      </c>
      <c r="T80" s="259">
        <v>4449</v>
      </c>
      <c r="U80" s="8">
        <f t="shared" si="39"/>
        <v>311430</v>
      </c>
      <c r="V80" s="456"/>
      <c r="W80" s="794"/>
      <c r="X80" s="821"/>
      <c r="Y80" s="821"/>
      <c r="Z80" s="8">
        <f t="shared" si="40"/>
        <v>0</v>
      </c>
    </row>
    <row r="81" spans="1:26">
      <c r="A81" s="777">
        <f t="shared" si="36"/>
        <v>64</v>
      </c>
      <c r="B81" s="298" t="s">
        <v>902</v>
      </c>
      <c r="C81" s="849">
        <f t="shared" si="34"/>
        <v>1121820</v>
      </c>
      <c r="D81" s="778">
        <f t="shared" si="41"/>
        <v>66713.702757331906</v>
      </c>
      <c r="E81" s="778">
        <f t="shared" si="41"/>
        <v>16631.707410091149</v>
      </c>
      <c r="F81" s="778">
        <f t="shared" si="41"/>
        <v>77205.29346706839</v>
      </c>
      <c r="G81" s="778">
        <f t="shared" si="41"/>
        <v>8878.8223179893976</v>
      </c>
      <c r="H81" s="778">
        <f t="shared" si="41"/>
        <v>4004.4239350139205</v>
      </c>
      <c r="I81" s="778">
        <f t="shared" si="41"/>
        <v>16897.841424812173</v>
      </c>
      <c r="J81" s="365"/>
      <c r="K81" s="817">
        <f t="shared" si="35"/>
        <v>1312152</v>
      </c>
      <c r="L81" s="778">
        <v>140</v>
      </c>
      <c r="M81" s="778">
        <f t="shared" si="37"/>
        <v>9372.5142857142855</v>
      </c>
      <c r="N81" s="678">
        <v>11516</v>
      </c>
      <c r="O81" s="678"/>
      <c r="P81" s="189" t="s">
        <v>517</v>
      </c>
      <c r="Q81" s="794">
        <v>40691</v>
      </c>
      <c r="R81" s="793"/>
      <c r="S81" s="306">
        <f>L81</f>
        <v>140</v>
      </c>
      <c r="T81" s="256">
        <v>8013</v>
      </c>
      <c r="U81" s="8">
        <f t="shared" si="39"/>
        <v>1121820</v>
      </c>
      <c r="V81" s="456"/>
      <c r="W81" s="794"/>
      <c r="X81" s="821"/>
      <c r="Y81" s="821"/>
      <c r="Z81" s="8">
        <f t="shared" si="40"/>
        <v>0</v>
      </c>
    </row>
    <row r="82" spans="1:26">
      <c r="A82" s="777">
        <f t="shared" si="36"/>
        <v>65</v>
      </c>
      <c r="B82" s="298" t="s">
        <v>892</v>
      </c>
      <c r="C82" s="849">
        <f t="shared" si="34"/>
        <v>126000</v>
      </c>
      <c r="D82" s="778">
        <f t="shared" si="41"/>
        <v>4765.2644826665646</v>
      </c>
      <c r="E82" s="778">
        <f t="shared" si="41"/>
        <v>1187.9791007207964</v>
      </c>
      <c r="F82" s="778">
        <f t="shared" si="41"/>
        <v>5514.6638190763133</v>
      </c>
      <c r="G82" s="778">
        <f t="shared" si="41"/>
        <v>634.20159414209979</v>
      </c>
      <c r="H82" s="778">
        <f t="shared" si="41"/>
        <v>286.03028107242289</v>
      </c>
      <c r="I82" s="778">
        <f t="shared" si="41"/>
        <v>1206.9886732008695</v>
      </c>
      <c r="J82" s="365"/>
      <c r="K82" s="817">
        <f t="shared" si="35"/>
        <v>139595</v>
      </c>
      <c r="L82" s="778">
        <v>10</v>
      </c>
      <c r="M82" s="778">
        <f t="shared" si="37"/>
        <v>13959.5</v>
      </c>
      <c r="N82" s="678">
        <v>14056</v>
      </c>
      <c r="O82" s="678"/>
      <c r="P82" s="298" t="s">
        <v>481</v>
      </c>
      <c r="Q82" s="794">
        <v>40691</v>
      </c>
      <c r="R82" s="793"/>
      <c r="S82" s="306">
        <v>5</v>
      </c>
      <c r="T82" s="256">
        <v>25200</v>
      </c>
      <c r="U82" s="8">
        <f t="shared" si="39"/>
        <v>126000</v>
      </c>
      <c r="V82" s="456"/>
      <c r="W82" s="794"/>
      <c r="X82" s="821"/>
      <c r="Y82" s="821"/>
      <c r="Z82" s="8">
        <f t="shared" si="40"/>
        <v>0</v>
      </c>
    </row>
    <row r="83" spans="1:26">
      <c r="A83" s="777">
        <f t="shared" si="36"/>
        <v>66</v>
      </c>
      <c r="B83" s="298" t="s">
        <v>903</v>
      </c>
      <c r="C83" s="849">
        <f t="shared" si="34"/>
        <v>586160</v>
      </c>
      <c r="D83" s="778">
        <f t="shared" si="41"/>
        <v>32403.798482132639</v>
      </c>
      <c r="E83" s="778">
        <f t="shared" si="41"/>
        <v>8078.2578849014153</v>
      </c>
      <c r="F83" s="778">
        <f t="shared" si="41"/>
        <v>37499.713969718927</v>
      </c>
      <c r="G83" s="778">
        <f t="shared" si="41"/>
        <v>4312.5708401662787</v>
      </c>
      <c r="H83" s="778">
        <f t="shared" si="41"/>
        <v>1945.0059112924755</v>
      </c>
      <c r="I83" s="778">
        <f t="shared" si="41"/>
        <v>8207.5229777659115</v>
      </c>
      <c r="J83" s="365"/>
      <c r="K83" s="817">
        <f t="shared" si="35"/>
        <v>678607</v>
      </c>
      <c r="L83" s="778">
        <v>68</v>
      </c>
      <c r="M83" s="778">
        <f t="shared" si="37"/>
        <v>9979.5147058823532</v>
      </c>
      <c r="N83" s="678">
        <v>10433</v>
      </c>
      <c r="O83" s="678"/>
      <c r="P83" s="189" t="s">
        <v>507</v>
      </c>
      <c r="Q83" s="794">
        <v>40691</v>
      </c>
      <c r="R83" s="793"/>
      <c r="S83" s="306">
        <f>L83</f>
        <v>68</v>
      </c>
      <c r="T83" s="256">
        <v>8620</v>
      </c>
      <c r="U83" s="8">
        <f t="shared" si="39"/>
        <v>586160</v>
      </c>
      <c r="V83" s="456"/>
      <c r="W83" s="794"/>
      <c r="X83" s="821"/>
      <c r="Y83" s="821"/>
      <c r="Z83" s="8">
        <f t="shared" si="40"/>
        <v>0</v>
      </c>
    </row>
    <row r="84" spans="1:26">
      <c r="A84" s="777">
        <f t="shared" si="36"/>
        <v>67</v>
      </c>
      <c r="B84" s="298" t="s">
        <v>904</v>
      </c>
      <c r="C84" s="849">
        <f t="shared" si="34"/>
        <v>3476100</v>
      </c>
      <c r="D84" s="778">
        <f t="shared" si="41"/>
        <v>142957.93447999694</v>
      </c>
      <c r="E84" s="778">
        <f t="shared" si="41"/>
        <v>35639.373021623891</v>
      </c>
      <c r="F84" s="778">
        <f t="shared" si="41"/>
        <v>165439.91457228939</v>
      </c>
      <c r="G84" s="778">
        <f t="shared" si="41"/>
        <v>19026.047824262994</v>
      </c>
      <c r="H84" s="778">
        <f t="shared" si="41"/>
        <v>8580.9084321726859</v>
      </c>
      <c r="I84" s="778">
        <f t="shared" si="41"/>
        <v>36209.660196026081</v>
      </c>
      <c r="J84" s="365"/>
      <c r="K84" s="817">
        <f t="shared" si="35"/>
        <v>3883954</v>
      </c>
      <c r="L84" s="778">
        <v>300</v>
      </c>
      <c r="M84" s="778">
        <f t="shared" si="37"/>
        <v>12946.513333333334</v>
      </c>
      <c r="N84" s="678">
        <v>13172</v>
      </c>
      <c r="O84" s="678"/>
      <c r="P84" s="189" t="s">
        <v>497</v>
      </c>
      <c r="Q84" s="794">
        <v>40691</v>
      </c>
      <c r="R84" s="793"/>
      <c r="S84" s="306">
        <f>L84</f>
        <v>300</v>
      </c>
      <c r="T84" s="256">
        <v>11587</v>
      </c>
      <c r="U84" s="8">
        <f t="shared" si="39"/>
        <v>3476100</v>
      </c>
      <c r="V84" s="456"/>
      <c r="W84" s="794"/>
      <c r="X84" s="821"/>
      <c r="Y84" s="821"/>
      <c r="Z84" s="8">
        <f t="shared" si="40"/>
        <v>0</v>
      </c>
    </row>
    <row r="85" spans="1:26">
      <c r="A85" s="777">
        <f t="shared" si="36"/>
        <v>68</v>
      </c>
      <c r="B85" s="298" t="s">
        <v>905</v>
      </c>
      <c r="C85" s="849">
        <f t="shared" si="34"/>
        <v>529200</v>
      </c>
      <c r="D85" s="778">
        <f t="shared" si="41"/>
        <v>19061.057930666258</v>
      </c>
      <c r="E85" s="778">
        <f t="shared" si="41"/>
        <v>4751.9164028831856</v>
      </c>
      <c r="F85" s="778">
        <f t="shared" si="41"/>
        <v>22058.655276305253</v>
      </c>
      <c r="G85" s="778">
        <f t="shared" si="41"/>
        <v>2536.8063765683992</v>
      </c>
      <c r="H85" s="778">
        <f t="shared" si="41"/>
        <v>1144.1211242896916</v>
      </c>
      <c r="I85" s="778">
        <f t="shared" si="41"/>
        <v>4827.9546928034779</v>
      </c>
      <c r="J85" s="365"/>
      <c r="K85" s="817">
        <f t="shared" si="35"/>
        <v>583581</v>
      </c>
      <c r="L85" s="778">
        <v>40</v>
      </c>
      <c r="M85" s="778">
        <f t="shared" si="37"/>
        <v>14589.525</v>
      </c>
      <c r="N85" s="678">
        <v>15040</v>
      </c>
      <c r="O85" s="678"/>
      <c r="P85" s="298" t="s">
        <v>481</v>
      </c>
      <c r="Q85" s="794">
        <v>40691</v>
      </c>
      <c r="R85" s="793"/>
      <c r="S85" s="306">
        <v>21</v>
      </c>
      <c r="T85" s="256">
        <v>25200</v>
      </c>
      <c r="U85" s="8">
        <f t="shared" si="39"/>
        <v>529200</v>
      </c>
      <c r="V85" s="456"/>
      <c r="W85" s="794"/>
      <c r="X85" s="821"/>
      <c r="Y85" s="821"/>
      <c r="Z85" s="8">
        <f t="shared" si="40"/>
        <v>0</v>
      </c>
    </row>
    <row r="86" spans="1:26">
      <c r="A86" s="777">
        <f t="shared" si="36"/>
        <v>69</v>
      </c>
      <c r="B86" s="298" t="s">
        <v>907</v>
      </c>
      <c r="C86" s="849">
        <f t="shared" si="34"/>
        <v>4330256</v>
      </c>
      <c r="D86" s="778">
        <f t="shared" si="41"/>
        <v>449364.44071545708</v>
      </c>
      <c r="E86" s="778">
        <f t="shared" si="41"/>
        <v>112026.4291979711</v>
      </c>
      <c r="F86" s="778">
        <f t="shared" si="41"/>
        <v>520032.79813889635</v>
      </c>
      <c r="G86" s="778">
        <f t="shared" si="41"/>
        <v>59805.210327600013</v>
      </c>
      <c r="H86" s="778">
        <f t="shared" si="41"/>
        <v>26972.655505129478</v>
      </c>
      <c r="I86" s="778">
        <f t="shared" si="41"/>
        <v>113819.03188284198</v>
      </c>
      <c r="J86" s="365"/>
      <c r="K86" s="817">
        <f t="shared" si="35"/>
        <v>5612277</v>
      </c>
      <c r="L86" s="778">
        <v>943</v>
      </c>
      <c r="M86" s="778">
        <f t="shared" si="37"/>
        <v>5951.5132555673381</v>
      </c>
      <c r="N86" s="678">
        <v>7229</v>
      </c>
      <c r="O86" s="678"/>
      <c r="P86" s="298" t="s">
        <v>478</v>
      </c>
      <c r="Q86" s="794">
        <v>40694</v>
      </c>
      <c r="R86" s="793"/>
      <c r="S86" s="306">
        <f t="shared" ref="S86:S87" si="43">L86</f>
        <v>943</v>
      </c>
      <c r="T86" s="259">
        <v>4592</v>
      </c>
      <c r="U86" s="8">
        <f t="shared" si="39"/>
        <v>4330256</v>
      </c>
      <c r="V86" s="456"/>
      <c r="W86" s="794"/>
      <c r="X86" s="821"/>
      <c r="Y86" s="821"/>
      <c r="Z86" s="8">
        <f t="shared" si="40"/>
        <v>0</v>
      </c>
    </row>
    <row r="87" spans="1:26">
      <c r="A87" s="777">
        <f t="shared" si="36"/>
        <v>70</v>
      </c>
      <c r="B87" s="298" t="s">
        <v>908</v>
      </c>
      <c r="C87" s="849">
        <f t="shared" si="34"/>
        <v>1348047</v>
      </c>
      <c r="D87" s="778">
        <f t="shared" ref="D87:I96" si="44">IF($L$171&lt;&gt;0,D$171/$L$171*$L87,0)</f>
        <v>144387.51382479692</v>
      </c>
      <c r="E87" s="778">
        <f t="shared" si="44"/>
        <v>35995.766751840129</v>
      </c>
      <c r="F87" s="778">
        <f t="shared" si="44"/>
        <v>167094.3137180123</v>
      </c>
      <c r="G87" s="778">
        <f t="shared" si="44"/>
        <v>19216.308302505626</v>
      </c>
      <c r="H87" s="778">
        <f t="shared" si="44"/>
        <v>8666.7175164944128</v>
      </c>
      <c r="I87" s="778">
        <f t="shared" si="44"/>
        <v>36571.756797986345</v>
      </c>
      <c r="J87" s="365"/>
      <c r="K87" s="817">
        <f t="shared" si="35"/>
        <v>1759979</v>
      </c>
      <c r="L87" s="778">
        <v>303</v>
      </c>
      <c r="M87" s="778">
        <f t="shared" si="37"/>
        <v>5808.5115511551157</v>
      </c>
      <c r="N87" s="678">
        <v>6620</v>
      </c>
      <c r="O87" s="678"/>
      <c r="P87" s="298" t="s">
        <v>387</v>
      </c>
      <c r="Q87" s="794">
        <v>40694</v>
      </c>
      <c r="R87" s="793"/>
      <c r="S87" s="306">
        <f t="shared" si="43"/>
        <v>303</v>
      </c>
      <c r="T87" s="259">
        <v>4449</v>
      </c>
      <c r="U87" s="8">
        <f t="shared" si="39"/>
        <v>1348047</v>
      </c>
      <c r="V87" s="456"/>
      <c r="W87" s="794"/>
      <c r="X87" s="821"/>
      <c r="Y87" s="821"/>
      <c r="Z87" s="8">
        <f t="shared" si="40"/>
        <v>0</v>
      </c>
    </row>
    <row r="88" spans="1:26">
      <c r="A88" s="777">
        <f t="shared" si="36"/>
        <v>71</v>
      </c>
      <c r="B88" s="298" t="s">
        <v>909</v>
      </c>
      <c r="C88" s="849">
        <f t="shared" si="34"/>
        <v>347610</v>
      </c>
      <c r="D88" s="778">
        <f t="shared" si="44"/>
        <v>14295.793447999695</v>
      </c>
      <c r="E88" s="778">
        <f t="shared" si="44"/>
        <v>3563.9373021623887</v>
      </c>
      <c r="F88" s="778">
        <f t="shared" si="44"/>
        <v>16543.991457228942</v>
      </c>
      <c r="G88" s="778">
        <f t="shared" si="44"/>
        <v>1902.6047824262996</v>
      </c>
      <c r="H88" s="778">
        <f t="shared" si="44"/>
        <v>858.09084321726868</v>
      </c>
      <c r="I88" s="778">
        <f t="shared" si="44"/>
        <v>3620.9660196026084</v>
      </c>
      <c r="J88" s="365"/>
      <c r="K88" s="817">
        <f t="shared" si="35"/>
        <v>388395</v>
      </c>
      <c r="L88" s="778">
        <v>30</v>
      </c>
      <c r="M88" s="778">
        <f t="shared" si="37"/>
        <v>12946.5</v>
      </c>
      <c r="N88" s="678">
        <v>14576</v>
      </c>
      <c r="O88" s="678"/>
      <c r="P88" s="189" t="s">
        <v>497</v>
      </c>
      <c r="Q88" s="794">
        <v>40694</v>
      </c>
      <c r="R88" s="793"/>
      <c r="S88" s="306">
        <f>L88</f>
        <v>30</v>
      </c>
      <c r="T88" s="256">
        <v>11587</v>
      </c>
      <c r="U88" s="8">
        <f t="shared" si="39"/>
        <v>347610</v>
      </c>
      <c r="V88" s="456"/>
      <c r="W88" s="794"/>
      <c r="X88" s="821"/>
      <c r="Y88" s="821"/>
      <c r="Z88" s="8">
        <f t="shared" si="40"/>
        <v>0</v>
      </c>
    </row>
    <row r="89" spans="1:26">
      <c r="A89" s="777">
        <f t="shared" si="36"/>
        <v>72</v>
      </c>
      <c r="B89" s="298" t="s">
        <v>736</v>
      </c>
      <c r="C89" s="849">
        <f t="shared" si="34"/>
        <v>3592166</v>
      </c>
      <c r="D89" s="778">
        <f t="shared" si="44"/>
        <v>48129.171274932305</v>
      </c>
      <c r="E89" s="778">
        <f t="shared" si="44"/>
        <v>11998.588917280043</v>
      </c>
      <c r="F89" s="778">
        <f t="shared" si="44"/>
        <v>55698.104572670767</v>
      </c>
      <c r="G89" s="778">
        <f t="shared" si="44"/>
        <v>6405.436100835208</v>
      </c>
      <c r="H89" s="778">
        <f t="shared" si="44"/>
        <v>2888.9058388314711</v>
      </c>
      <c r="I89" s="778">
        <f t="shared" si="44"/>
        <v>12190.585599328782</v>
      </c>
      <c r="J89" s="365"/>
      <c r="K89" s="817">
        <f t="shared" si="35"/>
        <v>3729477</v>
      </c>
      <c r="L89" s="778">
        <v>101</v>
      </c>
      <c r="M89" s="778">
        <f t="shared" si="37"/>
        <v>36925.514851485146</v>
      </c>
      <c r="N89" s="678">
        <v>43865</v>
      </c>
      <c r="O89" s="678"/>
      <c r="P89" s="189" t="s">
        <v>583</v>
      </c>
      <c r="Q89" s="794">
        <v>40695</v>
      </c>
      <c r="R89" s="793"/>
      <c r="S89" s="306">
        <v>101</v>
      </c>
      <c r="T89" s="822">
        <v>35566</v>
      </c>
      <c r="U89" s="8">
        <f t="shared" si="39"/>
        <v>3592166</v>
      </c>
      <c r="V89" s="456"/>
      <c r="W89" s="794"/>
      <c r="X89" s="821"/>
      <c r="Y89" s="821"/>
      <c r="Z89" s="8">
        <f t="shared" si="40"/>
        <v>0</v>
      </c>
    </row>
    <row r="90" spans="1:26">
      <c r="A90" s="777">
        <f t="shared" ref="A90:A136" si="45">IF(B90&lt;&gt;"",A89+1,"")</f>
        <v>73</v>
      </c>
      <c r="B90" s="298" t="s">
        <v>739</v>
      </c>
      <c r="C90" s="849">
        <f t="shared" si="34"/>
        <v>3617012</v>
      </c>
      <c r="D90" s="778">
        <f t="shared" si="44"/>
        <v>48129.171274932305</v>
      </c>
      <c r="E90" s="778">
        <f t="shared" si="44"/>
        <v>11998.588917280043</v>
      </c>
      <c r="F90" s="778">
        <f t="shared" si="44"/>
        <v>55698.104572670767</v>
      </c>
      <c r="G90" s="778">
        <f t="shared" si="44"/>
        <v>6405.436100835208</v>
      </c>
      <c r="H90" s="778">
        <f t="shared" si="44"/>
        <v>2888.9058388314711</v>
      </c>
      <c r="I90" s="778">
        <f t="shared" si="44"/>
        <v>12190.585599328782</v>
      </c>
      <c r="J90" s="365"/>
      <c r="K90" s="817">
        <f t="shared" si="35"/>
        <v>3754323</v>
      </c>
      <c r="L90" s="778">
        <v>101</v>
      </c>
      <c r="M90" s="778">
        <f t="shared" ref="M90:M156" si="46">IF(L90&lt;&gt;"",K90/L90,"")</f>
        <v>37171.514851485146</v>
      </c>
      <c r="N90" s="678">
        <v>50416</v>
      </c>
      <c r="O90" s="678"/>
      <c r="P90" s="189" t="s">
        <v>636</v>
      </c>
      <c r="Q90" s="794">
        <v>40695</v>
      </c>
      <c r="R90" s="793"/>
      <c r="S90" s="306">
        <v>101</v>
      </c>
      <c r="T90" s="259">
        <v>35812</v>
      </c>
      <c r="U90" s="8">
        <f t="shared" ref="U90:U156" si="47">S90*T90</f>
        <v>3617012</v>
      </c>
      <c r="V90" s="456"/>
      <c r="W90" s="794"/>
      <c r="X90" s="821"/>
      <c r="Y90" s="821"/>
      <c r="Z90" s="8">
        <f t="shared" ref="Z90:Z156" si="48">X90*Y90</f>
        <v>0</v>
      </c>
    </row>
    <row r="91" spans="1:26">
      <c r="A91" s="777">
        <f t="shared" si="45"/>
        <v>74</v>
      </c>
      <c r="B91" s="298" t="s">
        <v>911</v>
      </c>
      <c r="C91" s="849">
        <f t="shared" si="34"/>
        <v>353010</v>
      </c>
      <c r="D91" s="778">
        <f t="shared" si="44"/>
        <v>8100.9496205331598</v>
      </c>
      <c r="E91" s="778">
        <f t="shared" si="44"/>
        <v>2019.5644712253538</v>
      </c>
      <c r="F91" s="778">
        <f t="shared" si="44"/>
        <v>9374.9284924297317</v>
      </c>
      <c r="G91" s="778">
        <f t="shared" si="44"/>
        <v>1078.1427100415697</v>
      </c>
      <c r="H91" s="778">
        <f t="shared" si="44"/>
        <v>486.25147782311888</v>
      </c>
      <c r="I91" s="778">
        <f t="shared" si="44"/>
        <v>2051.8807444414779</v>
      </c>
      <c r="J91" s="365"/>
      <c r="K91" s="817">
        <f t="shared" si="35"/>
        <v>376122</v>
      </c>
      <c r="L91" s="778">
        <v>17</v>
      </c>
      <c r="M91" s="778">
        <f t="shared" si="46"/>
        <v>22124.823529411766</v>
      </c>
      <c r="N91" s="678">
        <v>23643</v>
      </c>
      <c r="O91" s="678"/>
      <c r="P91" s="40" t="s">
        <v>591</v>
      </c>
      <c r="Q91" s="794">
        <v>40723</v>
      </c>
      <c r="R91" s="793"/>
      <c r="S91" s="306">
        <v>10</v>
      </c>
      <c r="T91" s="822">
        <v>35301</v>
      </c>
      <c r="U91" s="25">
        <f t="shared" si="47"/>
        <v>353010</v>
      </c>
      <c r="V91" s="456"/>
      <c r="W91" s="794"/>
      <c r="X91" s="821"/>
      <c r="Y91" s="821"/>
      <c r="Z91" s="8">
        <f t="shared" si="48"/>
        <v>0</v>
      </c>
    </row>
    <row r="92" spans="1:26">
      <c r="A92" s="777">
        <f t="shared" si="45"/>
        <v>75</v>
      </c>
      <c r="B92" s="298" t="s">
        <v>895</v>
      </c>
      <c r="C92" s="849">
        <f t="shared" si="34"/>
        <v>191248</v>
      </c>
      <c r="D92" s="778">
        <f t="shared" si="44"/>
        <v>3812.2115861332518</v>
      </c>
      <c r="E92" s="778">
        <f t="shared" si="44"/>
        <v>950.38328057663705</v>
      </c>
      <c r="F92" s="778">
        <f t="shared" si="44"/>
        <v>4411.7310552610506</v>
      </c>
      <c r="G92" s="778">
        <f t="shared" si="44"/>
        <v>507.36127531367987</v>
      </c>
      <c r="H92" s="778">
        <f t="shared" si="44"/>
        <v>228.8242248579383</v>
      </c>
      <c r="I92" s="778">
        <f t="shared" si="44"/>
        <v>965.59093856069558</v>
      </c>
      <c r="J92" s="365"/>
      <c r="K92" s="817">
        <f t="shared" si="35"/>
        <v>202124</v>
      </c>
      <c r="L92" s="778">
        <v>8</v>
      </c>
      <c r="M92" s="778">
        <f t="shared" si="46"/>
        <v>25265.5</v>
      </c>
      <c r="N92" s="678">
        <v>26855</v>
      </c>
      <c r="O92" s="678"/>
      <c r="P92" s="40" t="s">
        <v>622</v>
      </c>
      <c r="Q92" s="794">
        <v>40723</v>
      </c>
      <c r="R92" s="793"/>
      <c r="S92" s="306">
        <v>8</v>
      </c>
      <c r="T92" s="822">
        <v>23906</v>
      </c>
      <c r="U92" s="25">
        <f t="shared" si="47"/>
        <v>191248</v>
      </c>
      <c r="V92" s="456"/>
      <c r="W92" s="794"/>
      <c r="X92" s="821"/>
      <c r="Y92" s="821"/>
      <c r="Z92" s="8">
        <f t="shared" si="48"/>
        <v>0</v>
      </c>
    </row>
    <row r="93" spans="1:26">
      <c r="A93" s="777">
        <f t="shared" si="45"/>
        <v>76</v>
      </c>
      <c r="B93" s="298" t="s">
        <v>885</v>
      </c>
      <c r="C93" s="849">
        <f t="shared" si="34"/>
        <v>908428</v>
      </c>
      <c r="D93" s="778">
        <f t="shared" si="44"/>
        <v>18108.005034132944</v>
      </c>
      <c r="E93" s="778">
        <f t="shared" si="44"/>
        <v>4514.3205827390257</v>
      </c>
      <c r="F93" s="778">
        <f t="shared" si="44"/>
        <v>20955.722512489992</v>
      </c>
      <c r="G93" s="778">
        <f t="shared" si="44"/>
        <v>2409.9660577399795</v>
      </c>
      <c r="H93" s="778">
        <f t="shared" si="44"/>
        <v>1086.915068075207</v>
      </c>
      <c r="I93" s="778">
        <f t="shared" si="44"/>
        <v>4586.5569581633044</v>
      </c>
      <c r="J93" s="365"/>
      <c r="K93" s="817">
        <f t="shared" si="35"/>
        <v>960089</v>
      </c>
      <c r="L93" s="778">
        <v>38</v>
      </c>
      <c r="M93" s="778">
        <f t="shared" si="46"/>
        <v>25265.5</v>
      </c>
      <c r="N93" s="678">
        <v>25535</v>
      </c>
      <c r="O93" s="678"/>
      <c r="P93" s="40" t="s">
        <v>622</v>
      </c>
      <c r="Q93" s="794">
        <v>40723</v>
      </c>
      <c r="R93" s="793"/>
      <c r="S93" s="306">
        <v>38</v>
      </c>
      <c r="T93" s="822">
        <v>23906</v>
      </c>
      <c r="U93" s="25">
        <f t="shared" si="47"/>
        <v>908428</v>
      </c>
      <c r="V93" s="456"/>
      <c r="W93" s="794"/>
      <c r="X93" s="821"/>
      <c r="Y93" s="821"/>
      <c r="Z93" s="8">
        <f t="shared" si="48"/>
        <v>0</v>
      </c>
    </row>
    <row r="94" spans="1:26">
      <c r="A94" s="777">
        <f t="shared" si="45"/>
        <v>77</v>
      </c>
      <c r="B94" s="298" t="s">
        <v>912</v>
      </c>
      <c r="C94" s="849">
        <f t="shared" si="34"/>
        <v>835801</v>
      </c>
      <c r="D94" s="778">
        <f t="shared" si="44"/>
        <v>22396.743068532855</v>
      </c>
      <c r="E94" s="778">
        <f t="shared" si="44"/>
        <v>5583.501773387743</v>
      </c>
      <c r="F94" s="778">
        <f t="shared" si="44"/>
        <v>25918.919949658673</v>
      </c>
      <c r="G94" s="778">
        <f t="shared" si="44"/>
        <v>2980.7474924678691</v>
      </c>
      <c r="H94" s="778">
        <f t="shared" si="44"/>
        <v>1344.3423210403876</v>
      </c>
      <c r="I94" s="778">
        <f t="shared" si="44"/>
        <v>5672.8467640440867</v>
      </c>
      <c r="J94" s="365"/>
      <c r="K94" s="817">
        <f t="shared" si="35"/>
        <v>899698</v>
      </c>
      <c r="L94" s="778">
        <v>47</v>
      </c>
      <c r="M94" s="778">
        <f t="shared" si="46"/>
        <v>19142.510638297874</v>
      </c>
      <c r="N94" s="678">
        <v>21721</v>
      </c>
      <c r="O94" s="678"/>
      <c r="P94" s="189" t="s">
        <v>583</v>
      </c>
      <c r="Q94" s="794">
        <v>40723</v>
      </c>
      <c r="R94" s="793"/>
      <c r="S94" s="306">
        <v>23.5</v>
      </c>
      <c r="T94" s="822">
        <v>35566</v>
      </c>
      <c r="U94" s="25">
        <f t="shared" si="47"/>
        <v>835801</v>
      </c>
      <c r="V94" s="456"/>
      <c r="W94" s="794"/>
      <c r="X94" s="821"/>
      <c r="Y94" s="821"/>
      <c r="Z94" s="8">
        <f t="shared" si="48"/>
        <v>0</v>
      </c>
    </row>
    <row r="95" spans="1:26">
      <c r="A95" s="777">
        <f t="shared" si="45"/>
        <v>78</v>
      </c>
      <c r="B95" s="298" t="s">
        <v>913</v>
      </c>
      <c r="C95" s="849">
        <f t="shared" si="34"/>
        <v>9962075</v>
      </c>
      <c r="D95" s="778">
        <f t="shared" si="44"/>
        <v>395516.95206132485</v>
      </c>
      <c r="E95" s="778">
        <f t="shared" si="44"/>
        <v>98602.265359826095</v>
      </c>
      <c r="F95" s="778">
        <f t="shared" si="44"/>
        <v>457717.09698333399</v>
      </c>
      <c r="G95" s="778">
        <f t="shared" si="44"/>
        <v>52638.732313794288</v>
      </c>
      <c r="H95" s="778">
        <f t="shared" si="44"/>
        <v>23740.513329011101</v>
      </c>
      <c r="I95" s="778">
        <f t="shared" si="44"/>
        <v>100180.05987567216</v>
      </c>
      <c r="J95" s="365"/>
      <c r="K95" s="817">
        <f t="shared" si="35"/>
        <v>11090471</v>
      </c>
      <c r="L95" s="778">
        <v>830</v>
      </c>
      <c r="M95" s="778">
        <f t="shared" si="46"/>
        <v>13362.013253012048</v>
      </c>
      <c r="N95" s="678">
        <v>14435</v>
      </c>
      <c r="O95" s="678"/>
      <c r="P95" s="40" t="s">
        <v>557</v>
      </c>
      <c r="Q95" s="794">
        <v>40723</v>
      </c>
      <c r="R95" s="793"/>
      <c r="S95" s="306">
        <f>L95/2</f>
        <v>415</v>
      </c>
      <c r="T95" s="822">
        <v>24005</v>
      </c>
      <c r="U95" s="8">
        <f t="shared" si="47"/>
        <v>9962075</v>
      </c>
      <c r="V95" s="456"/>
      <c r="W95" s="794"/>
      <c r="X95" s="821"/>
      <c r="Y95" s="821"/>
      <c r="Z95" s="8">
        <f t="shared" si="48"/>
        <v>0</v>
      </c>
    </row>
    <row r="96" spans="1:26">
      <c r="A96" s="827">
        <f t="shared" si="45"/>
        <v>79</v>
      </c>
      <c r="B96" s="299" t="s">
        <v>751</v>
      </c>
      <c r="C96" s="849">
        <f t="shared" si="34"/>
        <v>8857845</v>
      </c>
      <c r="D96" s="545">
        <f t="shared" si="44"/>
        <v>351676.51882079249</v>
      </c>
      <c r="E96" s="545">
        <f t="shared" si="44"/>
        <v>87672.85763319477</v>
      </c>
      <c r="F96" s="545">
        <f t="shared" si="44"/>
        <v>406982.18984783191</v>
      </c>
      <c r="G96" s="545">
        <f t="shared" si="44"/>
        <v>46804.077647686965</v>
      </c>
      <c r="H96" s="545">
        <f t="shared" si="44"/>
        <v>21109.03474314481</v>
      </c>
      <c r="I96" s="545">
        <f t="shared" si="44"/>
        <v>89075.764082224166</v>
      </c>
      <c r="J96" s="545"/>
      <c r="K96" s="817">
        <f t="shared" si="35"/>
        <v>9861165</v>
      </c>
      <c r="L96" s="545">
        <v>738</v>
      </c>
      <c r="M96" s="545">
        <f t="shared" si="46"/>
        <v>13362.012195121952</v>
      </c>
      <c r="N96" s="678">
        <v>14011</v>
      </c>
      <c r="O96" s="678"/>
      <c r="P96" s="40" t="s">
        <v>557</v>
      </c>
      <c r="Q96" s="794">
        <v>40723</v>
      </c>
      <c r="R96" s="793"/>
      <c r="S96" s="306">
        <f>L96/2</f>
        <v>369</v>
      </c>
      <c r="T96" s="822">
        <v>24005</v>
      </c>
      <c r="U96" s="8">
        <f t="shared" si="47"/>
        <v>8857845</v>
      </c>
      <c r="V96" s="456"/>
      <c r="W96" s="794"/>
      <c r="X96" s="821"/>
      <c r="Y96" s="821"/>
      <c r="Z96" s="8">
        <f t="shared" si="48"/>
        <v>0</v>
      </c>
    </row>
    <row r="97" spans="1:26">
      <c r="A97" s="777">
        <f>IF(B97&lt;&gt;"",A96+1,"")</f>
        <v>80</v>
      </c>
      <c r="B97" s="298" t="s">
        <v>755</v>
      </c>
      <c r="C97" s="849">
        <f t="shared" si="34"/>
        <v>16462</v>
      </c>
      <c r="D97" s="778">
        <f t="shared" ref="D97:I106" si="49">IF($L$171&lt;&gt;0,D$171/$L$171*$L97,0)</f>
        <v>953.05289653331295</v>
      </c>
      <c r="E97" s="778">
        <f t="shared" si="49"/>
        <v>237.59582014415926</v>
      </c>
      <c r="F97" s="778">
        <f t="shared" si="49"/>
        <v>1102.9327638152627</v>
      </c>
      <c r="G97" s="778">
        <f t="shared" si="49"/>
        <v>126.84031882841997</v>
      </c>
      <c r="H97" s="778">
        <f t="shared" si="49"/>
        <v>57.206056214484576</v>
      </c>
      <c r="I97" s="778">
        <f t="shared" si="49"/>
        <v>241.39773464017389</v>
      </c>
      <c r="J97" s="365"/>
      <c r="K97" s="817">
        <f t="shared" si="35"/>
        <v>19181</v>
      </c>
      <c r="L97" s="778">
        <v>2</v>
      </c>
      <c r="M97" s="778">
        <f t="shared" si="46"/>
        <v>9590.5</v>
      </c>
      <c r="N97" s="678">
        <v>12177</v>
      </c>
      <c r="O97" s="678"/>
      <c r="P97" s="189" t="s">
        <v>496</v>
      </c>
      <c r="Q97" s="794">
        <v>40723</v>
      </c>
      <c r="R97" s="793"/>
      <c r="S97" s="306">
        <f>L97/2</f>
        <v>1</v>
      </c>
      <c r="T97" s="822">
        <v>16462</v>
      </c>
      <c r="U97" s="8">
        <f t="shared" si="47"/>
        <v>16462</v>
      </c>
      <c r="V97" s="456"/>
      <c r="W97" s="794"/>
      <c r="X97" s="821"/>
      <c r="Y97" s="821"/>
      <c r="Z97" s="8">
        <f t="shared" si="48"/>
        <v>0</v>
      </c>
    </row>
    <row r="98" spans="1:26">
      <c r="A98" s="777">
        <f t="shared" si="45"/>
        <v>81</v>
      </c>
      <c r="B98" s="298" t="s">
        <v>914</v>
      </c>
      <c r="C98" s="849">
        <f t="shared" si="34"/>
        <v>18390</v>
      </c>
      <c r="D98" s="778">
        <f t="shared" si="49"/>
        <v>953.05289653331295</v>
      </c>
      <c r="E98" s="778">
        <f t="shared" si="49"/>
        <v>237.59582014415926</v>
      </c>
      <c r="F98" s="778">
        <f t="shared" si="49"/>
        <v>1102.9327638152627</v>
      </c>
      <c r="G98" s="778">
        <f t="shared" si="49"/>
        <v>126.84031882841997</v>
      </c>
      <c r="H98" s="778">
        <f t="shared" si="49"/>
        <v>57.206056214484576</v>
      </c>
      <c r="I98" s="778">
        <f t="shared" si="49"/>
        <v>241.39773464017389</v>
      </c>
      <c r="J98" s="365"/>
      <c r="K98" s="817">
        <f t="shared" si="35"/>
        <v>21109</v>
      </c>
      <c r="L98" s="778">
        <v>2</v>
      </c>
      <c r="M98" s="778">
        <f t="shared" si="46"/>
        <v>10554.5</v>
      </c>
      <c r="N98" s="678">
        <v>12562</v>
      </c>
      <c r="O98" s="678"/>
      <c r="P98" s="189" t="s">
        <v>562</v>
      </c>
      <c r="Q98" s="794">
        <v>40723</v>
      </c>
      <c r="R98" s="793"/>
      <c r="S98" s="306">
        <f>L98/2</f>
        <v>1</v>
      </c>
      <c r="T98" s="822">
        <v>18390</v>
      </c>
      <c r="U98" s="8">
        <f t="shared" si="47"/>
        <v>18390</v>
      </c>
      <c r="V98" s="456"/>
      <c r="W98" s="794"/>
      <c r="X98" s="821"/>
      <c r="Y98" s="821"/>
      <c r="Z98" s="8">
        <f t="shared" si="48"/>
        <v>0</v>
      </c>
    </row>
    <row r="99" spans="1:26">
      <c r="A99" s="777">
        <f t="shared" si="45"/>
        <v>82</v>
      </c>
      <c r="B99" s="298" t="s">
        <v>914</v>
      </c>
      <c r="C99" s="849">
        <f t="shared" si="34"/>
        <v>334866</v>
      </c>
      <c r="D99" s="778">
        <f t="shared" si="49"/>
        <v>10007.055413599786</v>
      </c>
      <c r="E99" s="778">
        <f t="shared" si="49"/>
        <v>2494.7561115136723</v>
      </c>
      <c r="F99" s="778">
        <f t="shared" si="49"/>
        <v>11580.794020060257</v>
      </c>
      <c r="G99" s="778">
        <f t="shared" si="49"/>
        <v>1331.8233476984096</v>
      </c>
      <c r="H99" s="778">
        <f t="shared" si="49"/>
        <v>600.66359025208806</v>
      </c>
      <c r="I99" s="778">
        <f t="shared" si="49"/>
        <v>2534.6762137218257</v>
      </c>
      <c r="J99" s="365"/>
      <c r="K99" s="817">
        <f t="shared" si="35"/>
        <v>363416</v>
      </c>
      <c r="L99" s="778">
        <v>21</v>
      </c>
      <c r="M99" s="778">
        <f t="shared" si="46"/>
        <v>17305.523809523809</v>
      </c>
      <c r="N99" s="678">
        <v>17837</v>
      </c>
      <c r="O99" s="678"/>
      <c r="P99" s="40" t="s">
        <v>596</v>
      </c>
      <c r="Q99" s="794">
        <v>40723</v>
      </c>
      <c r="R99" s="793"/>
      <c r="S99" s="306">
        <f>L99</f>
        <v>21</v>
      </c>
      <c r="T99" s="822">
        <v>15946</v>
      </c>
      <c r="U99" s="8">
        <f t="shared" si="47"/>
        <v>334866</v>
      </c>
      <c r="V99" s="456"/>
      <c r="W99" s="794"/>
      <c r="X99" s="821"/>
      <c r="Y99" s="821"/>
      <c r="Z99" s="8">
        <f t="shared" si="48"/>
        <v>0</v>
      </c>
    </row>
    <row r="100" spans="1:26">
      <c r="A100" s="777">
        <f t="shared" si="45"/>
        <v>83</v>
      </c>
      <c r="B100" s="298" t="s">
        <v>921</v>
      </c>
      <c r="C100" s="849">
        <f t="shared" si="34"/>
        <v>526218</v>
      </c>
      <c r="D100" s="778">
        <f t="shared" si="49"/>
        <v>15725.372792799664</v>
      </c>
      <c r="E100" s="778">
        <f t="shared" si="49"/>
        <v>3920.3310323786277</v>
      </c>
      <c r="F100" s="778">
        <f t="shared" si="49"/>
        <v>18198.390602951833</v>
      </c>
      <c r="G100" s="778">
        <f t="shared" si="49"/>
        <v>2092.8652606689293</v>
      </c>
      <c r="H100" s="778">
        <f t="shared" si="49"/>
        <v>943.89992753899548</v>
      </c>
      <c r="I100" s="778">
        <f t="shared" si="49"/>
        <v>3983.062621562869</v>
      </c>
      <c r="J100" s="365"/>
      <c r="K100" s="817">
        <f t="shared" si="35"/>
        <v>571082</v>
      </c>
      <c r="L100" s="778">
        <v>33</v>
      </c>
      <c r="M100" s="778">
        <f t="shared" si="46"/>
        <v>17305.515151515152</v>
      </c>
      <c r="N100" s="678">
        <v>17008</v>
      </c>
      <c r="O100" s="678"/>
      <c r="P100" s="40" t="s">
        <v>596</v>
      </c>
      <c r="Q100" s="794">
        <v>40723</v>
      </c>
      <c r="R100" s="793"/>
      <c r="S100" s="306">
        <f>L100</f>
        <v>33</v>
      </c>
      <c r="T100" s="822">
        <v>15946</v>
      </c>
      <c r="U100" s="8">
        <f t="shared" si="47"/>
        <v>526218</v>
      </c>
      <c r="V100" s="456"/>
      <c r="W100" s="794"/>
      <c r="X100" s="821"/>
      <c r="Y100" s="821"/>
      <c r="Z100" s="8">
        <f t="shared" si="48"/>
        <v>0</v>
      </c>
    </row>
    <row r="101" spans="1:26">
      <c r="A101" s="777">
        <f t="shared" si="45"/>
        <v>84</v>
      </c>
      <c r="B101" s="298" t="s">
        <v>742</v>
      </c>
      <c r="C101" s="849">
        <f t="shared" si="34"/>
        <v>6580700</v>
      </c>
      <c r="D101" s="778">
        <f t="shared" si="49"/>
        <v>185845.31482399601</v>
      </c>
      <c r="E101" s="778">
        <f t="shared" si="49"/>
        <v>46331.184928111055</v>
      </c>
      <c r="F101" s="778">
        <f t="shared" si="49"/>
        <v>215071.88894397623</v>
      </c>
      <c r="G101" s="778">
        <f t="shared" si="49"/>
        <v>24733.862171541892</v>
      </c>
      <c r="H101" s="778">
        <f t="shared" si="49"/>
        <v>11155.180961824492</v>
      </c>
      <c r="I101" s="778">
        <f t="shared" si="49"/>
        <v>47072.558254833908</v>
      </c>
      <c r="J101" s="365"/>
      <c r="K101" s="817">
        <f t="shared" si="35"/>
        <v>7110910</v>
      </c>
      <c r="L101" s="778">
        <v>390</v>
      </c>
      <c r="M101" s="778">
        <f t="shared" si="46"/>
        <v>18233.102564102563</v>
      </c>
      <c r="N101" s="678">
        <v>19820</v>
      </c>
      <c r="O101" s="678"/>
      <c r="P101" s="40" t="s">
        <v>595</v>
      </c>
      <c r="Q101" s="794">
        <v>40723</v>
      </c>
      <c r="R101" s="793"/>
      <c r="S101" s="306">
        <v>395</v>
      </c>
      <c r="T101" s="822">
        <v>16660</v>
      </c>
      <c r="U101" s="8">
        <f t="shared" si="47"/>
        <v>6580700</v>
      </c>
      <c r="V101" s="456"/>
      <c r="W101" s="794"/>
      <c r="X101" s="821"/>
      <c r="Y101" s="821"/>
      <c r="Z101" s="8">
        <f t="shared" si="48"/>
        <v>0</v>
      </c>
    </row>
    <row r="102" spans="1:26">
      <c r="A102" s="777">
        <f>IF(B102&lt;&gt;"",A101+1,"")</f>
        <v>85</v>
      </c>
      <c r="B102" s="298" t="s">
        <v>746</v>
      </c>
      <c r="C102" s="849">
        <f t="shared" si="34"/>
        <v>3473774</v>
      </c>
      <c r="D102" s="778">
        <f t="shared" si="49"/>
        <v>229685.74806452842</v>
      </c>
      <c r="E102" s="778">
        <f t="shared" si="49"/>
        <v>57260.592654742381</v>
      </c>
      <c r="F102" s="778">
        <f t="shared" si="49"/>
        <v>265806.79607947828</v>
      </c>
      <c r="G102" s="778">
        <f t="shared" si="49"/>
        <v>30568.516837649211</v>
      </c>
      <c r="H102" s="778">
        <f t="shared" si="49"/>
        <v>13786.659547690782</v>
      </c>
      <c r="I102" s="778">
        <f t="shared" si="49"/>
        <v>58176.854048281908</v>
      </c>
      <c r="J102" s="365"/>
      <c r="K102" s="817">
        <f t="shared" si="35"/>
        <v>4129059</v>
      </c>
      <c r="L102" s="778">
        <v>482</v>
      </c>
      <c r="M102" s="778">
        <f t="shared" si="46"/>
        <v>8566.5124481327803</v>
      </c>
      <c r="N102" s="678">
        <v>10600</v>
      </c>
      <c r="O102" s="678"/>
      <c r="P102" s="189" t="s">
        <v>635</v>
      </c>
      <c r="Q102" s="794">
        <v>40723</v>
      </c>
      <c r="R102" s="793"/>
      <c r="S102" s="306">
        <f>L102</f>
        <v>482</v>
      </c>
      <c r="T102" s="822">
        <v>7207</v>
      </c>
      <c r="U102" s="8">
        <f t="shared" si="47"/>
        <v>3473774</v>
      </c>
      <c r="V102" s="456"/>
      <c r="W102" s="794"/>
      <c r="X102" s="821"/>
      <c r="Y102" s="821"/>
      <c r="Z102" s="8">
        <f t="shared" si="48"/>
        <v>0</v>
      </c>
    </row>
    <row r="103" spans="1:26">
      <c r="A103" s="827">
        <f t="shared" si="45"/>
        <v>86</v>
      </c>
      <c r="B103" s="299" t="s">
        <v>914</v>
      </c>
      <c r="C103" s="849">
        <f t="shared" si="34"/>
        <v>788424</v>
      </c>
      <c r="D103" s="545">
        <f t="shared" si="49"/>
        <v>26685.481102932761</v>
      </c>
      <c r="E103" s="545">
        <f t="shared" si="49"/>
        <v>6652.6829640364595</v>
      </c>
      <c r="F103" s="545">
        <f t="shared" si="49"/>
        <v>30882.117386827354</v>
      </c>
      <c r="G103" s="545">
        <f t="shared" si="49"/>
        <v>3551.528927195759</v>
      </c>
      <c r="H103" s="545">
        <f t="shared" si="49"/>
        <v>1601.7695740055681</v>
      </c>
      <c r="I103" s="545">
        <f t="shared" si="49"/>
        <v>6759.136569924869</v>
      </c>
      <c r="J103" s="545"/>
      <c r="K103" s="817">
        <f t="shared" si="35"/>
        <v>864557</v>
      </c>
      <c r="L103" s="545">
        <v>56</v>
      </c>
      <c r="M103" s="545">
        <f t="shared" si="46"/>
        <v>15438.517857142857</v>
      </c>
      <c r="N103" s="678">
        <v>16713</v>
      </c>
      <c r="O103" s="678"/>
      <c r="P103" s="298" t="s">
        <v>381</v>
      </c>
      <c r="Q103" s="794">
        <v>40723</v>
      </c>
      <c r="R103" s="793"/>
      <c r="S103" s="306">
        <f>L103</f>
        <v>56</v>
      </c>
      <c r="T103" s="822">
        <v>14079</v>
      </c>
      <c r="U103" s="8">
        <f t="shared" si="47"/>
        <v>788424</v>
      </c>
      <c r="V103" s="456"/>
      <c r="W103" s="794"/>
      <c r="X103" s="821"/>
      <c r="Y103" s="821"/>
      <c r="Z103" s="8">
        <f t="shared" si="48"/>
        <v>0</v>
      </c>
    </row>
    <row r="104" spans="1:26">
      <c r="A104" s="777">
        <f>IF(B104&lt;&gt;"",A103+1,"")</f>
        <v>87</v>
      </c>
      <c r="B104" s="298" t="s">
        <v>922</v>
      </c>
      <c r="C104" s="849">
        <f t="shared" si="34"/>
        <v>1223278</v>
      </c>
      <c r="D104" s="778">
        <f t="shared" si="49"/>
        <v>96734.868998131264</v>
      </c>
      <c r="E104" s="778">
        <f t="shared" si="49"/>
        <v>24115.975744632164</v>
      </c>
      <c r="F104" s="778">
        <f t="shared" si="49"/>
        <v>111947.67552724916</v>
      </c>
      <c r="G104" s="778">
        <f t="shared" si="49"/>
        <v>12874.292361084626</v>
      </c>
      <c r="H104" s="778">
        <f t="shared" si="49"/>
        <v>5806.4147057701848</v>
      </c>
      <c r="I104" s="778">
        <f t="shared" si="49"/>
        <v>24501.870065977651</v>
      </c>
      <c r="J104" s="365"/>
      <c r="K104" s="817">
        <f t="shared" si="35"/>
        <v>1499259</v>
      </c>
      <c r="L104" s="778">
        <v>203</v>
      </c>
      <c r="M104" s="778">
        <f t="shared" si="46"/>
        <v>7385.5123152709357</v>
      </c>
      <c r="N104" s="678">
        <v>8450</v>
      </c>
      <c r="O104" s="678"/>
      <c r="P104" s="298" t="s">
        <v>479</v>
      </c>
      <c r="Q104" s="794">
        <v>40723</v>
      </c>
      <c r="R104" s="793"/>
      <c r="S104" s="306">
        <f>L104</f>
        <v>203</v>
      </c>
      <c r="T104" s="822">
        <v>6026</v>
      </c>
      <c r="U104" s="8">
        <f t="shared" si="47"/>
        <v>1223278</v>
      </c>
      <c r="V104" s="456"/>
      <c r="W104" s="794"/>
      <c r="X104" s="821"/>
      <c r="Y104" s="821"/>
      <c r="Z104" s="8">
        <f t="shared" si="48"/>
        <v>0</v>
      </c>
    </row>
    <row r="105" spans="1:26">
      <c r="A105" s="777">
        <f t="shared" si="45"/>
        <v>88</v>
      </c>
      <c r="B105" s="298" t="s">
        <v>923</v>
      </c>
      <c r="C105" s="849">
        <f t="shared" si="34"/>
        <v>4449</v>
      </c>
      <c r="D105" s="778">
        <f t="shared" si="49"/>
        <v>476.52644826665647</v>
      </c>
      <c r="E105" s="778">
        <f t="shared" si="49"/>
        <v>118.79791007207963</v>
      </c>
      <c r="F105" s="778">
        <f t="shared" si="49"/>
        <v>551.46638190763133</v>
      </c>
      <c r="G105" s="778">
        <f t="shared" si="49"/>
        <v>63.420159414209984</v>
      </c>
      <c r="H105" s="778">
        <f t="shared" si="49"/>
        <v>28.603028107242288</v>
      </c>
      <c r="I105" s="778">
        <f t="shared" si="49"/>
        <v>120.69886732008695</v>
      </c>
      <c r="J105" s="365"/>
      <c r="K105" s="817">
        <f t="shared" si="35"/>
        <v>5809</v>
      </c>
      <c r="L105" s="778">
        <v>1</v>
      </c>
      <c r="M105" s="778">
        <f t="shared" si="46"/>
        <v>5809</v>
      </c>
      <c r="N105" s="678">
        <v>5778</v>
      </c>
      <c r="O105" s="678"/>
      <c r="P105" s="189" t="s">
        <v>387</v>
      </c>
      <c r="Q105" s="794">
        <v>40723</v>
      </c>
      <c r="R105" s="793"/>
      <c r="S105" s="306">
        <f>L105</f>
        <v>1</v>
      </c>
      <c r="T105" s="259">
        <v>4449</v>
      </c>
      <c r="U105" s="8">
        <f t="shared" si="47"/>
        <v>4449</v>
      </c>
      <c r="V105" s="456"/>
      <c r="W105" s="794"/>
      <c r="X105" s="821"/>
      <c r="Y105" s="821"/>
      <c r="Z105" s="8">
        <f t="shared" si="48"/>
        <v>0</v>
      </c>
    </row>
    <row r="106" spans="1:26">
      <c r="A106" s="777">
        <f t="shared" si="45"/>
        <v>89</v>
      </c>
      <c r="B106" s="298" t="s">
        <v>748</v>
      </c>
      <c r="C106" s="849">
        <f t="shared" si="34"/>
        <v>8231</v>
      </c>
      <c r="D106" s="778">
        <f t="shared" si="49"/>
        <v>476.52644826665647</v>
      </c>
      <c r="E106" s="778">
        <f t="shared" si="49"/>
        <v>118.79791007207963</v>
      </c>
      <c r="F106" s="778">
        <f t="shared" si="49"/>
        <v>551.46638190763133</v>
      </c>
      <c r="G106" s="778">
        <f t="shared" si="49"/>
        <v>63.420159414209984</v>
      </c>
      <c r="H106" s="778">
        <f t="shared" si="49"/>
        <v>28.603028107242288</v>
      </c>
      <c r="I106" s="778">
        <f t="shared" si="49"/>
        <v>120.69886732008695</v>
      </c>
      <c r="J106" s="365"/>
      <c r="K106" s="817">
        <f t="shared" si="35"/>
        <v>9591</v>
      </c>
      <c r="L106" s="778">
        <v>1</v>
      </c>
      <c r="M106" s="778">
        <f t="shared" si="46"/>
        <v>9591</v>
      </c>
      <c r="N106" s="678">
        <v>10255</v>
      </c>
      <c r="O106" s="678"/>
      <c r="P106" s="189" t="s">
        <v>496</v>
      </c>
      <c r="Q106" s="794">
        <v>40723</v>
      </c>
      <c r="R106" s="793"/>
      <c r="S106" s="306">
        <f>L106/2</f>
        <v>0.5</v>
      </c>
      <c r="T106" s="822">
        <v>16462</v>
      </c>
      <c r="U106" s="8">
        <f t="shared" si="47"/>
        <v>8231</v>
      </c>
      <c r="V106" s="456"/>
      <c r="W106" s="794"/>
      <c r="X106" s="821"/>
      <c r="Y106" s="821"/>
      <c r="Z106" s="8">
        <f t="shared" si="48"/>
        <v>0</v>
      </c>
    </row>
    <row r="107" spans="1:26">
      <c r="A107" s="777">
        <f t="shared" si="45"/>
        <v>90</v>
      </c>
      <c r="B107" s="298" t="s">
        <v>924</v>
      </c>
      <c r="C107" s="849">
        <f t="shared" si="34"/>
        <v>9184</v>
      </c>
      <c r="D107" s="778">
        <f t="shared" ref="D107:I116" si="50">IF($L$171&lt;&gt;0,D$171/$L$171*$L107,0)</f>
        <v>953.05289653331295</v>
      </c>
      <c r="E107" s="778">
        <f t="shared" si="50"/>
        <v>237.59582014415926</v>
      </c>
      <c r="F107" s="778">
        <f t="shared" si="50"/>
        <v>1102.9327638152627</v>
      </c>
      <c r="G107" s="778">
        <f t="shared" si="50"/>
        <v>126.84031882841997</v>
      </c>
      <c r="H107" s="778">
        <f t="shared" si="50"/>
        <v>57.206056214484576</v>
      </c>
      <c r="I107" s="778">
        <f t="shared" si="50"/>
        <v>241.39773464017389</v>
      </c>
      <c r="J107" s="365"/>
      <c r="K107" s="817">
        <f t="shared" si="35"/>
        <v>11903</v>
      </c>
      <c r="L107" s="778">
        <v>2</v>
      </c>
      <c r="M107" s="778">
        <f t="shared" si="46"/>
        <v>5951.5</v>
      </c>
      <c r="N107" s="678">
        <v>7089</v>
      </c>
      <c r="O107" s="678"/>
      <c r="P107" s="189" t="s">
        <v>478</v>
      </c>
      <c r="Q107" s="794">
        <v>40723</v>
      </c>
      <c r="R107" s="793"/>
      <c r="S107" s="306">
        <f>L107</f>
        <v>2</v>
      </c>
      <c r="T107" s="822">
        <v>4592</v>
      </c>
      <c r="U107" s="8">
        <f t="shared" si="47"/>
        <v>9184</v>
      </c>
      <c r="V107" s="456"/>
      <c r="W107" s="794"/>
      <c r="X107" s="821"/>
      <c r="Y107" s="821"/>
      <c r="Z107" s="8">
        <f t="shared" si="48"/>
        <v>0</v>
      </c>
    </row>
    <row r="108" spans="1:26">
      <c r="A108" s="777">
        <f t="shared" si="45"/>
        <v>91</v>
      </c>
      <c r="B108" s="298" t="s">
        <v>759</v>
      </c>
      <c r="C108" s="849">
        <f t="shared" si="34"/>
        <v>13447</v>
      </c>
      <c r="D108" s="778">
        <f t="shared" si="50"/>
        <v>476.52644826665647</v>
      </c>
      <c r="E108" s="778">
        <f t="shared" si="50"/>
        <v>118.79791007207963</v>
      </c>
      <c r="F108" s="778">
        <f t="shared" si="50"/>
        <v>551.46638190763133</v>
      </c>
      <c r="G108" s="778">
        <f t="shared" si="50"/>
        <v>63.420159414209984</v>
      </c>
      <c r="H108" s="778">
        <f t="shared" si="50"/>
        <v>28.603028107242288</v>
      </c>
      <c r="I108" s="778">
        <f t="shared" si="50"/>
        <v>120.69886732008695</v>
      </c>
      <c r="J108" s="365"/>
      <c r="K108" s="817">
        <f t="shared" si="35"/>
        <v>14807</v>
      </c>
      <c r="L108" s="778">
        <v>1</v>
      </c>
      <c r="M108" s="778">
        <f t="shared" si="46"/>
        <v>14807</v>
      </c>
      <c r="N108" s="678">
        <v>15135</v>
      </c>
      <c r="O108" s="678"/>
      <c r="P108" s="40" t="s">
        <v>599</v>
      </c>
      <c r="Q108" s="794">
        <v>40723</v>
      </c>
      <c r="R108" s="793"/>
      <c r="S108" s="306">
        <f>L108/2</f>
        <v>0.5</v>
      </c>
      <c r="T108" s="822">
        <v>26894</v>
      </c>
      <c r="U108" s="8">
        <f t="shared" si="47"/>
        <v>13447</v>
      </c>
      <c r="V108" s="456"/>
      <c r="W108" s="794"/>
      <c r="X108" s="821"/>
      <c r="Y108" s="821"/>
      <c r="Z108" s="8">
        <f t="shared" si="48"/>
        <v>0</v>
      </c>
    </row>
    <row r="109" spans="1:26">
      <c r="A109" s="777">
        <f t="shared" si="45"/>
        <v>92</v>
      </c>
      <c r="B109" s="298" t="s">
        <v>925</v>
      </c>
      <c r="C109" s="849">
        <f t="shared" si="34"/>
        <v>121023</v>
      </c>
      <c r="D109" s="778">
        <f t="shared" si="50"/>
        <v>4288.7380343999084</v>
      </c>
      <c r="E109" s="778">
        <f t="shared" si="50"/>
        <v>1069.1811906487167</v>
      </c>
      <c r="F109" s="778">
        <f t="shared" si="50"/>
        <v>4963.197437168682</v>
      </c>
      <c r="G109" s="778">
        <f t="shared" si="50"/>
        <v>570.78143472788986</v>
      </c>
      <c r="H109" s="778">
        <f t="shared" si="50"/>
        <v>257.42725296518057</v>
      </c>
      <c r="I109" s="778">
        <f t="shared" si="50"/>
        <v>1086.2898058807825</v>
      </c>
      <c r="J109" s="365"/>
      <c r="K109" s="817">
        <f t="shared" si="35"/>
        <v>133259</v>
      </c>
      <c r="L109" s="778">
        <v>9</v>
      </c>
      <c r="M109" s="778">
        <f t="shared" si="46"/>
        <v>14806.555555555555</v>
      </c>
      <c r="N109" s="678">
        <v>15056</v>
      </c>
      <c r="O109" s="678"/>
      <c r="P109" s="40" t="s">
        <v>599</v>
      </c>
      <c r="Q109" s="794">
        <v>40723</v>
      </c>
      <c r="R109" s="793"/>
      <c r="S109" s="306">
        <f>L109/2</f>
        <v>4.5</v>
      </c>
      <c r="T109" s="822">
        <v>26894</v>
      </c>
      <c r="U109" s="8">
        <f t="shared" si="47"/>
        <v>121023</v>
      </c>
      <c r="V109" s="456"/>
      <c r="W109" s="794"/>
      <c r="X109" s="821"/>
      <c r="Y109" s="821"/>
      <c r="Z109" s="8">
        <f t="shared" si="48"/>
        <v>0</v>
      </c>
    </row>
    <row r="110" spans="1:26">
      <c r="A110" s="777">
        <f t="shared" si="45"/>
        <v>93</v>
      </c>
      <c r="B110" s="298" t="s">
        <v>926</v>
      </c>
      <c r="C110" s="849">
        <f t="shared" si="34"/>
        <v>1782084</v>
      </c>
      <c r="D110" s="778">
        <f t="shared" si="50"/>
        <v>138669.19644559704</v>
      </c>
      <c r="E110" s="778">
        <f t="shared" si="50"/>
        <v>34570.191830975171</v>
      </c>
      <c r="F110" s="778">
        <f t="shared" si="50"/>
        <v>160476.71713512071</v>
      </c>
      <c r="G110" s="778">
        <f t="shared" si="50"/>
        <v>18455.266389535107</v>
      </c>
      <c r="H110" s="778">
        <f t="shared" si="50"/>
        <v>8323.4811792075052</v>
      </c>
      <c r="I110" s="778">
        <f t="shared" si="50"/>
        <v>35123.370390145305</v>
      </c>
      <c r="J110" s="365"/>
      <c r="K110" s="817">
        <f t="shared" si="35"/>
        <v>2177702</v>
      </c>
      <c r="L110" s="778">
        <v>291</v>
      </c>
      <c r="M110" s="778">
        <f t="shared" si="46"/>
        <v>7483.5120274914088</v>
      </c>
      <c r="N110" s="678">
        <v>9880</v>
      </c>
      <c r="O110" s="678"/>
      <c r="P110" s="189" t="s">
        <v>385</v>
      </c>
      <c r="Q110" s="794">
        <v>40723</v>
      </c>
      <c r="R110" s="793"/>
      <c r="S110" s="306">
        <f>L110</f>
        <v>291</v>
      </c>
      <c r="T110" s="822">
        <v>6124</v>
      </c>
      <c r="U110" s="8">
        <f t="shared" si="47"/>
        <v>1782084</v>
      </c>
      <c r="V110" s="456"/>
      <c r="W110" s="794"/>
      <c r="X110" s="821"/>
      <c r="Y110" s="821"/>
      <c r="Z110" s="8">
        <f t="shared" si="48"/>
        <v>0</v>
      </c>
    </row>
    <row r="111" spans="1:26">
      <c r="A111" s="777">
        <f t="shared" si="45"/>
        <v>94</v>
      </c>
      <c r="B111" s="298" t="s">
        <v>914</v>
      </c>
      <c r="C111" s="849">
        <f t="shared" si="34"/>
        <v>6124</v>
      </c>
      <c r="D111" s="778">
        <f t="shared" si="50"/>
        <v>476.52644826665647</v>
      </c>
      <c r="E111" s="778">
        <f t="shared" si="50"/>
        <v>118.79791007207963</v>
      </c>
      <c r="F111" s="778">
        <f t="shared" si="50"/>
        <v>551.46638190763133</v>
      </c>
      <c r="G111" s="778">
        <f t="shared" si="50"/>
        <v>63.420159414209984</v>
      </c>
      <c r="H111" s="778">
        <f t="shared" si="50"/>
        <v>28.603028107242288</v>
      </c>
      <c r="I111" s="778">
        <f t="shared" si="50"/>
        <v>120.69886732008695</v>
      </c>
      <c r="J111" s="365"/>
      <c r="K111" s="817">
        <f t="shared" si="35"/>
        <v>7484</v>
      </c>
      <c r="L111" s="778">
        <v>1</v>
      </c>
      <c r="M111" s="778">
        <f t="shared" si="46"/>
        <v>7484</v>
      </c>
      <c r="N111" s="678">
        <v>9259</v>
      </c>
      <c r="O111" s="678"/>
      <c r="P111" s="189" t="s">
        <v>385</v>
      </c>
      <c r="Q111" s="794">
        <v>40723</v>
      </c>
      <c r="R111" s="793"/>
      <c r="S111" s="306">
        <f>L111</f>
        <v>1</v>
      </c>
      <c r="T111" s="822">
        <v>6124</v>
      </c>
      <c r="U111" s="8">
        <f t="shared" si="47"/>
        <v>6124</v>
      </c>
      <c r="V111" s="456"/>
      <c r="W111" s="794"/>
      <c r="X111" s="821"/>
      <c r="Y111" s="821"/>
      <c r="Z111" s="8">
        <f t="shared" si="48"/>
        <v>0</v>
      </c>
    </row>
    <row r="112" spans="1:26">
      <c r="A112" s="777">
        <f t="shared" si="45"/>
        <v>95</v>
      </c>
      <c r="B112" s="298" t="s">
        <v>741</v>
      </c>
      <c r="C112" s="849">
        <f t="shared" si="34"/>
        <v>1913520</v>
      </c>
      <c r="D112" s="778">
        <f t="shared" si="50"/>
        <v>56706.647343732118</v>
      </c>
      <c r="E112" s="778">
        <f t="shared" si="50"/>
        <v>14136.951298577476</v>
      </c>
      <c r="F112" s="778">
        <f t="shared" si="50"/>
        <v>65624.499447008129</v>
      </c>
      <c r="G112" s="778">
        <f t="shared" si="50"/>
        <v>7546.9989702909879</v>
      </c>
      <c r="H112" s="778">
        <f t="shared" si="50"/>
        <v>3403.7603447618321</v>
      </c>
      <c r="I112" s="778">
        <f t="shared" si="50"/>
        <v>14363.165211090347</v>
      </c>
      <c r="J112" s="365"/>
      <c r="K112" s="817">
        <f t="shared" si="35"/>
        <v>2075302</v>
      </c>
      <c r="L112" s="778">
        <v>119</v>
      </c>
      <c r="M112" s="778">
        <f t="shared" si="46"/>
        <v>17439.512605042019</v>
      </c>
      <c r="N112" s="678">
        <v>17330</v>
      </c>
      <c r="O112" s="678"/>
      <c r="P112" s="40" t="s">
        <v>596</v>
      </c>
      <c r="Q112" s="794">
        <v>40723</v>
      </c>
      <c r="R112" s="793"/>
      <c r="S112" s="306">
        <v>120</v>
      </c>
      <c r="T112" s="822">
        <v>15946</v>
      </c>
      <c r="U112" s="8">
        <f t="shared" si="47"/>
        <v>1913520</v>
      </c>
      <c r="V112" s="456"/>
      <c r="W112" s="794"/>
      <c r="X112" s="821"/>
      <c r="Y112" s="821"/>
      <c r="Z112" s="8">
        <f t="shared" si="48"/>
        <v>0</v>
      </c>
    </row>
    <row r="113" spans="1:26">
      <c r="A113" s="777">
        <f t="shared" si="45"/>
        <v>96</v>
      </c>
      <c r="B113" s="298" t="s">
        <v>904</v>
      </c>
      <c r="C113" s="849">
        <f t="shared" si="34"/>
        <v>3400544</v>
      </c>
      <c r="D113" s="778">
        <f t="shared" si="50"/>
        <v>144864.04027306355</v>
      </c>
      <c r="E113" s="778">
        <f t="shared" si="50"/>
        <v>36114.564661912205</v>
      </c>
      <c r="F113" s="778">
        <f t="shared" si="50"/>
        <v>167645.78009991994</v>
      </c>
      <c r="G113" s="778">
        <f t="shared" si="50"/>
        <v>19279.728461919836</v>
      </c>
      <c r="H113" s="778">
        <f t="shared" si="50"/>
        <v>8695.3205446016564</v>
      </c>
      <c r="I113" s="778">
        <f t="shared" si="50"/>
        <v>36692.455665306436</v>
      </c>
      <c r="J113" s="365"/>
      <c r="K113" s="817">
        <f t="shared" si="35"/>
        <v>3813836</v>
      </c>
      <c r="L113" s="778">
        <v>304</v>
      </c>
      <c r="M113" s="778">
        <f t="shared" si="46"/>
        <v>12545.513157894737</v>
      </c>
      <c r="N113" s="678">
        <v>13172</v>
      </c>
      <c r="O113" s="678"/>
      <c r="P113" s="40" t="s">
        <v>556</v>
      </c>
      <c r="Q113" s="794">
        <v>40723</v>
      </c>
      <c r="R113" s="793"/>
      <c r="S113" s="306">
        <f>L113/2</f>
        <v>152</v>
      </c>
      <c r="T113" s="822">
        <v>22372</v>
      </c>
      <c r="U113" s="8">
        <f t="shared" si="47"/>
        <v>3400544</v>
      </c>
      <c r="V113" s="456"/>
      <c r="W113" s="794"/>
      <c r="X113" s="821"/>
      <c r="Y113" s="821"/>
      <c r="Z113" s="8">
        <f t="shared" si="48"/>
        <v>0</v>
      </c>
    </row>
    <row r="114" spans="1:26">
      <c r="A114" s="777">
        <f t="shared" si="45"/>
        <v>97</v>
      </c>
      <c r="B114" s="298" t="s">
        <v>903</v>
      </c>
      <c r="C114" s="849">
        <f t="shared" si="34"/>
        <v>464100</v>
      </c>
      <c r="D114" s="778">
        <f t="shared" si="50"/>
        <v>30974.219137332671</v>
      </c>
      <c r="E114" s="778">
        <f t="shared" si="50"/>
        <v>7721.8641546851759</v>
      </c>
      <c r="F114" s="778">
        <f t="shared" si="50"/>
        <v>35845.314823996036</v>
      </c>
      <c r="G114" s="778">
        <f t="shared" si="50"/>
        <v>4122.310361923649</v>
      </c>
      <c r="H114" s="778">
        <f t="shared" si="50"/>
        <v>1859.1968269707488</v>
      </c>
      <c r="I114" s="778">
        <f t="shared" si="50"/>
        <v>7845.4263758056513</v>
      </c>
      <c r="J114" s="365"/>
      <c r="K114" s="817">
        <f t="shared" si="35"/>
        <v>552468</v>
      </c>
      <c r="L114" s="778">
        <v>65</v>
      </c>
      <c r="M114" s="778">
        <f t="shared" si="46"/>
        <v>8499.5076923076922</v>
      </c>
      <c r="N114" s="678">
        <v>10433</v>
      </c>
      <c r="O114" s="678"/>
      <c r="P114" s="40" t="s">
        <v>604</v>
      </c>
      <c r="Q114" s="794">
        <v>40723</v>
      </c>
      <c r="R114" s="793"/>
      <c r="S114" s="306">
        <f>L114/2</f>
        <v>32.5</v>
      </c>
      <c r="T114" s="822">
        <v>14280</v>
      </c>
      <c r="U114" s="8">
        <f t="shared" si="47"/>
        <v>464100</v>
      </c>
      <c r="V114" s="456"/>
      <c r="W114" s="794"/>
      <c r="X114" s="821"/>
      <c r="Y114" s="821"/>
      <c r="Z114" s="8">
        <f t="shared" si="48"/>
        <v>0</v>
      </c>
    </row>
    <row r="115" spans="1:26">
      <c r="A115" s="777">
        <f t="shared" si="45"/>
        <v>98</v>
      </c>
      <c r="B115" s="298" t="s">
        <v>925</v>
      </c>
      <c r="C115" s="849">
        <f t="shared" si="34"/>
        <v>430304</v>
      </c>
      <c r="D115" s="778">
        <f t="shared" si="50"/>
        <v>15248.846344533007</v>
      </c>
      <c r="E115" s="778">
        <f t="shared" si="50"/>
        <v>3801.5331223065482</v>
      </c>
      <c r="F115" s="778">
        <f t="shared" si="50"/>
        <v>17646.924221044203</v>
      </c>
      <c r="G115" s="778">
        <f t="shared" si="50"/>
        <v>2029.4451012547195</v>
      </c>
      <c r="H115" s="778">
        <f t="shared" si="50"/>
        <v>915.29689943175322</v>
      </c>
      <c r="I115" s="778">
        <f t="shared" si="50"/>
        <v>3862.3637542427823</v>
      </c>
      <c r="J115" s="365"/>
      <c r="K115" s="817">
        <f t="shared" si="35"/>
        <v>473808</v>
      </c>
      <c r="L115" s="778">
        <v>32</v>
      </c>
      <c r="M115" s="778">
        <f t="shared" si="46"/>
        <v>14806.5</v>
      </c>
      <c r="N115" s="678">
        <v>15175</v>
      </c>
      <c r="O115" s="678"/>
      <c r="P115" s="40" t="s">
        <v>599</v>
      </c>
      <c r="Q115" s="794">
        <v>40723</v>
      </c>
      <c r="R115" s="793"/>
      <c r="S115" s="306">
        <f t="shared" ref="S115" si="51">L115/2</f>
        <v>16</v>
      </c>
      <c r="T115" s="822">
        <v>26894</v>
      </c>
      <c r="U115" s="8">
        <f t="shared" si="47"/>
        <v>430304</v>
      </c>
      <c r="V115" s="456"/>
      <c r="W115" s="794"/>
      <c r="X115" s="821"/>
      <c r="Y115" s="821"/>
      <c r="Z115" s="8">
        <f t="shared" si="48"/>
        <v>0</v>
      </c>
    </row>
    <row r="116" spans="1:26">
      <c r="A116" s="777">
        <f t="shared" si="45"/>
        <v>99</v>
      </c>
      <c r="B116" s="298" t="s">
        <v>750</v>
      </c>
      <c r="C116" s="849">
        <f t="shared" si="34"/>
        <v>71132</v>
      </c>
      <c r="D116" s="778">
        <f t="shared" si="50"/>
        <v>2382.6322413332823</v>
      </c>
      <c r="E116" s="778">
        <f t="shared" si="50"/>
        <v>593.9895503603982</v>
      </c>
      <c r="F116" s="778">
        <f t="shared" si="50"/>
        <v>2757.3319095381567</v>
      </c>
      <c r="G116" s="778">
        <f t="shared" si="50"/>
        <v>317.1007970710499</v>
      </c>
      <c r="H116" s="778">
        <f t="shared" si="50"/>
        <v>143.01514053621145</v>
      </c>
      <c r="I116" s="778">
        <f t="shared" si="50"/>
        <v>603.49433660043474</v>
      </c>
      <c r="J116" s="365"/>
      <c r="K116" s="817">
        <f t="shared" si="35"/>
        <v>77930</v>
      </c>
      <c r="L116" s="778">
        <v>5</v>
      </c>
      <c r="M116" s="778">
        <f t="shared" si="46"/>
        <v>15586</v>
      </c>
      <c r="N116" s="678">
        <v>15756</v>
      </c>
      <c r="O116" s="678"/>
      <c r="P116" s="189" t="s">
        <v>583</v>
      </c>
      <c r="Q116" s="794">
        <v>40723</v>
      </c>
      <c r="R116" s="793"/>
      <c r="S116" s="306">
        <v>2</v>
      </c>
      <c r="T116" s="822">
        <v>35566</v>
      </c>
      <c r="U116" s="8">
        <f t="shared" si="47"/>
        <v>71132</v>
      </c>
      <c r="V116" s="456"/>
      <c r="W116" s="794"/>
      <c r="X116" s="821"/>
      <c r="Y116" s="821"/>
      <c r="Z116" s="8">
        <f t="shared" si="48"/>
        <v>0</v>
      </c>
    </row>
    <row r="117" spans="1:26">
      <c r="A117" s="777">
        <f t="shared" si="45"/>
        <v>100</v>
      </c>
      <c r="B117" s="298" t="s">
        <v>913</v>
      </c>
      <c r="C117" s="849">
        <f t="shared" si="34"/>
        <v>960200</v>
      </c>
      <c r="D117" s="778">
        <f t="shared" ref="D117:I126" si="52">IF($L$171&lt;&gt;0,D$171/$L$171*$L117,0)</f>
        <v>38122.115861332517</v>
      </c>
      <c r="E117" s="778">
        <f t="shared" si="52"/>
        <v>9503.8328057663712</v>
      </c>
      <c r="F117" s="778">
        <f t="shared" si="52"/>
        <v>44117.310552610506</v>
      </c>
      <c r="G117" s="778">
        <f t="shared" si="52"/>
        <v>5073.6127531367983</v>
      </c>
      <c r="H117" s="778">
        <f t="shared" si="52"/>
        <v>2288.2422485793832</v>
      </c>
      <c r="I117" s="778">
        <f t="shared" si="52"/>
        <v>9655.9093856069558</v>
      </c>
      <c r="J117" s="365"/>
      <c r="K117" s="817">
        <f t="shared" si="35"/>
        <v>1068961</v>
      </c>
      <c r="L117" s="778">
        <v>80</v>
      </c>
      <c r="M117" s="778">
        <f t="shared" si="46"/>
        <v>13362.012500000001</v>
      </c>
      <c r="N117" s="678">
        <v>14563</v>
      </c>
      <c r="O117" s="678"/>
      <c r="P117" s="40" t="s">
        <v>557</v>
      </c>
      <c r="Q117" s="794">
        <v>40723</v>
      </c>
      <c r="R117" s="793"/>
      <c r="S117" s="306">
        <f>L117/2</f>
        <v>40</v>
      </c>
      <c r="T117" s="822">
        <v>24005</v>
      </c>
      <c r="U117" s="8">
        <f t="shared" si="47"/>
        <v>960200</v>
      </c>
      <c r="V117" s="456"/>
      <c r="W117" s="794"/>
      <c r="X117" s="821"/>
      <c r="Y117" s="821"/>
      <c r="Z117" s="8">
        <f t="shared" si="48"/>
        <v>0</v>
      </c>
    </row>
    <row r="118" spans="1:26">
      <c r="A118" s="777">
        <f t="shared" si="45"/>
        <v>101</v>
      </c>
      <c r="B118" s="298" t="s">
        <v>746</v>
      </c>
      <c r="C118" s="849">
        <f t="shared" si="34"/>
        <v>349860</v>
      </c>
      <c r="D118" s="778">
        <f t="shared" si="52"/>
        <v>23349.795965066169</v>
      </c>
      <c r="E118" s="778">
        <f t="shared" si="52"/>
        <v>5821.097593531902</v>
      </c>
      <c r="F118" s="778">
        <f t="shared" si="52"/>
        <v>27021.852713473934</v>
      </c>
      <c r="G118" s="778">
        <f t="shared" si="52"/>
        <v>3107.5878112962891</v>
      </c>
      <c r="H118" s="778">
        <f t="shared" si="52"/>
        <v>1401.5483772548721</v>
      </c>
      <c r="I118" s="778">
        <f t="shared" si="52"/>
        <v>5914.2444986842602</v>
      </c>
      <c r="J118" s="365"/>
      <c r="K118" s="817">
        <f t="shared" si="35"/>
        <v>416476</v>
      </c>
      <c r="L118" s="778">
        <v>49</v>
      </c>
      <c r="M118" s="778">
        <f t="shared" si="46"/>
        <v>8499.5102040816328</v>
      </c>
      <c r="N118" s="678">
        <v>10698</v>
      </c>
      <c r="O118" s="678"/>
      <c r="P118" s="40" t="s">
        <v>604</v>
      </c>
      <c r="Q118" s="794">
        <v>40723</v>
      </c>
      <c r="R118" s="793"/>
      <c r="S118" s="306">
        <f>L118/2</f>
        <v>24.5</v>
      </c>
      <c r="T118" s="822">
        <v>14280</v>
      </c>
      <c r="U118" s="8">
        <f t="shared" si="47"/>
        <v>349860</v>
      </c>
      <c r="V118" s="456"/>
      <c r="W118" s="794"/>
      <c r="X118" s="821"/>
      <c r="Y118" s="821"/>
      <c r="Z118" s="8">
        <f t="shared" si="48"/>
        <v>0</v>
      </c>
    </row>
    <row r="119" spans="1:26">
      <c r="A119" s="777">
        <f t="shared" si="45"/>
        <v>102</v>
      </c>
      <c r="B119" s="298" t="s">
        <v>758</v>
      </c>
      <c r="C119" s="849">
        <f t="shared" si="34"/>
        <v>9184</v>
      </c>
      <c r="D119" s="778">
        <f t="shared" si="52"/>
        <v>953.05289653331295</v>
      </c>
      <c r="E119" s="778">
        <f t="shared" si="52"/>
        <v>237.59582014415926</v>
      </c>
      <c r="F119" s="778">
        <f t="shared" si="52"/>
        <v>1102.9327638152627</v>
      </c>
      <c r="G119" s="778">
        <f t="shared" si="52"/>
        <v>126.84031882841997</v>
      </c>
      <c r="H119" s="778">
        <f t="shared" si="52"/>
        <v>57.206056214484576</v>
      </c>
      <c r="I119" s="778">
        <f t="shared" si="52"/>
        <v>241.39773464017389</v>
      </c>
      <c r="J119" s="365"/>
      <c r="K119" s="817">
        <f t="shared" si="35"/>
        <v>11903</v>
      </c>
      <c r="L119" s="778">
        <v>2</v>
      </c>
      <c r="M119" s="778">
        <f t="shared" si="46"/>
        <v>5951.5</v>
      </c>
      <c r="N119" s="678">
        <v>7435</v>
      </c>
      <c r="O119" s="678"/>
      <c r="P119" s="189" t="s">
        <v>478</v>
      </c>
      <c r="Q119" s="794">
        <v>40723</v>
      </c>
      <c r="R119" s="793"/>
      <c r="S119" s="306">
        <f>L119</f>
        <v>2</v>
      </c>
      <c r="T119" s="822">
        <v>4592</v>
      </c>
      <c r="U119" s="8">
        <f t="shared" si="47"/>
        <v>9184</v>
      </c>
      <c r="V119" s="456"/>
      <c r="W119" s="794"/>
      <c r="X119" s="821"/>
      <c r="Y119" s="821"/>
      <c r="Z119" s="8">
        <f t="shared" si="48"/>
        <v>0</v>
      </c>
    </row>
    <row r="120" spans="1:26">
      <c r="A120" s="777">
        <f t="shared" si="45"/>
        <v>103</v>
      </c>
      <c r="B120" s="298" t="s">
        <v>928</v>
      </c>
      <c r="C120" s="849">
        <f t="shared" si="34"/>
        <v>16462</v>
      </c>
      <c r="D120" s="778">
        <f t="shared" si="52"/>
        <v>953.05289653331295</v>
      </c>
      <c r="E120" s="778">
        <f t="shared" si="52"/>
        <v>237.59582014415926</v>
      </c>
      <c r="F120" s="778">
        <f t="shared" si="52"/>
        <v>1102.9327638152627</v>
      </c>
      <c r="G120" s="778">
        <f t="shared" si="52"/>
        <v>126.84031882841997</v>
      </c>
      <c r="H120" s="778">
        <f t="shared" si="52"/>
        <v>57.206056214484576</v>
      </c>
      <c r="I120" s="778">
        <f t="shared" si="52"/>
        <v>241.39773464017389</v>
      </c>
      <c r="J120" s="365"/>
      <c r="K120" s="817">
        <f t="shared" si="35"/>
        <v>19181</v>
      </c>
      <c r="L120" s="778">
        <v>2</v>
      </c>
      <c r="M120" s="778">
        <f t="shared" si="46"/>
        <v>9590.5</v>
      </c>
      <c r="N120" s="678">
        <v>10116</v>
      </c>
      <c r="O120" s="678"/>
      <c r="P120" s="189" t="s">
        <v>496</v>
      </c>
      <c r="Q120" s="794">
        <v>40723</v>
      </c>
      <c r="R120" s="793"/>
      <c r="S120" s="306">
        <f>L120/2</f>
        <v>1</v>
      </c>
      <c r="T120" s="822">
        <v>16462</v>
      </c>
      <c r="U120" s="8">
        <f t="shared" si="47"/>
        <v>16462</v>
      </c>
      <c r="V120" s="456"/>
      <c r="W120" s="794"/>
      <c r="X120" s="821"/>
      <c r="Y120" s="821"/>
      <c r="Z120" s="8">
        <f t="shared" si="48"/>
        <v>0</v>
      </c>
    </row>
    <row r="121" spans="1:26">
      <c r="A121" s="777">
        <f t="shared" si="45"/>
        <v>104</v>
      </c>
      <c r="B121" s="298" t="s">
        <v>926</v>
      </c>
      <c r="C121" s="849">
        <f t="shared" si="34"/>
        <v>30620</v>
      </c>
      <c r="D121" s="778">
        <f t="shared" si="52"/>
        <v>2382.6322413332823</v>
      </c>
      <c r="E121" s="778">
        <f t="shared" si="52"/>
        <v>593.9895503603982</v>
      </c>
      <c r="F121" s="778">
        <f t="shared" si="52"/>
        <v>2757.3319095381567</v>
      </c>
      <c r="G121" s="778">
        <f t="shared" si="52"/>
        <v>317.1007970710499</v>
      </c>
      <c r="H121" s="778">
        <f t="shared" si="52"/>
        <v>143.01514053621145</v>
      </c>
      <c r="I121" s="778">
        <f t="shared" si="52"/>
        <v>603.49433660043474</v>
      </c>
      <c r="J121" s="365"/>
      <c r="K121" s="817">
        <f t="shared" si="35"/>
        <v>37418</v>
      </c>
      <c r="L121" s="778">
        <v>5</v>
      </c>
      <c r="M121" s="778">
        <f t="shared" si="46"/>
        <v>7483.6</v>
      </c>
      <c r="N121" s="678">
        <v>9692</v>
      </c>
      <c r="O121" s="678"/>
      <c r="P121" s="189" t="s">
        <v>385</v>
      </c>
      <c r="Q121" s="794">
        <v>40723</v>
      </c>
      <c r="R121" s="793"/>
      <c r="S121" s="306">
        <f>L121</f>
        <v>5</v>
      </c>
      <c r="T121" s="822">
        <v>6124</v>
      </c>
      <c r="U121" s="8">
        <f t="shared" si="47"/>
        <v>30620</v>
      </c>
      <c r="V121" s="456"/>
      <c r="W121" s="794"/>
      <c r="X121" s="821"/>
      <c r="Y121" s="821"/>
      <c r="Z121" s="8">
        <f t="shared" si="48"/>
        <v>0</v>
      </c>
    </row>
    <row r="122" spans="1:26">
      <c r="A122" s="777">
        <f t="shared" si="45"/>
        <v>105</v>
      </c>
      <c r="B122" s="298" t="s">
        <v>755</v>
      </c>
      <c r="C122" s="849">
        <f t="shared" si="34"/>
        <v>8231</v>
      </c>
      <c r="D122" s="778">
        <f t="shared" si="52"/>
        <v>476.52644826665647</v>
      </c>
      <c r="E122" s="778">
        <f t="shared" si="52"/>
        <v>118.79791007207963</v>
      </c>
      <c r="F122" s="778">
        <f t="shared" si="52"/>
        <v>551.46638190763133</v>
      </c>
      <c r="G122" s="778">
        <f t="shared" si="52"/>
        <v>63.420159414209984</v>
      </c>
      <c r="H122" s="778">
        <f t="shared" si="52"/>
        <v>28.603028107242288</v>
      </c>
      <c r="I122" s="778">
        <f t="shared" si="52"/>
        <v>120.69886732008695</v>
      </c>
      <c r="J122" s="365"/>
      <c r="K122" s="817">
        <f t="shared" si="35"/>
        <v>9591</v>
      </c>
      <c r="L122" s="778">
        <v>1</v>
      </c>
      <c r="M122" s="778">
        <f t="shared" si="46"/>
        <v>9591</v>
      </c>
      <c r="N122" s="678">
        <v>12286</v>
      </c>
      <c r="O122" s="678"/>
      <c r="P122" s="189" t="s">
        <v>496</v>
      </c>
      <c r="Q122" s="794">
        <v>40723</v>
      </c>
      <c r="R122" s="793"/>
      <c r="S122" s="306">
        <f>L122/2</f>
        <v>0.5</v>
      </c>
      <c r="T122" s="822">
        <v>16462</v>
      </c>
      <c r="U122" s="8">
        <f t="shared" si="47"/>
        <v>8231</v>
      </c>
      <c r="V122" s="456"/>
      <c r="W122" s="794"/>
      <c r="X122" s="821"/>
      <c r="Y122" s="821"/>
      <c r="Z122" s="8">
        <f t="shared" si="48"/>
        <v>0</v>
      </c>
    </row>
    <row r="123" spans="1:26">
      <c r="A123" s="777">
        <f t="shared" si="45"/>
        <v>106</v>
      </c>
      <c r="B123" s="298" t="s">
        <v>757</v>
      </c>
      <c r="C123" s="849">
        <f t="shared" si="34"/>
        <v>4449</v>
      </c>
      <c r="D123" s="778">
        <f t="shared" si="52"/>
        <v>476.52644826665647</v>
      </c>
      <c r="E123" s="778">
        <f t="shared" si="52"/>
        <v>118.79791007207963</v>
      </c>
      <c r="F123" s="778">
        <f t="shared" si="52"/>
        <v>551.46638190763133</v>
      </c>
      <c r="G123" s="778">
        <f t="shared" si="52"/>
        <v>63.420159414209984</v>
      </c>
      <c r="H123" s="778">
        <f t="shared" si="52"/>
        <v>28.603028107242288</v>
      </c>
      <c r="I123" s="778">
        <f t="shared" si="52"/>
        <v>120.69886732008695</v>
      </c>
      <c r="J123" s="365"/>
      <c r="K123" s="817">
        <f t="shared" si="35"/>
        <v>5809</v>
      </c>
      <c r="L123" s="778">
        <v>1</v>
      </c>
      <c r="M123" s="778">
        <f t="shared" si="46"/>
        <v>5809</v>
      </c>
      <c r="N123" s="678">
        <v>5285</v>
      </c>
      <c r="O123" s="678"/>
      <c r="P123" s="189" t="s">
        <v>387</v>
      </c>
      <c r="Q123" s="794">
        <v>40723</v>
      </c>
      <c r="R123" s="793"/>
      <c r="S123" s="306">
        <f>L123</f>
        <v>1</v>
      </c>
      <c r="T123" s="259">
        <v>4449</v>
      </c>
      <c r="U123" s="8">
        <f t="shared" si="47"/>
        <v>4449</v>
      </c>
      <c r="V123" s="456"/>
      <c r="W123" s="794"/>
      <c r="X123" s="821"/>
      <c r="Y123" s="821"/>
      <c r="Z123" s="8">
        <f t="shared" si="48"/>
        <v>0</v>
      </c>
    </row>
    <row r="124" spans="1:26">
      <c r="A124" s="777">
        <f t="shared" si="45"/>
        <v>107</v>
      </c>
      <c r="B124" s="298" t="s">
        <v>753</v>
      </c>
      <c r="C124" s="849">
        <f t="shared" si="34"/>
        <v>42237</v>
      </c>
      <c r="D124" s="778">
        <f t="shared" si="52"/>
        <v>1429.5793447999695</v>
      </c>
      <c r="E124" s="778">
        <f t="shared" si="52"/>
        <v>356.39373021623891</v>
      </c>
      <c r="F124" s="778">
        <f t="shared" si="52"/>
        <v>1654.399145722894</v>
      </c>
      <c r="G124" s="778">
        <f t="shared" si="52"/>
        <v>190.26047824262994</v>
      </c>
      <c r="H124" s="778">
        <f t="shared" si="52"/>
        <v>85.809084321726857</v>
      </c>
      <c r="I124" s="778">
        <f t="shared" si="52"/>
        <v>362.09660196026084</v>
      </c>
      <c r="J124" s="365"/>
      <c r="K124" s="817">
        <f t="shared" si="35"/>
        <v>46316</v>
      </c>
      <c r="L124" s="778">
        <v>3</v>
      </c>
      <c r="M124" s="778">
        <f t="shared" si="46"/>
        <v>15438.666666666666</v>
      </c>
      <c r="N124" s="678">
        <v>16841</v>
      </c>
      <c r="O124" s="678"/>
      <c r="P124" s="298" t="s">
        <v>381</v>
      </c>
      <c r="Q124" s="794">
        <v>40723</v>
      </c>
      <c r="R124" s="793"/>
      <c r="S124" s="306">
        <f>L124</f>
        <v>3</v>
      </c>
      <c r="T124" s="822">
        <v>14079</v>
      </c>
      <c r="U124" s="8">
        <f t="shared" si="47"/>
        <v>42237</v>
      </c>
      <c r="V124" s="456"/>
      <c r="W124" s="794"/>
      <c r="X124" s="821"/>
      <c r="Y124" s="821"/>
      <c r="Z124" s="8">
        <f t="shared" si="48"/>
        <v>0</v>
      </c>
    </row>
    <row r="125" spans="1:26">
      <c r="A125" s="777">
        <f t="shared" si="45"/>
        <v>108</v>
      </c>
      <c r="B125" s="298" t="s">
        <v>747</v>
      </c>
      <c r="C125" s="849">
        <f t="shared" si="34"/>
        <v>16462</v>
      </c>
      <c r="D125" s="778">
        <f t="shared" si="52"/>
        <v>953.05289653331295</v>
      </c>
      <c r="E125" s="778">
        <f t="shared" si="52"/>
        <v>237.59582014415926</v>
      </c>
      <c r="F125" s="778">
        <f t="shared" si="52"/>
        <v>1102.9327638152627</v>
      </c>
      <c r="G125" s="778">
        <f t="shared" si="52"/>
        <v>126.84031882841997</v>
      </c>
      <c r="H125" s="778">
        <f t="shared" si="52"/>
        <v>57.206056214484576</v>
      </c>
      <c r="I125" s="778">
        <f t="shared" si="52"/>
        <v>241.39773464017389</v>
      </c>
      <c r="J125" s="365"/>
      <c r="K125" s="817">
        <f t="shared" si="35"/>
        <v>19181</v>
      </c>
      <c r="L125" s="778">
        <v>2</v>
      </c>
      <c r="M125" s="778">
        <f t="shared" si="46"/>
        <v>9590.5</v>
      </c>
      <c r="N125" s="678">
        <v>11428</v>
      </c>
      <c r="O125" s="678"/>
      <c r="P125" s="189" t="s">
        <v>496</v>
      </c>
      <c r="Q125" s="794">
        <v>40723</v>
      </c>
      <c r="R125" s="793"/>
      <c r="S125" s="306">
        <f>L125/2</f>
        <v>1</v>
      </c>
      <c r="T125" s="822">
        <v>16462</v>
      </c>
      <c r="U125" s="8">
        <f t="shared" si="47"/>
        <v>16462</v>
      </c>
      <c r="V125" s="456"/>
      <c r="W125" s="794"/>
      <c r="X125" s="821"/>
      <c r="Y125" s="821"/>
      <c r="Z125" s="8">
        <f t="shared" si="48"/>
        <v>0</v>
      </c>
    </row>
    <row r="126" spans="1:26">
      <c r="A126" s="777">
        <f t="shared" si="45"/>
        <v>109</v>
      </c>
      <c r="B126" s="298" t="s">
        <v>922</v>
      </c>
      <c r="C126" s="849">
        <f t="shared" si="34"/>
        <v>48208</v>
      </c>
      <c r="D126" s="778">
        <f t="shared" si="52"/>
        <v>3812.2115861332518</v>
      </c>
      <c r="E126" s="778">
        <f t="shared" si="52"/>
        <v>950.38328057663705</v>
      </c>
      <c r="F126" s="778">
        <f t="shared" si="52"/>
        <v>4411.7310552610506</v>
      </c>
      <c r="G126" s="778">
        <f t="shared" si="52"/>
        <v>507.36127531367987</v>
      </c>
      <c r="H126" s="778">
        <f t="shared" si="52"/>
        <v>228.8242248579383</v>
      </c>
      <c r="I126" s="778">
        <f t="shared" si="52"/>
        <v>965.59093856069558</v>
      </c>
      <c r="J126" s="365"/>
      <c r="K126" s="817">
        <f t="shared" si="35"/>
        <v>59084</v>
      </c>
      <c r="L126" s="778">
        <v>8</v>
      </c>
      <c r="M126" s="778">
        <f t="shared" si="46"/>
        <v>7385.5</v>
      </c>
      <c r="N126" s="678">
        <v>8549</v>
      </c>
      <c r="O126" s="678"/>
      <c r="P126" s="298" t="s">
        <v>479</v>
      </c>
      <c r="Q126" s="794">
        <v>40723</v>
      </c>
      <c r="R126" s="793"/>
      <c r="S126" s="306">
        <f>L126</f>
        <v>8</v>
      </c>
      <c r="T126" s="822">
        <v>6026</v>
      </c>
      <c r="U126" s="8">
        <f t="shared" si="47"/>
        <v>48208</v>
      </c>
      <c r="V126" s="456"/>
      <c r="W126" s="794"/>
      <c r="X126" s="821"/>
      <c r="Y126" s="821"/>
      <c r="Z126" s="8">
        <f t="shared" si="48"/>
        <v>0</v>
      </c>
    </row>
    <row r="127" spans="1:26">
      <c r="A127" s="777">
        <f t="shared" si="45"/>
        <v>110</v>
      </c>
      <c r="B127" s="298" t="s">
        <v>745</v>
      </c>
      <c r="C127" s="849">
        <f t="shared" si="34"/>
        <v>6124</v>
      </c>
      <c r="D127" s="778">
        <f t="shared" ref="D127:I136" si="53">IF($L$171&lt;&gt;0,D$171/$L$171*$L127,0)</f>
        <v>476.52644826665647</v>
      </c>
      <c r="E127" s="778">
        <f t="shared" si="53"/>
        <v>118.79791007207963</v>
      </c>
      <c r="F127" s="778">
        <f t="shared" si="53"/>
        <v>551.46638190763133</v>
      </c>
      <c r="G127" s="778">
        <f t="shared" si="53"/>
        <v>63.420159414209984</v>
      </c>
      <c r="H127" s="778">
        <f t="shared" si="53"/>
        <v>28.603028107242288</v>
      </c>
      <c r="I127" s="778">
        <f t="shared" si="53"/>
        <v>120.69886732008695</v>
      </c>
      <c r="J127" s="365"/>
      <c r="K127" s="817">
        <f t="shared" si="35"/>
        <v>7484</v>
      </c>
      <c r="L127" s="778">
        <v>1</v>
      </c>
      <c r="M127" s="778">
        <f t="shared" si="46"/>
        <v>7484</v>
      </c>
      <c r="N127" s="678">
        <v>9357</v>
      </c>
      <c r="O127" s="678"/>
      <c r="P127" s="189" t="s">
        <v>385</v>
      </c>
      <c r="Q127" s="794">
        <v>40723</v>
      </c>
      <c r="R127" s="793"/>
      <c r="S127" s="306">
        <f>L127</f>
        <v>1</v>
      </c>
      <c r="T127" s="822">
        <v>6124</v>
      </c>
      <c r="U127" s="8">
        <f t="shared" si="47"/>
        <v>6124</v>
      </c>
      <c r="V127" s="456"/>
      <c r="W127" s="794"/>
      <c r="X127" s="821"/>
      <c r="Y127" s="821"/>
      <c r="Z127" s="8">
        <f t="shared" si="48"/>
        <v>0</v>
      </c>
    </row>
    <row r="128" spans="1:26">
      <c r="A128" s="777">
        <f t="shared" si="45"/>
        <v>111</v>
      </c>
      <c r="B128" s="298" t="s">
        <v>748</v>
      </c>
      <c r="C128" s="849">
        <f t="shared" si="34"/>
        <v>8231</v>
      </c>
      <c r="D128" s="778">
        <f t="shared" si="53"/>
        <v>476.52644826665647</v>
      </c>
      <c r="E128" s="778">
        <f t="shared" si="53"/>
        <v>118.79791007207963</v>
      </c>
      <c r="F128" s="778">
        <f t="shared" si="53"/>
        <v>551.46638190763133</v>
      </c>
      <c r="G128" s="778">
        <f t="shared" si="53"/>
        <v>63.420159414209984</v>
      </c>
      <c r="H128" s="778">
        <f t="shared" si="53"/>
        <v>28.603028107242288</v>
      </c>
      <c r="I128" s="778">
        <f t="shared" si="53"/>
        <v>120.69886732008695</v>
      </c>
      <c r="J128" s="365"/>
      <c r="K128" s="817">
        <f t="shared" si="35"/>
        <v>9591</v>
      </c>
      <c r="L128" s="778">
        <v>1</v>
      </c>
      <c r="M128" s="778">
        <f t="shared" si="46"/>
        <v>9591</v>
      </c>
      <c r="N128" s="678">
        <v>10343</v>
      </c>
      <c r="O128" s="678"/>
      <c r="P128" s="189" t="s">
        <v>496</v>
      </c>
      <c r="Q128" s="794">
        <v>40723</v>
      </c>
      <c r="R128" s="793"/>
      <c r="S128" s="306">
        <f>L128/2</f>
        <v>0.5</v>
      </c>
      <c r="T128" s="822">
        <v>16462</v>
      </c>
      <c r="U128" s="8">
        <f t="shared" si="47"/>
        <v>8231</v>
      </c>
      <c r="V128" s="456"/>
      <c r="W128" s="794"/>
      <c r="X128" s="821"/>
      <c r="Y128" s="821"/>
      <c r="Z128" s="8">
        <f t="shared" si="48"/>
        <v>0</v>
      </c>
    </row>
    <row r="129" spans="1:26">
      <c r="A129" s="777">
        <f t="shared" si="45"/>
        <v>112</v>
      </c>
      <c r="B129" s="298" t="s">
        <v>749</v>
      </c>
      <c r="C129" s="849">
        <f t="shared" si="34"/>
        <v>36780</v>
      </c>
      <c r="D129" s="778">
        <f t="shared" si="53"/>
        <v>1906.1057930666259</v>
      </c>
      <c r="E129" s="778">
        <f t="shared" si="53"/>
        <v>475.19164028831852</v>
      </c>
      <c r="F129" s="778">
        <f t="shared" si="53"/>
        <v>2205.8655276305253</v>
      </c>
      <c r="G129" s="778">
        <f t="shared" si="53"/>
        <v>253.68063765683993</v>
      </c>
      <c r="H129" s="778">
        <f t="shared" si="53"/>
        <v>114.41211242896915</v>
      </c>
      <c r="I129" s="778">
        <f t="shared" si="53"/>
        <v>482.79546928034779</v>
      </c>
      <c r="J129" s="365"/>
      <c r="K129" s="817">
        <f t="shared" si="35"/>
        <v>42218</v>
      </c>
      <c r="L129" s="778">
        <v>4</v>
      </c>
      <c r="M129" s="778">
        <f t="shared" si="46"/>
        <v>10554.5</v>
      </c>
      <c r="N129" s="678">
        <v>12670</v>
      </c>
      <c r="O129" s="678"/>
      <c r="P129" s="189" t="s">
        <v>562</v>
      </c>
      <c r="Q129" s="794">
        <v>40723</v>
      </c>
      <c r="R129" s="793"/>
      <c r="S129" s="306">
        <f>L129/2</f>
        <v>2</v>
      </c>
      <c r="T129" s="822">
        <v>18390</v>
      </c>
      <c r="U129" s="8">
        <f t="shared" si="47"/>
        <v>36780</v>
      </c>
      <c r="V129" s="456"/>
      <c r="W129" s="794"/>
      <c r="X129" s="821"/>
      <c r="Y129" s="821"/>
      <c r="Z129" s="8">
        <f t="shared" si="48"/>
        <v>0</v>
      </c>
    </row>
    <row r="130" spans="1:26">
      <c r="A130" s="777">
        <f t="shared" si="45"/>
        <v>113</v>
      </c>
      <c r="B130" s="298" t="s">
        <v>754</v>
      </c>
      <c r="C130" s="849">
        <f t="shared" si="34"/>
        <v>8231</v>
      </c>
      <c r="D130" s="778">
        <f t="shared" si="53"/>
        <v>476.52644826665647</v>
      </c>
      <c r="E130" s="778">
        <f t="shared" si="53"/>
        <v>118.79791007207963</v>
      </c>
      <c r="F130" s="778">
        <f t="shared" si="53"/>
        <v>551.46638190763133</v>
      </c>
      <c r="G130" s="778">
        <f t="shared" si="53"/>
        <v>63.420159414209984</v>
      </c>
      <c r="H130" s="778">
        <f t="shared" si="53"/>
        <v>28.603028107242288</v>
      </c>
      <c r="I130" s="778">
        <f t="shared" si="53"/>
        <v>120.69886732008695</v>
      </c>
      <c r="J130" s="365"/>
      <c r="K130" s="817">
        <f t="shared" si="35"/>
        <v>9591</v>
      </c>
      <c r="L130" s="778">
        <v>1</v>
      </c>
      <c r="M130" s="778">
        <f t="shared" si="46"/>
        <v>9591</v>
      </c>
      <c r="N130" s="678">
        <v>12305</v>
      </c>
      <c r="O130" s="678"/>
      <c r="P130" s="189" t="s">
        <v>496</v>
      </c>
      <c r="Q130" s="794">
        <v>40723</v>
      </c>
      <c r="R130" s="793"/>
      <c r="S130" s="306">
        <f>L130/2</f>
        <v>0.5</v>
      </c>
      <c r="T130" s="822">
        <v>16462</v>
      </c>
      <c r="U130" s="8">
        <f t="shared" si="47"/>
        <v>8231</v>
      </c>
      <c r="V130" s="456"/>
      <c r="W130" s="794"/>
      <c r="X130" s="821"/>
      <c r="Y130" s="821"/>
      <c r="Z130" s="8">
        <f t="shared" si="48"/>
        <v>0</v>
      </c>
    </row>
    <row r="131" spans="1:26">
      <c r="A131" s="777">
        <f t="shared" si="45"/>
        <v>114</v>
      </c>
      <c r="B131" s="298" t="s">
        <v>930</v>
      </c>
      <c r="C131" s="849">
        <f t="shared" si="34"/>
        <v>8898</v>
      </c>
      <c r="D131" s="778">
        <f t="shared" si="53"/>
        <v>953.05289653331295</v>
      </c>
      <c r="E131" s="778">
        <f t="shared" si="53"/>
        <v>237.59582014415926</v>
      </c>
      <c r="F131" s="778">
        <f t="shared" si="53"/>
        <v>1102.9327638152627</v>
      </c>
      <c r="G131" s="778">
        <f t="shared" si="53"/>
        <v>126.84031882841997</v>
      </c>
      <c r="H131" s="778">
        <f t="shared" si="53"/>
        <v>57.206056214484576</v>
      </c>
      <c r="I131" s="778">
        <f t="shared" si="53"/>
        <v>241.39773464017389</v>
      </c>
      <c r="J131" s="365"/>
      <c r="K131" s="817">
        <f t="shared" si="35"/>
        <v>11617</v>
      </c>
      <c r="L131" s="778">
        <v>2</v>
      </c>
      <c r="M131" s="778">
        <f t="shared" si="46"/>
        <v>5808.5</v>
      </c>
      <c r="N131" s="678">
        <v>6113</v>
      </c>
      <c r="O131" s="678"/>
      <c r="P131" s="189" t="s">
        <v>387</v>
      </c>
      <c r="Q131" s="794">
        <v>40723</v>
      </c>
      <c r="R131" s="793"/>
      <c r="S131" s="306">
        <f>L131</f>
        <v>2</v>
      </c>
      <c r="T131" s="259">
        <v>4449</v>
      </c>
      <c r="U131" s="8">
        <f t="shared" si="47"/>
        <v>8898</v>
      </c>
      <c r="V131" s="456"/>
      <c r="W131" s="794"/>
      <c r="X131" s="821"/>
      <c r="Y131" s="821"/>
      <c r="Z131" s="8">
        <f t="shared" si="48"/>
        <v>0</v>
      </c>
    </row>
    <row r="132" spans="1:26">
      <c r="A132" s="777">
        <f t="shared" si="45"/>
        <v>115</v>
      </c>
      <c r="B132" s="298" t="s">
        <v>931</v>
      </c>
      <c r="C132" s="849">
        <f t="shared" si="34"/>
        <v>18390</v>
      </c>
      <c r="D132" s="778">
        <f t="shared" si="53"/>
        <v>953.05289653331295</v>
      </c>
      <c r="E132" s="778">
        <f t="shared" si="53"/>
        <v>237.59582014415926</v>
      </c>
      <c r="F132" s="778">
        <f t="shared" si="53"/>
        <v>1102.9327638152627</v>
      </c>
      <c r="G132" s="778">
        <f t="shared" si="53"/>
        <v>126.84031882841997</v>
      </c>
      <c r="H132" s="778">
        <f t="shared" si="53"/>
        <v>57.206056214484576</v>
      </c>
      <c r="I132" s="778">
        <f t="shared" si="53"/>
        <v>241.39773464017389</v>
      </c>
      <c r="J132" s="365"/>
      <c r="K132" s="817">
        <f t="shared" si="35"/>
        <v>21109</v>
      </c>
      <c r="L132" s="778">
        <v>2</v>
      </c>
      <c r="M132" s="778">
        <f t="shared" si="46"/>
        <v>10554.5</v>
      </c>
      <c r="N132" s="678">
        <v>12824</v>
      </c>
      <c r="O132" s="678"/>
      <c r="P132" s="189" t="s">
        <v>562</v>
      </c>
      <c r="Q132" s="794">
        <v>40723</v>
      </c>
      <c r="R132" s="793"/>
      <c r="S132" s="306">
        <f>L132/2</f>
        <v>1</v>
      </c>
      <c r="T132" s="822">
        <v>18390</v>
      </c>
      <c r="U132" s="8">
        <f t="shared" si="47"/>
        <v>18390</v>
      </c>
      <c r="V132" s="456"/>
      <c r="W132" s="794"/>
      <c r="X132" s="821"/>
      <c r="Y132" s="821"/>
      <c r="Z132" s="8">
        <f t="shared" si="48"/>
        <v>0</v>
      </c>
    </row>
    <row r="133" spans="1:26">
      <c r="A133" s="777">
        <f t="shared" si="45"/>
        <v>116</v>
      </c>
      <c r="B133" s="298" t="s">
        <v>744</v>
      </c>
      <c r="C133" s="849">
        <f t="shared" si="34"/>
        <v>444092.5</v>
      </c>
      <c r="D133" s="778">
        <f t="shared" si="53"/>
        <v>17631.478585866291</v>
      </c>
      <c r="E133" s="778">
        <f t="shared" si="53"/>
        <v>4395.5226726669462</v>
      </c>
      <c r="F133" s="778">
        <f t="shared" si="53"/>
        <v>20404.256130582358</v>
      </c>
      <c r="G133" s="778">
        <f t="shared" si="53"/>
        <v>2346.5458983257695</v>
      </c>
      <c r="H133" s="778">
        <f t="shared" si="53"/>
        <v>1058.3120399679647</v>
      </c>
      <c r="I133" s="778">
        <f t="shared" si="53"/>
        <v>4465.8580908432168</v>
      </c>
      <c r="J133" s="365"/>
      <c r="K133" s="817">
        <f t="shared" si="35"/>
        <v>494394</v>
      </c>
      <c r="L133" s="778">
        <v>37</v>
      </c>
      <c r="M133" s="778">
        <f t="shared" si="46"/>
        <v>13362</v>
      </c>
      <c r="N133" s="678">
        <v>14591</v>
      </c>
      <c r="O133" s="678"/>
      <c r="P133" s="40" t="s">
        <v>557</v>
      </c>
      <c r="Q133" s="794">
        <v>40723</v>
      </c>
      <c r="R133" s="793"/>
      <c r="S133" s="306">
        <f>L133/2</f>
        <v>18.5</v>
      </c>
      <c r="T133" s="822">
        <v>24005</v>
      </c>
      <c r="U133" s="8">
        <f t="shared" si="47"/>
        <v>444092.5</v>
      </c>
      <c r="V133" s="456"/>
      <c r="W133" s="794"/>
      <c r="X133" s="821"/>
      <c r="Y133" s="821"/>
      <c r="Z133" s="8">
        <f t="shared" si="48"/>
        <v>0</v>
      </c>
    </row>
    <row r="134" spans="1:26">
      <c r="A134" s="827">
        <f t="shared" si="45"/>
        <v>117</v>
      </c>
      <c r="B134" s="299" t="s">
        <v>932</v>
      </c>
      <c r="C134" s="849">
        <f t="shared" si="34"/>
        <v>7177495</v>
      </c>
      <c r="D134" s="545">
        <f t="shared" si="53"/>
        <v>427444.22409519088</v>
      </c>
      <c r="E134" s="545">
        <f t="shared" si="53"/>
        <v>106561.72533465544</v>
      </c>
      <c r="F134" s="545">
        <f t="shared" si="53"/>
        <v>494665.34457114531</v>
      </c>
      <c r="G134" s="545">
        <f t="shared" si="53"/>
        <v>56887.882994546359</v>
      </c>
      <c r="H134" s="545">
        <f t="shared" si="53"/>
        <v>25656.916212196331</v>
      </c>
      <c r="I134" s="545">
        <f t="shared" si="53"/>
        <v>108266.88398611799</v>
      </c>
      <c r="J134" s="545"/>
      <c r="K134" s="817">
        <f t="shared" si="35"/>
        <v>8396978</v>
      </c>
      <c r="L134" s="545">
        <v>897</v>
      </c>
      <c r="M134" s="545">
        <f t="shared" si="46"/>
        <v>9361.1794871794864</v>
      </c>
      <c r="N134" s="678">
        <v>11877</v>
      </c>
      <c r="O134" s="678"/>
      <c r="P134" s="40" t="s">
        <v>557</v>
      </c>
      <c r="Q134" s="794">
        <v>40723</v>
      </c>
      <c r="R134" s="793"/>
      <c r="S134" s="306">
        <f>L134/3</f>
        <v>299</v>
      </c>
      <c r="T134" s="822">
        <v>24005</v>
      </c>
      <c r="U134" s="8">
        <f t="shared" si="47"/>
        <v>7177495</v>
      </c>
      <c r="V134" s="456"/>
      <c r="W134" s="794"/>
      <c r="X134" s="821"/>
      <c r="Y134" s="821"/>
      <c r="Z134" s="8">
        <f t="shared" si="48"/>
        <v>0</v>
      </c>
    </row>
    <row r="135" spans="1:26">
      <c r="A135" s="777">
        <f>IF(B135&lt;&gt;"",A134+1,"")</f>
        <v>118</v>
      </c>
      <c r="B135" s="298" t="s">
        <v>929</v>
      </c>
      <c r="C135" s="849">
        <f t="shared" si="34"/>
        <v>1067760</v>
      </c>
      <c r="D135" s="778">
        <f t="shared" si="53"/>
        <v>436974.753060524</v>
      </c>
      <c r="E135" s="778">
        <f t="shared" si="53"/>
        <v>108937.68353609701</v>
      </c>
      <c r="F135" s="778">
        <f t="shared" si="53"/>
        <v>505694.67220929795</v>
      </c>
      <c r="G135" s="778">
        <f t="shared" si="53"/>
        <v>58156.286182830554</v>
      </c>
      <c r="H135" s="778">
        <f t="shared" si="53"/>
        <v>26228.976774341179</v>
      </c>
      <c r="I135" s="778">
        <f t="shared" si="53"/>
        <v>110680.86133251974</v>
      </c>
      <c r="J135" s="365"/>
      <c r="K135" s="817">
        <f t="shared" si="35"/>
        <v>2314433</v>
      </c>
      <c r="L135" s="778">
        <v>917</v>
      </c>
      <c r="M135" s="778">
        <f t="shared" si="46"/>
        <v>2523.9182115594331</v>
      </c>
      <c r="N135" s="678">
        <v>2866</v>
      </c>
      <c r="O135" s="678"/>
      <c r="P135" s="189" t="s">
        <v>387</v>
      </c>
      <c r="Q135" s="794">
        <v>40723</v>
      </c>
      <c r="R135" s="793"/>
      <c r="S135" s="306">
        <v>240</v>
      </c>
      <c r="T135" s="259">
        <v>4449</v>
      </c>
      <c r="U135" s="8">
        <f t="shared" si="47"/>
        <v>1067760</v>
      </c>
      <c r="V135" s="456"/>
      <c r="W135" s="794"/>
      <c r="X135" s="821"/>
      <c r="Y135" s="821"/>
      <c r="Z135" s="8">
        <f t="shared" si="48"/>
        <v>0</v>
      </c>
    </row>
    <row r="136" spans="1:26">
      <c r="A136" s="777">
        <f t="shared" si="45"/>
        <v>119</v>
      </c>
      <c r="B136" s="298" t="s">
        <v>933</v>
      </c>
      <c r="C136" s="849">
        <f t="shared" ref="C136:C160" si="54">U136</f>
        <v>1018394</v>
      </c>
      <c r="D136" s="778">
        <f t="shared" si="53"/>
        <v>80532.969757064944</v>
      </c>
      <c r="E136" s="778">
        <f t="shared" si="53"/>
        <v>20076.846802181459</v>
      </c>
      <c r="F136" s="778">
        <f t="shared" si="53"/>
        <v>93197.818542389694</v>
      </c>
      <c r="G136" s="778">
        <f t="shared" si="53"/>
        <v>10718.006941001488</v>
      </c>
      <c r="H136" s="778">
        <f t="shared" si="53"/>
        <v>4833.9117501239471</v>
      </c>
      <c r="I136" s="778">
        <f t="shared" si="53"/>
        <v>20398.108577094696</v>
      </c>
      <c r="J136" s="365"/>
      <c r="K136" s="817">
        <f t="shared" ref="K136:K169" si="55">ROUND(SUM(C136:I136),0)</f>
        <v>1248152</v>
      </c>
      <c r="L136" s="778">
        <v>169</v>
      </c>
      <c r="M136" s="778">
        <f t="shared" si="46"/>
        <v>7385.5147928994083</v>
      </c>
      <c r="N136" s="678">
        <v>8678</v>
      </c>
      <c r="O136" s="678"/>
      <c r="P136" s="298" t="s">
        <v>479</v>
      </c>
      <c r="Q136" s="794">
        <v>40723</v>
      </c>
      <c r="R136" s="793"/>
      <c r="S136" s="306">
        <f>L136</f>
        <v>169</v>
      </c>
      <c r="T136" s="822">
        <v>6026</v>
      </c>
      <c r="U136" s="8">
        <f t="shared" si="47"/>
        <v>1018394</v>
      </c>
      <c r="V136" s="456"/>
      <c r="W136" s="794"/>
      <c r="X136" s="821"/>
      <c r="Y136" s="821"/>
      <c r="Z136" s="8">
        <f t="shared" si="48"/>
        <v>0</v>
      </c>
    </row>
    <row r="137" spans="1:26">
      <c r="A137" s="777">
        <f t="shared" ref="A137:A169" si="56">IF(B137&lt;&gt;"",A136+1,"")</f>
        <v>120</v>
      </c>
      <c r="B137" s="298" t="s">
        <v>929</v>
      </c>
      <c r="C137" s="849">
        <f t="shared" si="54"/>
        <v>189082.5</v>
      </c>
      <c r="D137" s="778">
        <f t="shared" ref="D137:I146" si="57">IF($L$171&lt;&gt;0,D$171/$L$171*$L137,0)</f>
        <v>81009.496205331598</v>
      </c>
      <c r="E137" s="778">
        <f t="shared" si="57"/>
        <v>20195.644712253536</v>
      </c>
      <c r="F137" s="778">
        <f t="shared" si="57"/>
        <v>93749.284924297332</v>
      </c>
      <c r="G137" s="778">
        <f t="shared" si="57"/>
        <v>10781.427100415698</v>
      </c>
      <c r="H137" s="778">
        <f t="shared" si="57"/>
        <v>4862.5147782311888</v>
      </c>
      <c r="I137" s="778">
        <f t="shared" si="57"/>
        <v>20518.807444414782</v>
      </c>
      <c r="J137" s="365"/>
      <c r="K137" s="817">
        <f t="shared" si="55"/>
        <v>420200</v>
      </c>
      <c r="L137" s="778">
        <v>170</v>
      </c>
      <c r="M137" s="778">
        <f t="shared" si="46"/>
        <v>2471.7647058823532</v>
      </c>
      <c r="N137" s="678">
        <v>2457</v>
      </c>
      <c r="O137" s="678"/>
      <c r="P137" s="189" t="s">
        <v>387</v>
      </c>
      <c r="Q137" s="794">
        <v>40723</v>
      </c>
      <c r="R137" s="793"/>
      <c r="S137" s="306">
        <f>L137/4</f>
        <v>42.5</v>
      </c>
      <c r="T137" s="259">
        <v>4449</v>
      </c>
      <c r="U137" s="8">
        <f t="shared" si="47"/>
        <v>189082.5</v>
      </c>
      <c r="V137" s="456"/>
      <c r="W137" s="794"/>
      <c r="X137" s="821"/>
      <c r="Y137" s="821"/>
      <c r="Z137" s="8">
        <f t="shared" si="48"/>
        <v>0</v>
      </c>
    </row>
    <row r="138" spans="1:26" ht="13.5" customHeight="1">
      <c r="A138" s="827">
        <f t="shared" si="56"/>
        <v>121</v>
      </c>
      <c r="B138" s="299" t="s">
        <v>742</v>
      </c>
      <c r="C138" s="849">
        <f t="shared" si="54"/>
        <v>7702734</v>
      </c>
      <c r="D138" s="545">
        <f t="shared" si="57"/>
        <v>210624.69013386217</v>
      </c>
      <c r="E138" s="545">
        <f t="shared" si="57"/>
        <v>52508.6762518592</v>
      </c>
      <c r="F138" s="545">
        <f t="shared" si="57"/>
        <v>243748.14080317304</v>
      </c>
      <c r="G138" s="545">
        <f t="shared" si="57"/>
        <v>28031.710461080813</v>
      </c>
      <c r="H138" s="545">
        <f t="shared" si="57"/>
        <v>12642.538423401091</v>
      </c>
      <c r="I138" s="545">
        <f t="shared" si="57"/>
        <v>53348.899355478432</v>
      </c>
      <c r="J138" s="545"/>
      <c r="K138" s="817">
        <f t="shared" si="55"/>
        <v>8303639</v>
      </c>
      <c r="L138" s="545">
        <v>442</v>
      </c>
      <c r="M138" s="545">
        <f t="shared" si="46"/>
        <v>18786.513574660632</v>
      </c>
      <c r="N138" s="678">
        <v>19814</v>
      </c>
      <c r="O138" s="678"/>
      <c r="P138" s="189" t="s">
        <v>490</v>
      </c>
      <c r="Q138" s="794">
        <v>40723</v>
      </c>
      <c r="R138" s="793"/>
      <c r="S138" s="306">
        <v>442</v>
      </c>
      <c r="T138" s="822">
        <v>17427</v>
      </c>
      <c r="U138" s="8">
        <f t="shared" si="47"/>
        <v>7702734</v>
      </c>
      <c r="V138" s="456"/>
      <c r="W138" s="794"/>
      <c r="X138" s="821"/>
      <c r="Y138" s="821"/>
      <c r="Z138" s="8">
        <f t="shared" si="48"/>
        <v>0</v>
      </c>
    </row>
    <row r="139" spans="1:26">
      <c r="A139" s="777">
        <f>IF(B139&lt;&gt;"",A138+1,"")</f>
        <v>122</v>
      </c>
      <c r="B139" s="298" t="s">
        <v>934</v>
      </c>
      <c r="C139" s="849">
        <f t="shared" si="54"/>
        <v>564480</v>
      </c>
      <c r="D139" s="778">
        <f t="shared" si="57"/>
        <v>17154.952137599634</v>
      </c>
      <c r="E139" s="778">
        <f t="shared" si="57"/>
        <v>4276.7247625948667</v>
      </c>
      <c r="F139" s="778">
        <f t="shared" si="57"/>
        <v>19852.789748674728</v>
      </c>
      <c r="G139" s="778">
        <f t="shared" si="57"/>
        <v>2283.1257389115594</v>
      </c>
      <c r="H139" s="778">
        <f t="shared" si="57"/>
        <v>1029.7090118607223</v>
      </c>
      <c r="I139" s="778">
        <f t="shared" si="57"/>
        <v>4345.1592235231301</v>
      </c>
      <c r="J139" s="365"/>
      <c r="K139" s="817">
        <f t="shared" si="55"/>
        <v>613422</v>
      </c>
      <c r="L139" s="778">
        <v>36</v>
      </c>
      <c r="M139" s="778">
        <f t="shared" si="46"/>
        <v>17039.5</v>
      </c>
      <c r="N139" s="678">
        <v>18185</v>
      </c>
      <c r="O139" s="678"/>
      <c r="P139" s="189" t="s">
        <v>614</v>
      </c>
      <c r="Q139" s="794">
        <v>40723</v>
      </c>
      <c r="R139" s="793"/>
      <c r="S139" s="306">
        <v>18</v>
      </c>
      <c r="T139" s="822">
        <v>31360</v>
      </c>
      <c r="U139" s="8">
        <f t="shared" si="47"/>
        <v>564480</v>
      </c>
      <c r="V139" s="456"/>
      <c r="W139" s="794"/>
      <c r="X139" s="821"/>
      <c r="Y139" s="821"/>
      <c r="Z139" s="8">
        <f t="shared" si="48"/>
        <v>0</v>
      </c>
    </row>
    <row r="140" spans="1:26">
      <c r="A140" s="777">
        <f t="shared" si="56"/>
        <v>123</v>
      </c>
      <c r="B140" s="298" t="s">
        <v>929</v>
      </c>
      <c r="C140" s="849">
        <f t="shared" si="54"/>
        <v>100102.5</v>
      </c>
      <c r="D140" s="778">
        <f t="shared" si="57"/>
        <v>42887.380343999081</v>
      </c>
      <c r="E140" s="778">
        <f t="shared" si="57"/>
        <v>10691.811906487166</v>
      </c>
      <c r="F140" s="778">
        <f t="shared" si="57"/>
        <v>49631.974371686818</v>
      </c>
      <c r="G140" s="778">
        <f t="shared" si="57"/>
        <v>5707.8143472788988</v>
      </c>
      <c r="H140" s="778">
        <f t="shared" si="57"/>
        <v>2574.2725296518061</v>
      </c>
      <c r="I140" s="778">
        <f t="shared" si="57"/>
        <v>10862.898058807825</v>
      </c>
      <c r="J140" s="365"/>
      <c r="K140" s="817">
        <f t="shared" si="55"/>
        <v>222459</v>
      </c>
      <c r="L140" s="778">
        <v>90</v>
      </c>
      <c r="M140" s="778">
        <f t="shared" si="46"/>
        <v>2471.7666666666669</v>
      </c>
      <c r="N140" s="678">
        <v>2734</v>
      </c>
      <c r="O140" s="678"/>
      <c r="P140" s="189" t="s">
        <v>387</v>
      </c>
      <c r="Q140" s="794">
        <v>40723</v>
      </c>
      <c r="R140" s="793"/>
      <c r="S140" s="306">
        <f t="shared" ref="S140:S141" si="58">L140/4</f>
        <v>22.5</v>
      </c>
      <c r="T140" s="259">
        <v>4449</v>
      </c>
      <c r="U140" s="8">
        <f t="shared" si="47"/>
        <v>100102.5</v>
      </c>
      <c r="V140" s="456"/>
      <c r="W140" s="794"/>
      <c r="X140" s="821"/>
      <c r="Y140" s="821"/>
      <c r="Z140" s="8">
        <f t="shared" si="48"/>
        <v>0</v>
      </c>
    </row>
    <row r="141" spans="1:26">
      <c r="A141" s="777">
        <f t="shared" si="56"/>
        <v>124</v>
      </c>
      <c r="B141" s="298" t="s">
        <v>929</v>
      </c>
      <c r="C141" s="849">
        <f t="shared" si="54"/>
        <v>182409</v>
      </c>
      <c r="D141" s="778">
        <f t="shared" si="57"/>
        <v>78150.337515731662</v>
      </c>
      <c r="E141" s="778">
        <f t="shared" si="57"/>
        <v>19482.85725182106</v>
      </c>
      <c r="F141" s="778">
        <f t="shared" si="57"/>
        <v>90440.486632851535</v>
      </c>
      <c r="G141" s="778">
        <f t="shared" si="57"/>
        <v>10400.906143930437</v>
      </c>
      <c r="H141" s="778">
        <f t="shared" si="57"/>
        <v>4690.8966095877349</v>
      </c>
      <c r="I141" s="778">
        <f t="shared" si="57"/>
        <v>19794.614240494258</v>
      </c>
      <c r="J141" s="365"/>
      <c r="K141" s="817">
        <f t="shared" si="55"/>
        <v>405369</v>
      </c>
      <c r="L141" s="778">
        <v>164</v>
      </c>
      <c r="M141" s="778">
        <f t="shared" si="46"/>
        <v>2471.7621951219512</v>
      </c>
      <c r="N141" s="678">
        <v>3065</v>
      </c>
      <c r="O141" s="678"/>
      <c r="P141" s="189" t="s">
        <v>387</v>
      </c>
      <c r="Q141" s="794">
        <v>40723</v>
      </c>
      <c r="R141" s="793"/>
      <c r="S141" s="306">
        <f t="shared" si="58"/>
        <v>41</v>
      </c>
      <c r="T141" s="259">
        <v>4449</v>
      </c>
      <c r="U141" s="8">
        <f t="shared" si="47"/>
        <v>182409</v>
      </c>
      <c r="V141" s="456"/>
      <c r="W141" s="794"/>
      <c r="X141" s="821"/>
      <c r="Y141" s="821"/>
      <c r="Z141" s="8">
        <f t="shared" si="48"/>
        <v>0</v>
      </c>
    </row>
    <row r="142" spans="1:26">
      <c r="A142" s="827">
        <f t="shared" si="56"/>
        <v>125</v>
      </c>
      <c r="B142" s="299" t="s">
        <v>743</v>
      </c>
      <c r="C142" s="849">
        <f t="shared" si="54"/>
        <v>10916625</v>
      </c>
      <c r="D142" s="545">
        <f t="shared" si="57"/>
        <v>304500.4004423935</v>
      </c>
      <c r="E142" s="545">
        <f t="shared" si="57"/>
        <v>75911.864536058885</v>
      </c>
      <c r="F142" s="545">
        <f t="shared" si="57"/>
        <v>352387.01803897641</v>
      </c>
      <c r="G142" s="545">
        <f t="shared" si="57"/>
        <v>40525.48186568018</v>
      </c>
      <c r="H142" s="545">
        <f t="shared" si="57"/>
        <v>18277.334960527824</v>
      </c>
      <c r="I142" s="545">
        <f t="shared" si="57"/>
        <v>77126.576217535563</v>
      </c>
      <c r="J142" s="545"/>
      <c r="K142" s="817">
        <f t="shared" si="55"/>
        <v>11785354</v>
      </c>
      <c r="L142" s="545">
        <v>639</v>
      </c>
      <c r="M142" s="545">
        <f t="shared" si="46"/>
        <v>18443.433489827858</v>
      </c>
      <c r="N142" s="678">
        <v>19248</v>
      </c>
      <c r="O142" s="678"/>
      <c r="P142" s="189" t="s">
        <v>489</v>
      </c>
      <c r="Q142" s="794">
        <v>40723</v>
      </c>
      <c r="R142" s="793"/>
      <c r="S142" s="306">
        <v>645</v>
      </c>
      <c r="T142" s="822">
        <v>16925</v>
      </c>
      <c r="U142" s="8">
        <f t="shared" si="47"/>
        <v>10916625</v>
      </c>
      <c r="V142" s="456"/>
      <c r="W142" s="794"/>
      <c r="X142" s="821"/>
      <c r="Y142" s="821"/>
      <c r="Z142" s="8">
        <f t="shared" si="48"/>
        <v>0</v>
      </c>
    </row>
    <row r="143" spans="1:26">
      <c r="A143" s="777">
        <f>IF(B143&lt;&gt;"",A142+1,"")</f>
        <v>126</v>
      </c>
      <c r="B143" s="298" t="s">
        <v>929</v>
      </c>
      <c r="C143" s="849">
        <f t="shared" si="54"/>
        <v>934290</v>
      </c>
      <c r="D143" s="778">
        <f t="shared" si="57"/>
        <v>100070.55413599785</v>
      </c>
      <c r="E143" s="778">
        <f t="shared" si="57"/>
        <v>24947.561115136723</v>
      </c>
      <c r="F143" s="778">
        <f t="shared" si="57"/>
        <v>115807.94020060258</v>
      </c>
      <c r="G143" s="778">
        <f t="shared" si="57"/>
        <v>13318.233476984096</v>
      </c>
      <c r="H143" s="778">
        <f t="shared" si="57"/>
        <v>6006.6359025208803</v>
      </c>
      <c r="I143" s="778">
        <f t="shared" si="57"/>
        <v>25346.762137218258</v>
      </c>
      <c r="J143" s="365"/>
      <c r="K143" s="817">
        <f t="shared" si="55"/>
        <v>1219788</v>
      </c>
      <c r="L143" s="778">
        <v>210</v>
      </c>
      <c r="M143" s="778">
        <f t="shared" si="46"/>
        <v>5808.5142857142855</v>
      </c>
      <c r="N143" s="678">
        <v>6577</v>
      </c>
      <c r="O143" s="678"/>
      <c r="P143" s="189" t="s">
        <v>387</v>
      </c>
      <c r="Q143" s="794">
        <v>40723</v>
      </c>
      <c r="R143" s="793"/>
      <c r="S143" s="306">
        <f>L143</f>
        <v>210</v>
      </c>
      <c r="T143" s="259">
        <v>4449</v>
      </c>
      <c r="U143" s="8">
        <f t="shared" si="47"/>
        <v>934290</v>
      </c>
      <c r="V143" s="456"/>
      <c r="W143" s="794"/>
      <c r="X143" s="821"/>
      <c r="Y143" s="821"/>
      <c r="Z143" s="8">
        <f t="shared" si="48"/>
        <v>0</v>
      </c>
    </row>
    <row r="144" spans="1:26">
      <c r="A144" s="777">
        <f t="shared" si="56"/>
        <v>127</v>
      </c>
      <c r="B144" s="298" t="s">
        <v>929</v>
      </c>
      <c r="C144" s="849">
        <f t="shared" si="54"/>
        <v>938739</v>
      </c>
      <c r="D144" s="778">
        <f t="shared" si="57"/>
        <v>201094.16116852904</v>
      </c>
      <c r="E144" s="778">
        <f t="shared" si="57"/>
        <v>50132.718050417607</v>
      </c>
      <c r="F144" s="778">
        <f t="shared" si="57"/>
        <v>232718.81316502043</v>
      </c>
      <c r="G144" s="778">
        <f t="shared" si="57"/>
        <v>26763.307272796614</v>
      </c>
      <c r="H144" s="778">
        <f t="shared" si="57"/>
        <v>12070.477861256246</v>
      </c>
      <c r="I144" s="778">
        <f t="shared" si="57"/>
        <v>50934.92200907669</v>
      </c>
      <c r="J144" s="365"/>
      <c r="K144" s="817">
        <f t="shared" si="55"/>
        <v>1512453</v>
      </c>
      <c r="L144" s="778">
        <v>422</v>
      </c>
      <c r="M144" s="778">
        <f t="shared" si="46"/>
        <v>3584.0118483412321</v>
      </c>
      <c r="N144" s="678">
        <v>4705</v>
      </c>
      <c r="O144" s="678"/>
      <c r="P144" s="189" t="s">
        <v>387</v>
      </c>
      <c r="Q144" s="794">
        <v>40723</v>
      </c>
      <c r="R144" s="793"/>
      <c r="S144" s="306">
        <f>L144/2</f>
        <v>211</v>
      </c>
      <c r="T144" s="259">
        <v>4449</v>
      </c>
      <c r="U144" s="8">
        <f t="shared" si="47"/>
        <v>938739</v>
      </c>
      <c r="V144" s="456"/>
      <c r="W144" s="794"/>
      <c r="X144" s="821"/>
      <c r="Y144" s="821"/>
      <c r="Z144" s="8">
        <f t="shared" si="48"/>
        <v>0</v>
      </c>
    </row>
    <row r="145" spans="1:26">
      <c r="A145" s="777">
        <f t="shared" si="56"/>
        <v>128</v>
      </c>
      <c r="B145" s="298" t="s">
        <v>741</v>
      </c>
      <c r="C145" s="849">
        <f t="shared" si="54"/>
        <v>3348660</v>
      </c>
      <c r="D145" s="778">
        <f t="shared" si="57"/>
        <v>99594.027687731199</v>
      </c>
      <c r="E145" s="778">
        <f t="shared" si="57"/>
        <v>24828.763205064643</v>
      </c>
      <c r="F145" s="778">
        <f t="shared" si="57"/>
        <v>115256.47381869495</v>
      </c>
      <c r="G145" s="778">
        <f t="shared" si="57"/>
        <v>13254.813317569886</v>
      </c>
      <c r="H145" s="778">
        <f t="shared" si="57"/>
        <v>5978.0328744136386</v>
      </c>
      <c r="I145" s="778">
        <f t="shared" si="57"/>
        <v>25226.063269898172</v>
      </c>
      <c r="J145" s="365"/>
      <c r="K145" s="817">
        <f t="shared" si="55"/>
        <v>3632798</v>
      </c>
      <c r="L145" s="778">
        <v>209</v>
      </c>
      <c r="M145" s="778">
        <f t="shared" si="46"/>
        <v>17381.808612440193</v>
      </c>
      <c r="N145" s="678">
        <v>17330</v>
      </c>
      <c r="O145" s="678"/>
      <c r="P145" s="40" t="s">
        <v>596</v>
      </c>
      <c r="Q145" s="794">
        <v>40723</v>
      </c>
      <c r="R145" s="793"/>
      <c r="S145" s="306">
        <v>210</v>
      </c>
      <c r="T145" s="822">
        <v>15946</v>
      </c>
      <c r="U145" s="8">
        <f t="shared" si="47"/>
        <v>3348660</v>
      </c>
      <c r="V145" s="456"/>
      <c r="W145" s="794"/>
      <c r="X145" s="821"/>
      <c r="Y145" s="821"/>
      <c r="Z145" s="8">
        <f t="shared" si="48"/>
        <v>0</v>
      </c>
    </row>
    <row r="146" spans="1:26">
      <c r="A146" s="777">
        <f t="shared" si="56"/>
        <v>129</v>
      </c>
      <c r="B146" s="298" t="s">
        <v>935</v>
      </c>
      <c r="C146" s="849">
        <f t="shared" si="54"/>
        <v>892976</v>
      </c>
      <c r="D146" s="778">
        <f t="shared" si="57"/>
        <v>26208.954654666108</v>
      </c>
      <c r="E146" s="778">
        <f t="shared" si="57"/>
        <v>6533.8850539643799</v>
      </c>
      <c r="F146" s="778">
        <f t="shared" si="57"/>
        <v>30330.651004919724</v>
      </c>
      <c r="G146" s="778">
        <f t="shared" si="57"/>
        <v>3488.108767781549</v>
      </c>
      <c r="H146" s="778">
        <f t="shared" si="57"/>
        <v>1573.1665458983259</v>
      </c>
      <c r="I146" s="778">
        <f t="shared" si="57"/>
        <v>6638.4377026047823</v>
      </c>
      <c r="J146" s="365"/>
      <c r="K146" s="817">
        <f t="shared" si="55"/>
        <v>967749</v>
      </c>
      <c r="L146" s="778">
        <v>55</v>
      </c>
      <c r="M146" s="778">
        <f t="shared" si="46"/>
        <v>17595.436363636363</v>
      </c>
      <c r="N146" s="678">
        <v>17203</v>
      </c>
      <c r="O146" s="678"/>
      <c r="P146" s="40" t="s">
        <v>596</v>
      </c>
      <c r="Q146" s="794">
        <v>40723</v>
      </c>
      <c r="R146" s="793"/>
      <c r="S146" s="306">
        <v>56</v>
      </c>
      <c r="T146" s="822">
        <v>15946</v>
      </c>
      <c r="U146" s="8">
        <f t="shared" si="47"/>
        <v>892976</v>
      </c>
      <c r="V146" s="456"/>
      <c r="W146" s="794"/>
      <c r="X146" s="821"/>
      <c r="Y146" s="821"/>
      <c r="Z146" s="8">
        <f t="shared" si="48"/>
        <v>0</v>
      </c>
    </row>
    <row r="147" spans="1:26">
      <c r="A147" s="777">
        <f t="shared" si="56"/>
        <v>130</v>
      </c>
      <c r="B147" s="298" t="s">
        <v>936</v>
      </c>
      <c r="C147" s="849">
        <f t="shared" si="54"/>
        <v>480100</v>
      </c>
      <c r="D147" s="778">
        <f t="shared" ref="D147:I156" si="59">IF($L$171&lt;&gt;0,D$171/$L$171*$L147,0)</f>
        <v>19061.057930666258</v>
      </c>
      <c r="E147" s="778">
        <f t="shared" si="59"/>
        <v>4751.9164028831856</v>
      </c>
      <c r="F147" s="778">
        <f t="shared" si="59"/>
        <v>22058.655276305253</v>
      </c>
      <c r="G147" s="778">
        <f t="shared" si="59"/>
        <v>2536.8063765683992</v>
      </c>
      <c r="H147" s="778">
        <f t="shared" si="59"/>
        <v>1144.1211242896916</v>
      </c>
      <c r="I147" s="778">
        <f t="shared" si="59"/>
        <v>4827.9546928034779</v>
      </c>
      <c r="J147" s="365"/>
      <c r="K147" s="817">
        <f t="shared" si="55"/>
        <v>534481</v>
      </c>
      <c r="L147" s="778">
        <v>40</v>
      </c>
      <c r="M147" s="778">
        <f t="shared" si="46"/>
        <v>13362.025</v>
      </c>
      <c r="N147" s="678">
        <v>14435</v>
      </c>
      <c r="O147" s="678"/>
      <c r="P147" s="40" t="s">
        <v>557</v>
      </c>
      <c r="Q147" s="794">
        <v>40723</v>
      </c>
      <c r="R147" s="793"/>
      <c r="S147" s="306">
        <f>L147/2</f>
        <v>20</v>
      </c>
      <c r="T147" s="822">
        <v>24005</v>
      </c>
      <c r="U147" s="8">
        <f t="shared" si="47"/>
        <v>480100</v>
      </c>
      <c r="V147" s="456"/>
      <c r="W147" s="794"/>
      <c r="X147" s="821"/>
      <c r="Y147" s="821"/>
      <c r="Z147" s="8">
        <f t="shared" si="48"/>
        <v>0</v>
      </c>
    </row>
    <row r="148" spans="1:26">
      <c r="A148" s="777">
        <f>IF(B148&lt;&gt;"",A147+1,"")</f>
        <v>131</v>
      </c>
      <c r="B148" s="298" t="s">
        <v>904</v>
      </c>
      <c r="C148" s="849">
        <f t="shared" si="54"/>
        <v>14414</v>
      </c>
      <c r="D148" s="778">
        <f t="shared" si="59"/>
        <v>953.05289653331295</v>
      </c>
      <c r="E148" s="778">
        <f t="shared" si="59"/>
        <v>237.59582014415926</v>
      </c>
      <c r="F148" s="778">
        <f t="shared" si="59"/>
        <v>1102.9327638152627</v>
      </c>
      <c r="G148" s="778">
        <f t="shared" si="59"/>
        <v>126.84031882841997</v>
      </c>
      <c r="H148" s="778">
        <f t="shared" si="59"/>
        <v>57.206056214484576</v>
      </c>
      <c r="I148" s="778">
        <f t="shared" si="59"/>
        <v>241.39773464017389</v>
      </c>
      <c r="J148" s="365"/>
      <c r="K148" s="817">
        <f t="shared" si="55"/>
        <v>17133</v>
      </c>
      <c r="L148" s="778">
        <v>2</v>
      </c>
      <c r="M148" s="778">
        <f t="shared" si="46"/>
        <v>8566.5</v>
      </c>
      <c r="N148" s="678">
        <v>10434</v>
      </c>
      <c r="O148" s="678"/>
      <c r="P148" s="189" t="s">
        <v>635</v>
      </c>
      <c r="Q148" s="794">
        <v>40723</v>
      </c>
      <c r="R148" s="793"/>
      <c r="S148" s="306">
        <f>L148</f>
        <v>2</v>
      </c>
      <c r="T148" s="822">
        <v>7207</v>
      </c>
      <c r="U148" s="8">
        <f t="shared" si="47"/>
        <v>14414</v>
      </c>
      <c r="V148" s="456"/>
      <c r="W148" s="794"/>
      <c r="X148" s="821"/>
      <c r="Y148" s="821"/>
      <c r="Z148" s="8">
        <f t="shared" si="48"/>
        <v>0</v>
      </c>
    </row>
    <row r="149" spans="1:26">
      <c r="A149" s="777">
        <f t="shared" si="56"/>
        <v>132</v>
      </c>
      <c r="B149" s="298" t="s">
        <v>937</v>
      </c>
      <c r="C149" s="849">
        <f t="shared" si="54"/>
        <v>4511010</v>
      </c>
      <c r="D149" s="778">
        <f t="shared" si="59"/>
        <v>98640.974791197892</v>
      </c>
      <c r="E149" s="778">
        <f t="shared" si="59"/>
        <v>24591.167384920485</v>
      </c>
      <c r="F149" s="778">
        <f t="shared" si="59"/>
        <v>114153.54105487968</v>
      </c>
      <c r="G149" s="778">
        <f t="shared" si="59"/>
        <v>13127.972998741467</v>
      </c>
      <c r="H149" s="778">
        <f t="shared" si="59"/>
        <v>5920.8268181991534</v>
      </c>
      <c r="I149" s="778">
        <f t="shared" si="59"/>
        <v>24984.665535257998</v>
      </c>
      <c r="J149" s="365"/>
      <c r="K149" s="817">
        <f t="shared" si="55"/>
        <v>4792429</v>
      </c>
      <c r="L149" s="778">
        <v>207</v>
      </c>
      <c r="M149" s="778">
        <f t="shared" si="46"/>
        <v>23151.830917874395</v>
      </c>
      <c r="N149" s="678">
        <v>24601</v>
      </c>
      <c r="O149" s="678"/>
      <c r="P149" s="189" t="s">
        <v>577</v>
      </c>
      <c r="Q149" s="794">
        <v>40723</v>
      </c>
      <c r="R149" s="793"/>
      <c r="S149" s="306">
        <v>210</v>
      </c>
      <c r="T149" s="822">
        <v>21481</v>
      </c>
      <c r="U149" s="8">
        <f t="shared" si="47"/>
        <v>4511010</v>
      </c>
      <c r="V149" s="456"/>
      <c r="W149" s="794"/>
      <c r="X149" s="821"/>
      <c r="Y149" s="821"/>
      <c r="Z149" s="8">
        <f t="shared" si="48"/>
        <v>0</v>
      </c>
    </row>
    <row r="150" spans="1:26">
      <c r="A150" s="777">
        <f t="shared" si="56"/>
        <v>133</v>
      </c>
      <c r="B150" s="298" t="s">
        <v>929</v>
      </c>
      <c r="C150" s="849">
        <f t="shared" si="54"/>
        <v>1875780</v>
      </c>
      <c r="D150" s="778">
        <f t="shared" si="59"/>
        <v>96734.868998131264</v>
      </c>
      <c r="E150" s="778">
        <f t="shared" si="59"/>
        <v>24115.975744632164</v>
      </c>
      <c r="F150" s="778">
        <f t="shared" si="59"/>
        <v>111947.67552724916</v>
      </c>
      <c r="G150" s="778">
        <f t="shared" si="59"/>
        <v>12874.292361084626</v>
      </c>
      <c r="H150" s="778">
        <f t="shared" si="59"/>
        <v>5806.4147057701848</v>
      </c>
      <c r="I150" s="778">
        <f t="shared" si="59"/>
        <v>24501.870065977651</v>
      </c>
      <c r="J150" s="365"/>
      <c r="K150" s="817">
        <f t="shared" si="55"/>
        <v>2151761</v>
      </c>
      <c r="L150" s="778">
        <v>203</v>
      </c>
      <c r="M150" s="778">
        <f t="shared" si="46"/>
        <v>10599.807881773399</v>
      </c>
      <c r="N150" s="678">
        <v>12255</v>
      </c>
      <c r="O150" s="678"/>
      <c r="P150" s="189" t="s">
        <v>562</v>
      </c>
      <c r="Q150" s="794">
        <v>40723</v>
      </c>
      <c r="R150" s="793"/>
      <c r="S150" s="306">
        <v>102</v>
      </c>
      <c r="T150" s="822">
        <v>18390</v>
      </c>
      <c r="U150" s="8">
        <f t="shared" si="47"/>
        <v>1875780</v>
      </c>
      <c r="V150" s="456"/>
      <c r="W150" s="794"/>
      <c r="X150" s="821"/>
      <c r="Y150" s="821"/>
      <c r="Z150" s="8">
        <f t="shared" si="48"/>
        <v>0</v>
      </c>
    </row>
    <row r="151" spans="1:26">
      <c r="A151" s="777">
        <f t="shared" si="56"/>
        <v>134</v>
      </c>
      <c r="B151" s="298" t="s">
        <v>938</v>
      </c>
      <c r="C151" s="849">
        <f t="shared" si="54"/>
        <v>156843</v>
      </c>
      <c r="D151" s="778">
        <f t="shared" si="59"/>
        <v>4288.7380343999084</v>
      </c>
      <c r="E151" s="778">
        <f t="shared" si="59"/>
        <v>1069.1811906487167</v>
      </c>
      <c r="F151" s="778">
        <f t="shared" si="59"/>
        <v>4963.197437168682</v>
      </c>
      <c r="G151" s="778">
        <f t="shared" si="59"/>
        <v>570.78143472788986</v>
      </c>
      <c r="H151" s="778">
        <f t="shared" si="59"/>
        <v>257.42725296518057</v>
      </c>
      <c r="I151" s="778">
        <f t="shared" si="59"/>
        <v>1086.2898058807825</v>
      </c>
      <c r="J151" s="365"/>
      <c r="K151" s="817">
        <f t="shared" si="55"/>
        <v>169079</v>
      </c>
      <c r="L151" s="778">
        <v>9</v>
      </c>
      <c r="M151" s="778">
        <f t="shared" si="46"/>
        <v>18786.555555555555</v>
      </c>
      <c r="N151" s="678">
        <v>19640</v>
      </c>
      <c r="O151" s="678"/>
      <c r="P151" s="189" t="s">
        <v>490</v>
      </c>
      <c r="Q151" s="794">
        <v>40723</v>
      </c>
      <c r="R151" s="793"/>
      <c r="S151" s="306">
        <v>9</v>
      </c>
      <c r="T151" s="822">
        <v>17427</v>
      </c>
      <c r="U151" s="8">
        <f t="shared" si="47"/>
        <v>156843</v>
      </c>
      <c r="V151" s="456"/>
      <c r="W151" s="794"/>
      <c r="X151" s="821"/>
      <c r="Y151" s="821"/>
      <c r="Z151" s="8">
        <f t="shared" si="48"/>
        <v>0</v>
      </c>
    </row>
    <row r="152" spans="1:26">
      <c r="A152" s="777">
        <f t="shared" si="56"/>
        <v>135</v>
      </c>
      <c r="B152" s="298" t="s">
        <v>752</v>
      </c>
      <c r="C152" s="849">
        <f t="shared" si="54"/>
        <v>14079</v>
      </c>
      <c r="D152" s="778">
        <f t="shared" si="59"/>
        <v>476.52644826665647</v>
      </c>
      <c r="E152" s="778">
        <f t="shared" si="59"/>
        <v>118.79791007207963</v>
      </c>
      <c r="F152" s="778">
        <f t="shared" si="59"/>
        <v>551.46638190763133</v>
      </c>
      <c r="G152" s="778">
        <f t="shared" si="59"/>
        <v>63.420159414209984</v>
      </c>
      <c r="H152" s="778">
        <f t="shared" si="59"/>
        <v>28.603028107242288</v>
      </c>
      <c r="I152" s="778">
        <f t="shared" si="59"/>
        <v>120.69886732008695</v>
      </c>
      <c r="J152" s="365"/>
      <c r="K152" s="817">
        <f t="shared" si="55"/>
        <v>15439</v>
      </c>
      <c r="L152" s="778">
        <v>1</v>
      </c>
      <c r="M152" s="778">
        <f t="shared" si="46"/>
        <v>15439</v>
      </c>
      <c r="N152" s="678">
        <v>16417</v>
      </c>
      <c r="O152" s="678"/>
      <c r="P152" s="298" t="s">
        <v>381</v>
      </c>
      <c r="Q152" s="794">
        <v>40723</v>
      </c>
      <c r="R152" s="793"/>
      <c r="S152" s="306">
        <f>L152</f>
        <v>1</v>
      </c>
      <c r="T152" s="822">
        <v>14079</v>
      </c>
      <c r="U152" s="8">
        <f t="shared" si="47"/>
        <v>14079</v>
      </c>
      <c r="V152" s="456"/>
      <c r="W152" s="794"/>
      <c r="X152" s="821"/>
      <c r="Y152" s="821"/>
      <c r="Z152" s="8">
        <f t="shared" si="48"/>
        <v>0</v>
      </c>
    </row>
    <row r="153" spans="1:26">
      <c r="A153" s="777">
        <f t="shared" si="56"/>
        <v>136</v>
      </c>
      <c r="B153" s="298" t="s">
        <v>939</v>
      </c>
      <c r="C153" s="849">
        <f t="shared" si="54"/>
        <v>53349</v>
      </c>
      <c r="D153" s="778">
        <f t="shared" si="59"/>
        <v>1429.5793447999695</v>
      </c>
      <c r="E153" s="778">
        <f t="shared" si="59"/>
        <v>356.39373021623891</v>
      </c>
      <c r="F153" s="778">
        <f t="shared" si="59"/>
        <v>1654.399145722894</v>
      </c>
      <c r="G153" s="778">
        <f t="shared" si="59"/>
        <v>190.26047824262994</v>
      </c>
      <c r="H153" s="778">
        <f t="shared" si="59"/>
        <v>85.809084321726857</v>
      </c>
      <c r="I153" s="778">
        <f t="shared" si="59"/>
        <v>362.09660196026084</v>
      </c>
      <c r="J153" s="365"/>
      <c r="K153" s="817">
        <f t="shared" si="55"/>
        <v>57428</v>
      </c>
      <c r="L153" s="778">
        <v>3</v>
      </c>
      <c r="M153" s="778">
        <f t="shared" si="46"/>
        <v>19142.666666666668</v>
      </c>
      <c r="N153" s="678">
        <v>20389</v>
      </c>
      <c r="O153" s="678"/>
      <c r="P153" s="189" t="s">
        <v>583</v>
      </c>
      <c r="Q153" s="794">
        <v>40723</v>
      </c>
      <c r="R153" s="793"/>
      <c r="S153" s="306">
        <v>1.5</v>
      </c>
      <c r="T153" s="822">
        <v>35566</v>
      </c>
      <c r="U153" s="8">
        <f t="shared" si="47"/>
        <v>53349</v>
      </c>
      <c r="V153" s="456"/>
      <c r="W153" s="794"/>
      <c r="X153" s="821"/>
      <c r="Y153" s="821"/>
      <c r="Z153" s="8">
        <f t="shared" si="48"/>
        <v>0</v>
      </c>
    </row>
    <row r="154" spans="1:26">
      <c r="A154" s="777">
        <f t="shared" si="56"/>
        <v>137</v>
      </c>
      <c r="B154" s="298" t="s">
        <v>751</v>
      </c>
      <c r="C154" s="849">
        <f t="shared" si="54"/>
        <v>132027.5</v>
      </c>
      <c r="D154" s="778">
        <f t="shared" si="59"/>
        <v>5241.7909309332208</v>
      </c>
      <c r="E154" s="778">
        <f t="shared" si="59"/>
        <v>1306.7770107928759</v>
      </c>
      <c r="F154" s="778">
        <f t="shared" si="59"/>
        <v>6066.1302009839446</v>
      </c>
      <c r="G154" s="778">
        <f t="shared" si="59"/>
        <v>697.62175355630984</v>
      </c>
      <c r="H154" s="778">
        <f t="shared" si="59"/>
        <v>314.63330917966516</v>
      </c>
      <c r="I154" s="778">
        <f t="shared" si="59"/>
        <v>1327.6875405209564</v>
      </c>
      <c r="J154" s="365"/>
      <c r="K154" s="817">
        <f t="shared" si="55"/>
        <v>146982</v>
      </c>
      <c r="L154" s="778">
        <v>11</v>
      </c>
      <c r="M154" s="778">
        <f t="shared" si="46"/>
        <v>13362</v>
      </c>
      <c r="N154" s="678">
        <v>14129</v>
      </c>
      <c r="O154" s="678"/>
      <c r="P154" s="40" t="s">
        <v>557</v>
      </c>
      <c r="Q154" s="794">
        <v>40723</v>
      </c>
      <c r="R154" s="793"/>
      <c r="S154" s="306">
        <f>L154/2</f>
        <v>5.5</v>
      </c>
      <c r="T154" s="822">
        <v>24005</v>
      </c>
      <c r="U154" s="8">
        <f t="shared" si="47"/>
        <v>132027.5</v>
      </c>
      <c r="V154" s="456"/>
      <c r="W154" s="794"/>
      <c r="X154" s="821"/>
      <c r="Y154" s="821"/>
      <c r="Z154" s="8">
        <f t="shared" si="48"/>
        <v>0</v>
      </c>
    </row>
    <row r="155" spans="1:26">
      <c r="A155" s="777">
        <f t="shared" si="56"/>
        <v>138</v>
      </c>
      <c r="B155" s="298" t="s">
        <v>903</v>
      </c>
      <c r="C155" s="849">
        <f t="shared" si="54"/>
        <v>187382</v>
      </c>
      <c r="D155" s="778">
        <f t="shared" si="59"/>
        <v>12389.687654933068</v>
      </c>
      <c r="E155" s="778">
        <f t="shared" si="59"/>
        <v>3088.7456618740703</v>
      </c>
      <c r="F155" s="778">
        <f t="shared" si="59"/>
        <v>14338.125929598415</v>
      </c>
      <c r="G155" s="778">
        <f t="shared" si="59"/>
        <v>1648.9241447694596</v>
      </c>
      <c r="H155" s="778">
        <f t="shared" si="59"/>
        <v>743.6787307882995</v>
      </c>
      <c r="I155" s="778">
        <f t="shared" si="59"/>
        <v>3138.1705503222606</v>
      </c>
      <c r="J155" s="365"/>
      <c r="K155" s="817">
        <f t="shared" si="55"/>
        <v>222729</v>
      </c>
      <c r="L155" s="778">
        <v>26</v>
      </c>
      <c r="M155" s="778">
        <f t="shared" si="46"/>
        <v>8566.5</v>
      </c>
      <c r="N155" s="678">
        <v>10433</v>
      </c>
      <c r="O155" s="678"/>
      <c r="P155" s="189" t="s">
        <v>635</v>
      </c>
      <c r="Q155" s="794">
        <v>40723</v>
      </c>
      <c r="R155" s="793"/>
      <c r="S155" s="306">
        <f>L155</f>
        <v>26</v>
      </c>
      <c r="T155" s="822">
        <v>7207</v>
      </c>
      <c r="U155" s="8">
        <f t="shared" si="47"/>
        <v>187382</v>
      </c>
      <c r="V155" s="456"/>
      <c r="W155" s="794"/>
      <c r="X155" s="821"/>
      <c r="Y155" s="821"/>
      <c r="Z155" s="8">
        <f t="shared" si="48"/>
        <v>0</v>
      </c>
    </row>
    <row r="156" spans="1:26">
      <c r="A156" s="777">
        <f t="shared" si="56"/>
        <v>139</v>
      </c>
      <c r="B156" s="298" t="s">
        <v>940</v>
      </c>
      <c r="C156" s="849">
        <f t="shared" si="54"/>
        <v>333200</v>
      </c>
      <c r="D156" s="778">
        <f t="shared" si="59"/>
        <v>9530.5289653331292</v>
      </c>
      <c r="E156" s="778">
        <f t="shared" si="59"/>
        <v>2375.9582014415928</v>
      </c>
      <c r="F156" s="778">
        <f t="shared" si="59"/>
        <v>11029.327638152627</v>
      </c>
      <c r="G156" s="778">
        <f t="shared" si="59"/>
        <v>1268.4031882841996</v>
      </c>
      <c r="H156" s="778">
        <f t="shared" si="59"/>
        <v>572.06056214484579</v>
      </c>
      <c r="I156" s="778">
        <f t="shared" si="59"/>
        <v>2413.9773464017389</v>
      </c>
      <c r="J156" s="365"/>
      <c r="K156" s="817">
        <f t="shared" si="55"/>
        <v>360390</v>
      </c>
      <c r="L156" s="778">
        <v>20</v>
      </c>
      <c r="M156" s="778">
        <f t="shared" si="46"/>
        <v>18019.5</v>
      </c>
      <c r="N156" s="678">
        <v>19208</v>
      </c>
      <c r="O156" s="678"/>
      <c r="P156" s="40" t="s">
        <v>595</v>
      </c>
      <c r="Q156" s="794">
        <v>40723</v>
      </c>
      <c r="R156" s="793"/>
      <c r="S156" s="306">
        <v>20</v>
      </c>
      <c r="T156" s="822">
        <v>16660</v>
      </c>
      <c r="U156" s="8">
        <f t="shared" si="47"/>
        <v>333200</v>
      </c>
      <c r="V156" s="456"/>
      <c r="W156" s="794"/>
      <c r="X156" s="821"/>
      <c r="Y156" s="821"/>
      <c r="Z156" s="8">
        <f t="shared" si="48"/>
        <v>0</v>
      </c>
    </row>
    <row r="157" spans="1:26">
      <c r="A157" s="777">
        <f t="shared" si="56"/>
        <v>140</v>
      </c>
      <c r="B157" s="298" t="s">
        <v>941</v>
      </c>
      <c r="C157" s="849">
        <f t="shared" si="54"/>
        <v>1129632</v>
      </c>
      <c r="D157" s="778">
        <f t="shared" ref="D157:I169" si="60">IF($L$171&lt;&gt;0,D$171/$L$171*$L157,0)</f>
        <v>29068.113344266047</v>
      </c>
      <c r="E157" s="778">
        <f t="shared" si="60"/>
        <v>7246.6725143968579</v>
      </c>
      <c r="F157" s="778">
        <f t="shared" si="60"/>
        <v>33639.449296365514</v>
      </c>
      <c r="G157" s="778">
        <f t="shared" si="60"/>
        <v>3868.6297242668088</v>
      </c>
      <c r="H157" s="778">
        <f t="shared" si="60"/>
        <v>1744.7847145417795</v>
      </c>
      <c r="I157" s="778">
        <f t="shared" si="60"/>
        <v>7362.6309065253035</v>
      </c>
      <c r="J157" s="365"/>
      <c r="K157" s="817">
        <f t="shared" si="55"/>
        <v>1212562</v>
      </c>
      <c r="L157" s="778">
        <v>61</v>
      </c>
      <c r="M157" s="778">
        <f t="shared" ref="M157:M169" si="61">IF(L157&lt;&gt;"",K157/L157,"")</f>
        <v>19878.065573770491</v>
      </c>
      <c r="N157" s="678">
        <v>21962</v>
      </c>
      <c r="O157" s="678"/>
      <c r="P157" s="40" t="s">
        <v>591</v>
      </c>
      <c r="Q157" s="794">
        <v>40723</v>
      </c>
      <c r="R157" s="793"/>
      <c r="S157" s="306">
        <v>32</v>
      </c>
      <c r="T157" s="822">
        <v>35301</v>
      </c>
      <c r="U157" s="8">
        <f t="shared" ref="U157:U169" si="62">S157*T157</f>
        <v>1129632</v>
      </c>
      <c r="V157" s="456"/>
      <c r="W157" s="794"/>
      <c r="X157" s="821"/>
      <c r="Y157" s="821"/>
      <c r="Z157" s="8">
        <f t="shared" ref="Z157:Z169" si="63">X157*Y157</f>
        <v>0</v>
      </c>
    </row>
    <row r="158" spans="1:26">
      <c r="A158" s="777">
        <f t="shared" si="56"/>
        <v>141</v>
      </c>
      <c r="B158" s="298" t="s">
        <v>756</v>
      </c>
      <c r="C158" s="849">
        <f t="shared" si="54"/>
        <v>155715</v>
      </c>
      <c r="D158" s="778">
        <f t="shared" si="60"/>
        <v>66713.702757331906</v>
      </c>
      <c r="E158" s="778">
        <f t="shared" si="60"/>
        <v>16631.707410091149</v>
      </c>
      <c r="F158" s="778">
        <f t="shared" si="60"/>
        <v>77205.29346706839</v>
      </c>
      <c r="G158" s="778">
        <f t="shared" si="60"/>
        <v>8878.8223179893976</v>
      </c>
      <c r="H158" s="778">
        <f t="shared" si="60"/>
        <v>4004.4239350139205</v>
      </c>
      <c r="I158" s="778">
        <f t="shared" si="60"/>
        <v>16897.841424812173</v>
      </c>
      <c r="J158" s="365"/>
      <c r="K158" s="817">
        <f t="shared" si="55"/>
        <v>346047</v>
      </c>
      <c r="L158" s="778">
        <v>140</v>
      </c>
      <c r="M158" s="778">
        <f t="shared" si="61"/>
        <v>2471.7642857142855</v>
      </c>
      <c r="N158" s="678">
        <v>3065</v>
      </c>
      <c r="O158" s="678"/>
      <c r="P158" s="189" t="s">
        <v>387</v>
      </c>
      <c r="Q158" s="794">
        <v>40723</v>
      </c>
      <c r="R158" s="793"/>
      <c r="S158" s="306">
        <f>L158/4</f>
        <v>35</v>
      </c>
      <c r="T158" s="259">
        <v>4449</v>
      </c>
      <c r="U158" s="8">
        <f t="shared" si="62"/>
        <v>155715</v>
      </c>
      <c r="V158" s="456"/>
      <c r="W158" s="794"/>
      <c r="X158" s="821"/>
      <c r="Y158" s="821"/>
      <c r="Z158" s="8">
        <f t="shared" si="63"/>
        <v>0</v>
      </c>
    </row>
    <row r="159" spans="1:26">
      <c r="A159" s="777">
        <f t="shared" si="56"/>
        <v>142</v>
      </c>
      <c r="B159" s="298" t="s">
        <v>934</v>
      </c>
      <c r="C159" s="849">
        <f t="shared" si="54"/>
        <v>632800</v>
      </c>
      <c r="D159" s="778">
        <f t="shared" si="60"/>
        <v>19061.057930666258</v>
      </c>
      <c r="E159" s="778">
        <f t="shared" si="60"/>
        <v>4751.9164028831856</v>
      </c>
      <c r="F159" s="778">
        <f t="shared" si="60"/>
        <v>22058.655276305253</v>
      </c>
      <c r="G159" s="778">
        <f t="shared" si="60"/>
        <v>2536.8063765683992</v>
      </c>
      <c r="H159" s="778">
        <f t="shared" si="60"/>
        <v>1144.1211242896916</v>
      </c>
      <c r="I159" s="778">
        <f t="shared" si="60"/>
        <v>4827.9546928034779</v>
      </c>
      <c r="J159" s="365"/>
      <c r="K159" s="817">
        <f t="shared" si="55"/>
        <v>687181</v>
      </c>
      <c r="L159" s="778">
        <v>40</v>
      </c>
      <c r="M159" s="778">
        <f t="shared" si="61"/>
        <v>17179.525000000001</v>
      </c>
      <c r="N159" s="678">
        <v>18185</v>
      </c>
      <c r="O159" s="678"/>
      <c r="P159" s="189" t="s">
        <v>621</v>
      </c>
      <c r="Q159" s="794">
        <v>40723</v>
      </c>
      <c r="R159" s="793"/>
      <c r="S159" s="306">
        <v>20</v>
      </c>
      <c r="T159" s="822">
        <v>31640</v>
      </c>
      <c r="U159" s="8">
        <f t="shared" si="62"/>
        <v>632800</v>
      </c>
      <c r="V159" s="456"/>
      <c r="W159" s="794"/>
      <c r="X159" s="821"/>
      <c r="Y159" s="821"/>
      <c r="Z159" s="8">
        <f t="shared" si="63"/>
        <v>0</v>
      </c>
    </row>
    <row r="160" spans="1:26">
      <c r="A160" s="827">
        <f t="shared" si="56"/>
        <v>143</v>
      </c>
      <c r="B160" s="299" t="s">
        <v>744</v>
      </c>
      <c r="C160" s="849">
        <f t="shared" si="54"/>
        <v>1152240</v>
      </c>
      <c r="D160" s="545">
        <f t="shared" si="60"/>
        <v>45270.012585332363</v>
      </c>
      <c r="E160" s="545">
        <f t="shared" si="60"/>
        <v>11285.801456847565</v>
      </c>
      <c r="F160" s="545">
        <f t="shared" si="60"/>
        <v>52389.306281224977</v>
      </c>
      <c r="G160" s="545">
        <f t="shared" si="60"/>
        <v>6024.9151443499486</v>
      </c>
      <c r="H160" s="545">
        <f t="shared" si="60"/>
        <v>2717.2876701880173</v>
      </c>
      <c r="I160" s="545">
        <f t="shared" si="60"/>
        <v>11466.39239540826</v>
      </c>
      <c r="J160" s="545"/>
      <c r="K160" s="817">
        <f t="shared" si="55"/>
        <v>1281394</v>
      </c>
      <c r="L160" s="545">
        <v>95</v>
      </c>
      <c r="M160" s="545">
        <f t="shared" si="61"/>
        <v>13488.357894736842</v>
      </c>
      <c r="N160" s="678">
        <v>14591</v>
      </c>
      <c r="O160" s="678"/>
      <c r="P160" s="40" t="s">
        <v>557</v>
      </c>
      <c r="Q160" s="794">
        <v>40723</v>
      </c>
      <c r="R160" s="793"/>
      <c r="S160" s="306">
        <v>48</v>
      </c>
      <c r="T160" s="822">
        <v>24005</v>
      </c>
      <c r="U160" s="8">
        <f t="shared" si="62"/>
        <v>1152240</v>
      </c>
      <c r="V160" s="456"/>
      <c r="W160" s="794"/>
      <c r="X160" s="821"/>
      <c r="Y160" s="821"/>
      <c r="Z160" s="8">
        <f t="shared" si="63"/>
        <v>0</v>
      </c>
    </row>
    <row r="161" spans="1:26">
      <c r="A161" s="777">
        <f>IF(B161&lt;&gt;"",A160+1,"")</f>
        <v>144</v>
      </c>
      <c r="B161" s="298" t="s">
        <v>907</v>
      </c>
      <c r="C161" s="25">
        <f t="shared" ref="C161:C165" si="64">U161</f>
        <v>9184000</v>
      </c>
      <c r="D161" s="778">
        <f t="shared" si="60"/>
        <v>953052.89653331297</v>
      </c>
      <c r="E161" s="778">
        <f t="shared" si="60"/>
        <v>237595.82014415925</v>
      </c>
      <c r="F161" s="778">
        <f t="shared" si="60"/>
        <v>1102932.7638152626</v>
      </c>
      <c r="G161" s="778">
        <f t="shared" si="60"/>
        <v>126840.31882841997</v>
      </c>
      <c r="H161" s="778">
        <f t="shared" si="60"/>
        <v>57206.056214484575</v>
      </c>
      <c r="I161" s="778">
        <f t="shared" si="60"/>
        <v>241397.73464017391</v>
      </c>
      <c r="J161" s="365"/>
      <c r="K161" s="817">
        <f t="shared" si="55"/>
        <v>11903026</v>
      </c>
      <c r="L161" s="778">
        <v>2000</v>
      </c>
      <c r="M161" s="778">
        <f t="shared" si="61"/>
        <v>5951.5129999999999</v>
      </c>
      <c r="N161" s="678">
        <v>7229</v>
      </c>
      <c r="O161" s="678"/>
      <c r="P161" s="189" t="s">
        <v>478</v>
      </c>
      <c r="Q161" s="794">
        <v>40723</v>
      </c>
      <c r="R161" s="793"/>
      <c r="S161" s="306">
        <f>L161</f>
        <v>2000</v>
      </c>
      <c r="T161" s="822">
        <v>4592</v>
      </c>
      <c r="U161" s="8">
        <f t="shared" si="62"/>
        <v>9184000</v>
      </c>
      <c r="V161" s="456"/>
      <c r="W161" s="794"/>
      <c r="X161" s="821"/>
      <c r="Y161" s="821"/>
      <c r="Z161" s="8">
        <f t="shared" si="63"/>
        <v>0</v>
      </c>
    </row>
    <row r="162" spans="1:26">
      <c r="A162" s="827">
        <f t="shared" si="56"/>
        <v>145</v>
      </c>
      <c r="B162" s="299" t="s">
        <v>942</v>
      </c>
      <c r="C162" s="25">
        <f t="shared" si="64"/>
        <v>3672765</v>
      </c>
      <c r="D162" s="545">
        <f t="shared" si="60"/>
        <v>145817.09316959689</v>
      </c>
      <c r="E162" s="545">
        <f t="shared" si="60"/>
        <v>36352.160482056366</v>
      </c>
      <c r="F162" s="545">
        <f t="shared" si="60"/>
        <v>168748.71286373519</v>
      </c>
      <c r="G162" s="545">
        <f t="shared" si="60"/>
        <v>19406.568780748254</v>
      </c>
      <c r="H162" s="545">
        <f t="shared" si="60"/>
        <v>8752.5266008161398</v>
      </c>
      <c r="I162" s="545">
        <f t="shared" si="60"/>
        <v>36933.853399946609</v>
      </c>
      <c r="J162" s="545"/>
      <c r="K162" s="817">
        <f t="shared" si="55"/>
        <v>4088776</v>
      </c>
      <c r="L162" s="545">
        <v>306</v>
      </c>
      <c r="M162" s="545">
        <f t="shared" si="61"/>
        <v>13362.013071895424</v>
      </c>
      <c r="N162" s="678">
        <v>14330</v>
      </c>
      <c r="O162" s="678"/>
      <c r="P162" s="40" t="s">
        <v>557</v>
      </c>
      <c r="Q162" s="794">
        <v>40723</v>
      </c>
      <c r="R162" s="793"/>
      <c r="S162" s="306">
        <f>L162/2</f>
        <v>153</v>
      </c>
      <c r="T162" s="822">
        <v>24005</v>
      </c>
      <c r="U162" s="8">
        <f t="shared" si="62"/>
        <v>3672765</v>
      </c>
      <c r="V162" s="456"/>
      <c r="W162" s="794"/>
      <c r="X162" s="821"/>
      <c r="Y162" s="821"/>
      <c r="Z162" s="8">
        <f t="shared" si="63"/>
        <v>0</v>
      </c>
    </row>
    <row r="163" spans="1:26">
      <c r="A163" s="777">
        <f>IF(B163&lt;&gt;"",A162+1,"")</f>
        <v>146</v>
      </c>
      <c r="B163" s="298" t="s">
        <v>829</v>
      </c>
      <c r="C163" s="25">
        <f t="shared" si="64"/>
        <v>2394484</v>
      </c>
      <c r="D163" s="778">
        <f t="shared" si="60"/>
        <v>186321.84127226268</v>
      </c>
      <c r="E163" s="778">
        <f t="shared" si="60"/>
        <v>46449.982838183132</v>
      </c>
      <c r="F163" s="778">
        <f t="shared" si="60"/>
        <v>215623.35532588384</v>
      </c>
      <c r="G163" s="778">
        <f t="shared" si="60"/>
        <v>24797.282330956103</v>
      </c>
      <c r="H163" s="778">
        <f t="shared" si="60"/>
        <v>11183.783989931735</v>
      </c>
      <c r="I163" s="778">
        <f t="shared" si="60"/>
        <v>47193.257122153998</v>
      </c>
      <c r="J163" s="365"/>
      <c r="K163" s="817">
        <f t="shared" si="55"/>
        <v>2926054</v>
      </c>
      <c r="L163" s="778">
        <v>391</v>
      </c>
      <c r="M163" s="778">
        <f t="shared" si="61"/>
        <v>7483.5140664961637</v>
      </c>
      <c r="N163" s="678">
        <v>9760</v>
      </c>
      <c r="O163" s="678"/>
      <c r="P163" s="189" t="s">
        <v>385</v>
      </c>
      <c r="Q163" s="794">
        <v>40723</v>
      </c>
      <c r="R163" s="793"/>
      <c r="S163" s="306">
        <f>L163</f>
        <v>391</v>
      </c>
      <c r="T163" s="822">
        <v>6124</v>
      </c>
      <c r="U163" s="8">
        <f t="shared" si="62"/>
        <v>2394484</v>
      </c>
      <c r="V163" s="456"/>
      <c r="W163" s="794"/>
      <c r="X163" s="821"/>
      <c r="Y163" s="821"/>
      <c r="Z163" s="8">
        <f t="shared" si="63"/>
        <v>0</v>
      </c>
    </row>
    <row r="164" spans="1:26">
      <c r="A164" s="777">
        <f t="shared" si="56"/>
        <v>147</v>
      </c>
      <c r="B164" s="298" t="s">
        <v>822</v>
      </c>
      <c r="C164" s="25">
        <f t="shared" si="64"/>
        <v>1789722</v>
      </c>
      <c r="D164" s="778">
        <f t="shared" si="60"/>
        <v>141528.35513519697</v>
      </c>
      <c r="E164" s="778">
        <f t="shared" si="60"/>
        <v>35282.979291407653</v>
      </c>
      <c r="F164" s="778">
        <f t="shared" si="60"/>
        <v>163785.5154265665</v>
      </c>
      <c r="G164" s="778">
        <f t="shared" si="60"/>
        <v>18835.787346020366</v>
      </c>
      <c r="H164" s="778">
        <f t="shared" si="60"/>
        <v>8495.099347850959</v>
      </c>
      <c r="I164" s="778">
        <f t="shared" si="60"/>
        <v>35847.563594065825</v>
      </c>
      <c r="J164" s="365"/>
      <c r="K164" s="817">
        <f t="shared" si="55"/>
        <v>2193497</v>
      </c>
      <c r="L164" s="778">
        <v>297</v>
      </c>
      <c r="M164" s="778">
        <f t="shared" si="61"/>
        <v>7385.5117845117848</v>
      </c>
      <c r="N164" s="678">
        <v>7500</v>
      </c>
      <c r="O164" s="678"/>
      <c r="P164" s="298" t="s">
        <v>479</v>
      </c>
      <c r="Q164" s="794">
        <v>40723</v>
      </c>
      <c r="R164" s="793"/>
      <c r="S164" s="306">
        <f>L164</f>
        <v>297</v>
      </c>
      <c r="T164" s="822">
        <v>6026</v>
      </c>
      <c r="U164" s="8">
        <f t="shared" si="62"/>
        <v>1789722</v>
      </c>
      <c r="V164" s="456"/>
      <c r="W164" s="794"/>
      <c r="X164" s="821"/>
      <c r="Y164" s="821"/>
      <c r="Z164" s="8">
        <f t="shared" si="63"/>
        <v>0</v>
      </c>
    </row>
    <row r="165" spans="1:26">
      <c r="A165" s="777">
        <f t="shared" si="56"/>
        <v>148</v>
      </c>
      <c r="B165" s="298" t="s">
        <v>944</v>
      </c>
      <c r="C165" s="25">
        <f t="shared" si="64"/>
        <v>608626</v>
      </c>
      <c r="D165" s="778">
        <f t="shared" si="60"/>
        <v>48129.171274932305</v>
      </c>
      <c r="E165" s="778">
        <f t="shared" si="60"/>
        <v>11998.588917280043</v>
      </c>
      <c r="F165" s="778">
        <f t="shared" si="60"/>
        <v>55698.104572670767</v>
      </c>
      <c r="G165" s="778">
        <f t="shared" si="60"/>
        <v>6405.436100835208</v>
      </c>
      <c r="H165" s="778">
        <f t="shared" si="60"/>
        <v>2888.9058388314711</v>
      </c>
      <c r="I165" s="778">
        <f t="shared" si="60"/>
        <v>12190.585599328782</v>
      </c>
      <c r="J165" s="365"/>
      <c r="K165" s="817">
        <f t="shared" si="55"/>
        <v>745937</v>
      </c>
      <c r="L165" s="778">
        <v>101</v>
      </c>
      <c r="M165" s="778">
        <f t="shared" si="61"/>
        <v>7385.5148514851489</v>
      </c>
      <c r="N165" s="678">
        <v>8800</v>
      </c>
      <c r="O165" s="678"/>
      <c r="P165" s="298" t="s">
        <v>479</v>
      </c>
      <c r="Q165" s="794">
        <v>40723</v>
      </c>
      <c r="R165" s="793"/>
      <c r="S165" s="306">
        <f>L165</f>
        <v>101</v>
      </c>
      <c r="T165" s="822">
        <v>6026</v>
      </c>
      <c r="U165" s="8">
        <f t="shared" si="62"/>
        <v>608626</v>
      </c>
      <c r="V165" s="456"/>
      <c r="W165" s="794"/>
      <c r="X165" s="821"/>
      <c r="Y165" s="821"/>
      <c r="Z165" s="8">
        <f t="shared" si="63"/>
        <v>0</v>
      </c>
    </row>
    <row r="166" spans="1:26">
      <c r="A166" s="777">
        <f t="shared" si="56"/>
        <v>149</v>
      </c>
      <c r="B166" s="298" t="s">
        <v>943</v>
      </c>
      <c r="C166" s="25">
        <f t="shared" ref="C166:C169" si="65">U166</f>
        <v>620678</v>
      </c>
      <c r="D166" s="778">
        <f t="shared" si="60"/>
        <v>49082.224171465619</v>
      </c>
      <c r="E166" s="778">
        <f t="shared" si="60"/>
        <v>12236.184737424202</v>
      </c>
      <c r="F166" s="778">
        <f t="shared" si="60"/>
        <v>56801.037336486028</v>
      </c>
      <c r="G166" s="778">
        <f t="shared" si="60"/>
        <v>6532.2764196636281</v>
      </c>
      <c r="H166" s="778">
        <f t="shared" si="60"/>
        <v>2946.1118950459559</v>
      </c>
      <c r="I166" s="778">
        <f t="shared" si="60"/>
        <v>12431.983333968956</v>
      </c>
      <c r="J166" s="365"/>
      <c r="K166" s="817">
        <f t="shared" si="55"/>
        <v>760708</v>
      </c>
      <c r="L166" s="778">
        <v>103</v>
      </c>
      <c r="M166" s="778">
        <f t="shared" si="61"/>
        <v>7385.5145631067962</v>
      </c>
      <c r="N166" s="678">
        <v>7630</v>
      </c>
      <c r="O166" s="678"/>
      <c r="P166" s="298" t="s">
        <v>479</v>
      </c>
      <c r="Q166" s="794">
        <v>40723</v>
      </c>
      <c r="R166" s="793"/>
      <c r="S166" s="306">
        <f>L166</f>
        <v>103</v>
      </c>
      <c r="T166" s="822">
        <v>6026</v>
      </c>
      <c r="U166" s="8">
        <f t="shared" si="62"/>
        <v>620678</v>
      </c>
      <c r="V166" s="456"/>
      <c r="W166" s="794"/>
      <c r="X166" s="821"/>
      <c r="Y166" s="821"/>
      <c r="Z166" s="8">
        <f t="shared" si="63"/>
        <v>0</v>
      </c>
    </row>
    <row r="167" spans="1:26">
      <c r="A167" s="777">
        <f t="shared" si="56"/>
        <v>150</v>
      </c>
      <c r="B167" s="298" t="s">
        <v>819</v>
      </c>
      <c r="C167" s="25">
        <f t="shared" si="65"/>
        <v>1653190</v>
      </c>
      <c r="D167" s="778">
        <f t="shared" si="60"/>
        <v>51941.382861065555</v>
      </c>
      <c r="E167" s="778">
        <f t="shared" si="60"/>
        <v>12948.972197856679</v>
      </c>
      <c r="F167" s="778">
        <f t="shared" si="60"/>
        <v>60109.835627931818</v>
      </c>
      <c r="G167" s="778">
        <f t="shared" si="60"/>
        <v>6912.7973761488884</v>
      </c>
      <c r="H167" s="778">
        <f t="shared" si="60"/>
        <v>3117.7300636894092</v>
      </c>
      <c r="I167" s="778">
        <f t="shared" si="60"/>
        <v>13156.176537889478</v>
      </c>
      <c r="J167" s="365"/>
      <c r="K167" s="817">
        <f t="shared" si="55"/>
        <v>1801377</v>
      </c>
      <c r="L167" s="778">
        <v>109</v>
      </c>
      <c r="M167" s="778">
        <f t="shared" si="61"/>
        <v>16526.394495412846</v>
      </c>
      <c r="N167" s="678">
        <v>18940</v>
      </c>
      <c r="O167" s="678"/>
      <c r="P167" s="40" t="s">
        <v>616</v>
      </c>
      <c r="Q167" s="794">
        <v>40723</v>
      </c>
      <c r="R167" s="793"/>
      <c r="S167" s="306">
        <v>55</v>
      </c>
      <c r="T167" s="822">
        <v>30058</v>
      </c>
      <c r="U167" s="8">
        <f t="shared" si="62"/>
        <v>1653190</v>
      </c>
      <c r="V167" s="456"/>
      <c r="W167" s="794"/>
      <c r="X167" s="821"/>
      <c r="Y167" s="821"/>
      <c r="Z167" s="8">
        <f t="shared" si="63"/>
        <v>0</v>
      </c>
    </row>
    <row r="168" spans="1:26">
      <c r="A168" s="777">
        <f t="shared" si="56"/>
        <v>151</v>
      </c>
      <c r="B168" s="298" t="s">
        <v>945</v>
      </c>
      <c r="C168" s="25">
        <f t="shared" si="65"/>
        <v>2104544</v>
      </c>
      <c r="D168" s="778">
        <f t="shared" si="60"/>
        <v>49558.750619732273</v>
      </c>
      <c r="E168" s="778">
        <f t="shared" si="60"/>
        <v>12354.982647496281</v>
      </c>
      <c r="F168" s="778">
        <f t="shared" si="60"/>
        <v>57352.503718393658</v>
      </c>
      <c r="G168" s="778">
        <f t="shared" si="60"/>
        <v>6595.6965790778386</v>
      </c>
      <c r="H168" s="778">
        <f t="shared" si="60"/>
        <v>2974.714923153198</v>
      </c>
      <c r="I168" s="778">
        <f t="shared" si="60"/>
        <v>12552.682201289042</v>
      </c>
      <c r="J168" s="365"/>
      <c r="K168" s="817">
        <f t="shared" si="55"/>
        <v>2245933</v>
      </c>
      <c r="L168" s="778">
        <v>104</v>
      </c>
      <c r="M168" s="778">
        <f t="shared" si="61"/>
        <v>21595.509615384617</v>
      </c>
      <c r="N168" s="678">
        <v>23100</v>
      </c>
      <c r="O168" s="678"/>
      <c r="P168" s="189" t="s">
        <v>572</v>
      </c>
      <c r="Q168" s="794">
        <v>40723</v>
      </c>
      <c r="R168" s="793"/>
      <c r="S168" s="845">
        <v>104</v>
      </c>
      <c r="T168" s="294">
        <v>20236</v>
      </c>
      <c r="U168" s="8">
        <f t="shared" si="62"/>
        <v>2104544</v>
      </c>
      <c r="V168" s="456"/>
      <c r="W168" s="794"/>
      <c r="X168" s="821"/>
      <c r="Y168" s="821"/>
      <c r="Z168" s="8">
        <f t="shared" si="63"/>
        <v>0</v>
      </c>
    </row>
    <row r="169" spans="1:26">
      <c r="A169" s="777">
        <f t="shared" si="56"/>
        <v>152</v>
      </c>
      <c r="B169" s="298" t="s">
        <v>907</v>
      </c>
      <c r="C169" s="25">
        <f t="shared" si="65"/>
        <v>4688228</v>
      </c>
      <c r="D169" s="778">
        <f t="shared" si="60"/>
        <v>370737.57675145875</v>
      </c>
      <c r="E169" s="778">
        <f t="shared" si="60"/>
        <v>92424.774036077957</v>
      </c>
      <c r="F169" s="778">
        <f t="shared" si="60"/>
        <v>429040.84512413718</v>
      </c>
      <c r="G169" s="778">
        <f t="shared" si="60"/>
        <v>49340.884024255371</v>
      </c>
      <c r="H169" s="778">
        <f t="shared" si="60"/>
        <v>22253.1558674345</v>
      </c>
      <c r="I169" s="778">
        <f t="shared" si="60"/>
        <v>93903.71877502765</v>
      </c>
      <c r="J169" s="365"/>
      <c r="K169" s="817">
        <f t="shared" si="55"/>
        <v>5745929</v>
      </c>
      <c r="L169" s="778">
        <v>778</v>
      </c>
      <c r="M169" s="778">
        <f t="shared" si="61"/>
        <v>7385.5128534704372</v>
      </c>
      <c r="N169" s="678">
        <v>7229</v>
      </c>
      <c r="O169" s="678"/>
      <c r="P169" s="298" t="s">
        <v>479</v>
      </c>
      <c r="Q169" s="794">
        <v>40724</v>
      </c>
      <c r="R169" s="793"/>
      <c r="S169" s="306">
        <f>L169</f>
        <v>778</v>
      </c>
      <c r="T169" s="822">
        <v>6026</v>
      </c>
      <c r="U169" s="8">
        <f t="shared" si="62"/>
        <v>4688228</v>
      </c>
      <c r="V169" s="456"/>
      <c r="W169" s="794"/>
      <c r="X169" s="821"/>
      <c r="Y169" s="821"/>
      <c r="Z169" s="8">
        <f t="shared" si="63"/>
        <v>0</v>
      </c>
    </row>
    <row r="170" spans="1:26" s="795" customFormat="1">
      <c r="A170" s="777"/>
      <c r="B170" s="803"/>
      <c r="C170" s="804"/>
      <c r="D170" s="805"/>
      <c r="E170" s="806"/>
      <c r="F170" s="806"/>
      <c r="G170" s="305"/>
      <c r="H170" s="806"/>
      <c r="I170" s="480"/>
      <c r="J170" s="460"/>
      <c r="K170" s="805"/>
      <c r="L170" s="808"/>
      <c r="M170" s="806"/>
      <c r="N170" s="678"/>
      <c r="O170" s="678"/>
      <c r="P170" s="456"/>
      <c r="Q170" s="794"/>
      <c r="R170" s="793"/>
      <c r="S170" s="853"/>
      <c r="T170" s="822"/>
      <c r="U170" s="25"/>
      <c r="V170" s="456"/>
      <c r="W170" s="794"/>
      <c r="X170" s="822"/>
      <c r="Y170" s="822"/>
      <c r="Z170" s="809"/>
    </row>
    <row r="171" spans="1:26" s="774" customFormat="1">
      <c r="A171" s="779"/>
      <c r="B171" s="780" t="s">
        <v>243</v>
      </c>
      <c r="C171" s="546">
        <f>SUM(C7:C170)</f>
        <v>259568928</v>
      </c>
      <c r="D171" s="546">
        <v>12495000</v>
      </c>
      <c r="E171" s="546">
        <f>$Z$171</f>
        <v>3115000</v>
      </c>
      <c r="F171" s="546">
        <v>14460000</v>
      </c>
      <c r="G171" s="546">
        <v>1662940</v>
      </c>
      <c r="H171" s="546">
        <v>750000</v>
      </c>
      <c r="I171" s="546">
        <v>3164845</v>
      </c>
      <c r="J171" s="457">
        <f>ROUND(SUM(J7:J170),0)</f>
        <v>0</v>
      </c>
      <c r="K171" s="546">
        <f>ROUND(SUM(K7:K170),0)</f>
        <v>295216715</v>
      </c>
      <c r="L171" s="546">
        <f>ROUND(SUM(L7:L170),0)</f>
        <v>26221</v>
      </c>
      <c r="M171" s="546"/>
      <c r="N171" s="788"/>
      <c r="O171" s="788"/>
      <c r="P171" s="796"/>
      <c r="Q171" s="797"/>
      <c r="R171" s="798"/>
      <c r="S171" s="846"/>
      <c r="T171" s="27"/>
      <c r="U171" s="47">
        <f>SUM(U7:U170)</f>
        <v>259568928</v>
      </c>
      <c r="V171" s="796"/>
      <c r="W171" s="797"/>
      <c r="X171" s="810"/>
      <c r="Y171" s="27"/>
      <c r="Z171" s="47">
        <f>SUM(Z7:Z170)</f>
        <v>3115000</v>
      </c>
    </row>
    <row r="172" spans="1:26" s="774" customFormat="1">
      <c r="A172" s="781"/>
      <c r="B172" s="782"/>
      <c r="C172" s="775"/>
      <c r="D172" s="775"/>
      <c r="E172" s="775"/>
      <c r="F172" s="775"/>
      <c r="G172" s="775"/>
      <c r="H172" s="775"/>
      <c r="I172" s="775"/>
      <c r="J172" s="458"/>
      <c r="K172" s="775">
        <v>324946305</v>
      </c>
      <c r="L172" s="775"/>
      <c r="M172" s="775"/>
      <c r="N172" s="788"/>
      <c r="O172" s="788"/>
      <c r="P172" s="459"/>
      <c r="Q172" s="799"/>
      <c r="R172" s="800"/>
      <c r="S172" s="843"/>
      <c r="T172" s="791"/>
      <c r="U172" s="801"/>
      <c r="V172" s="459"/>
      <c r="W172" s="799"/>
      <c r="X172" s="791"/>
      <c r="Y172" s="791"/>
      <c r="Z172" s="811"/>
    </row>
    <row r="173" spans="1:26" s="774" customFormat="1">
      <c r="A173" s="781"/>
      <c r="B173" s="782"/>
      <c r="C173" s="775"/>
      <c r="D173" s="775"/>
      <c r="E173" s="775"/>
      <c r="F173" s="775"/>
      <c r="G173" s="775"/>
      <c r="H173" s="775"/>
      <c r="I173" s="775"/>
      <c r="J173" s="458"/>
      <c r="K173" s="775"/>
      <c r="L173" s="775"/>
      <c r="M173" s="775"/>
      <c r="N173" s="788"/>
      <c r="O173" s="788"/>
      <c r="P173" s="459"/>
      <c r="Q173" s="799"/>
      <c r="R173" s="800"/>
      <c r="S173" s="843"/>
      <c r="T173" s="791"/>
      <c r="U173" s="801"/>
      <c r="V173" s="459"/>
      <c r="W173" s="799"/>
      <c r="X173" s="791"/>
      <c r="Y173" s="791"/>
      <c r="Z173" s="811"/>
    </row>
    <row r="174" spans="1:26" s="774" customFormat="1">
      <c r="A174" s="781"/>
      <c r="B174" s="782"/>
      <c r="C174" s="775"/>
      <c r="D174" s="775"/>
      <c r="E174" s="775"/>
      <c r="F174" s="775"/>
      <c r="G174" s="775"/>
      <c r="H174" s="775"/>
      <c r="I174" s="775"/>
      <c r="J174" s="458"/>
      <c r="K174" s="775">
        <f>K172-K171</f>
        <v>29729590</v>
      </c>
      <c r="L174" s="775"/>
      <c r="M174" s="775"/>
      <c r="N174" s="788"/>
      <c r="O174" s="788"/>
      <c r="P174" s="771"/>
      <c r="Q174" s="799"/>
      <c r="R174" s="800"/>
      <c r="S174" s="843"/>
      <c r="T174" s="791"/>
      <c r="U174" s="811"/>
      <c r="V174" s="459"/>
      <c r="W174" s="799"/>
      <c r="X174" s="791"/>
      <c r="Y174" s="791"/>
      <c r="Z174" s="811"/>
    </row>
    <row r="175" spans="1:26" s="774" customFormat="1">
      <c r="A175" s="781"/>
      <c r="B175" s="782"/>
      <c r="C175" s="775"/>
      <c r="D175" s="775"/>
      <c r="E175" s="775"/>
      <c r="F175" s="775"/>
      <c r="G175" s="775"/>
      <c r="H175" s="775"/>
      <c r="I175" s="775"/>
      <c r="J175" s="458"/>
      <c r="K175" s="775"/>
      <c r="L175" s="775"/>
      <c r="M175" s="775"/>
      <c r="N175" s="788"/>
      <c r="O175" s="788"/>
      <c r="P175" s="771"/>
      <c r="Q175" s="799"/>
      <c r="R175" s="800"/>
      <c r="S175" s="843"/>
      <c r="T175" s="791"/>
      <c r="U175" s="811"/>
      <c r="V175" s="459"/>
      <c r="W175" s="799"/>
      <c r="X175" s="791"/>
      <c r="Y175" s="791"/>
      <c r="Z175" s="811"/>
    </row>
    <row r="176" spans="1:26">
      <c r="P176" s="459"/>
      <c r="Q176" s="799"/>
      <c r="R176" s="800"/>
      <c r="S176" s="843"/>
      <c r="T176" s="791"/>
      <c r="U176" s="801"/>
      <c r="V176" s="459"/>
      <c r="W176" s="799"/>
      <c r="X176" s="791"/>
      <c r="Y176" s="791"/>
      <c r="Z176" s="811"/>
    </row>
    <row r="177" spans="1:26">
      <c r="P177" s="459"/>
      <c r="Q177" s="799"/>
      <c r="R177" s="800"/>
      <c r="S177" s="843"/>
      <c r="T177" s="791"/>
      <c r="U177" s="801"/>
      <c r="V177" s="459"/>
      <c r="W177" s="799"/>
      <c r="X177" s="791"/>
      <c r="Y177" s="791"/>
      <c r="Z177" s="811"/>
    </row>
    <row r="178" spans="1:26">
      <c r="P178" s="459"/>
      <c r="Q178" s="799"/>
      <c r="R178" s="800"/>
      <c r="S178" s="843"/>
      <c r="T178" s="791"/>
      <c r="U178" s="801"/>
      <c r="V178" s="459"/>
      <c r="W178" s="799"/>
      <c r="X178" s="791"/>
      <c r="Y178" s="791"/>
      <c r="Z178" s="811"/>
    </row>
    <row r="179" spans="1:26">
      <c r="P179" s="459"/>
      <c r="Q179" s="799"/>
      <c r="R179" s="800"/>
      <c r="S179" s="843"/>
      <c r="T179" s="791"/>
      <c r="U179" s="801"/>
      <c r="V179" s="459"/>
      <c r="W179" s="799"/>
      <c r="X179" s="791"/>
      <c r="Y179" s="791"/>
      <c r="Z179" s="811"/>
    </row>
    <row r="180" spans="1:26">
      <c r="P180" s="459"/>
      <c r="Q180" s="799"/>
      <c r="R180" s="800"/>
      <c r="S180" s="843"/>
      <c r="T180" s="791"/>
      <c r="U180" s="801"/>
      <c r="V180" s="459"/>
      <c r="W180" s="799"/>
      <c r="X180" s="791"/>
      <c r="Y180" s="791"/>
      <c r="Z180" s="811"/>
    </row>
    <row r="181" spans="1:26" ht="18" customHeight="1">
      <c r="A181" s="584" t="str">
        <f>TH!$A$1</f>
        <v>Đơn vị: CÔNG TY TNHH SX TM KIM DUNG PHÁT</v>
      </c>
      <c r="B181" s="774"/>
      <c r="C181" s="294"/>
      <c r="D181" s="294"/>
      <c r="E181" s="294"/>
      <c r="F181" s="294"/>
      <c r="G181" s="294"/>
      <c r="H181" s="294"/>
      <c r="I181" s="294"/>
      <c r="J181" s="444"/>
      <c r="K181" s="294"/>
      <c r="L181" s="612"/>
      <c r="M181" s="294"/>
      <c r="N181" s="788"/>
      <c r="O181" s="788"/>
      <c r="P181" s="459"/>
      <c r="Q181" s="799"/>
      <c r="R181" s="800"/>
      <c r="S181" s="843"/>
      <c r="T181" s="791"/>
      <c r="U181" s="801"/>
      <c r="V181" s="459"/>
      <c r="W181" s="799"/>
      <c r="X181" s="791"/>
      <c r="Y181" s="791"/>
      <c r="Z181" s="811"/>
    </row>
    <row r="182" spans="1:26" ht="18.75" customHeight="1">
      <c r="A182" s="775" t="s">
        <v>773</v>
      </c>
      <c r="B182" s="775"/>
      <c r="C182" s="775"/>
      <c r="D182" s="775"/>
      <c r="E182" s="775"/>
      <c r="F182" s="775"/>
      <c r="G182" s="775"/>
      <c r="H182" s="775"/>
      <c r="I182" s="775"/>
      <c r="J182" s="445"/>
      <c r="K182" s="775"/>
      <c r="L182" s="775"/>
      <c r="M182" s="775"/>
      <c r="N182" s="788"/>
      <c r="O182" s="788"/>
      <c r="P182" s="459"/>
      <c r="Q182" s="799"/>
      <c r="R182" s="800"/>
      <c r="S182" s="843"/>
      <c r="T182" s="791"/>
      <c r="U182" s="801"/>
      <c r="V182" s="459"/>
      <c r="W182" s="799"/>
      <c r="X182" s="791"/>
      <c r="Y182" s="791"/>
      <c r="Z182" s="811"/>
    </row>
    <row r="183" spans="1:26" ht="12.75" hidden="1" customHeight="1">
      <c r="A183" s="826"/>
      <c r="B183" s="819"/>
      <c r="C183" s="819"/>
      <c r="D183" s="819"/>
      <c r="E183" s="819"/>
      <c r="F183" s="819"/>
      <c r="G183" s="819"/>
      <c r="H183" s="819"/>
      <c r="I183" s="819"/>
      <c r="J183" s="447"/>
      <c r="K183" s="819"/>
      <c r="L183" s="790"/>
      <c r="M183" s="819"/>
      <c r="N183" s="788"/>
      <c r="O183" s="788"/>
      <c r="P183" s="459"/>
      <c r="Q183" s="799"/>
      <c r="R183" s="800"/>
      <c r="S183" s="843"/>
      <c r="T183" s="791"/>
      <c r="U183" s="801"/>
      <c r="V183" s="459"/>
      <c r="W183" s="799"/>
      <c r="X183" s="791"/>
      <c r="Y183" s="791"/>
      <c r="Z183" s="783"/>
    </row>
    <row r="184" spans="1:26" s="453" customFormat="1" ht="30.75" customHeight="1">
      <c r="A184" s="851" t="s">
        <v>34</v>
      </c>
      <c r="B184" s="448" t="s">
        <v>232</v>
      </c>
      <c r="C184" s="449" t="s">
        <v>235</v>
      </c>
      <c r="D184" s="449" t="s">
        <v>786</v>
      </c>
      <c r="E184" s="449" t="s">
        <v>236</v>
      </c>
      <c r="F184" s="449" t="s">
        <v>771</v>
      </c>
      <c r="G184" s="449" t="s">
        <v>237</v>
      </c>
      <c r="H184" s="450" t="s">
        <v>238</v>
      </c>
      <c r="I184" s="449" t="s">
        <v>770</v>
      </c>
      <c r="J184" s="450" t="s">
        <v>239</v>
      </c>
      <c r="K184" s="449" t="s">
        <v>240</v>
      </c>
      <c r="L184" s="451" t="s">
        <v>233</v>
      </c>
      <c r="M184" s="449" t="s">
        <v>241</v>
      </c>
      <c r="N184" s="452"/>
      <c r="O184" s="452"/>
      <c r="P184" s="448" t="s">
        <v>232</v>
      </c>
      <c r="Q184" s="449" t="s">
        <v>226</v>
      </c>
      <c r="R184" s="768"/>
      <c r="S184" s="841" t="s">
        <v>191</v>
      </c>
      <c r="T184" s="449" t="s">
        <v>234</v>
      </c>
      <c r="U184" s="449" t="s">
        <v>242</v>
      </c>
      <c r="V184" s="448" t="s">
        <v>232</v>
      </c>
      <c r="W184" s="449" t="s">
        <v>226</v>
      </c>
      <c r="X184" s="449" t="s">
        <v>191</v>
      </c>
      <c r="Y184" s="449" t="s">
        <v>234</v>
      </c>
      <c r="Z184" s="448" t="s">
        <v>242</v>
      </c>
    </row>
    <row r="185" spans="1:26" ht="13.5" customHeight="1">
      <c r="A185" s="777">
        <f>IF(B185&lt;&gt;"",ROW()-(ROW()-1),"")</f>
        <v>1</v>
      </c>
      <c r="B185" s="298" t="s">
        <v>985</v>
      </c>
      <c r="C185" s="25">
        <f>U185</f>
        <v>747224</v>
      </c>
      <c r="D185" s="778">
        <f t="shared" ref="D185:I194" si="66">IF($L$339&lt;&gt;0,D$339/$L$339*$L185,0)</f>
        <v>89944.470152707087</v>
      </c>
      <c r="E185" s="778">
        <f t="shared" si="66"/>
        <v>23726.834798704305</v>
      </c>
      <c r="F185" s="778">
        <f t="shared" si="66"/>
        <v>50356.035631652012</v>
      </c>
      <c r="G185" s="778">
        <f t="shared" si="66"/>
        <v>9149.9490976399811</v>
      </c>
      <c r="H185" s="778">
        <f t="shared" si="66"/>
        <v>87266.697516581829</v>
      </c>
      <c r="I185" s="778">
        <f t="shared" si="66"/>
        <v>15133.455961746105</v>
      </c>
      <c r="J185" s="365"/>
      <c r="K185" s="25">
        <f>SUM(C185:I185)+1</f>
        <v>1022802.4431590312</v>
      </c>
      <c r="L185" s="778">
        <v>124</v>
      </c>
      <c r="M185" s="778">
        <f>IF(L185&lt;&gt;"",K185/L185,"")</f>
        <v>8248.4067996696067</v>
      </c>
      <c r="N185" s="678">
        <v>10748</v>
      </c>
      <c r="O185" s="678"/>
      <c r="P185" s="298" t="s">
        <v>479</v>
      </c>
      <c r="Q185" s="792">
        <v>40739</v>
      </c>
      <c r="R185" s="793"/>
      <c r="S185" s="306">
        <f>L185</f>
        <v>124</v>
      </c>
      <c r="T185" s="822">
        <v>6026</v>
      </c>
      <c r="U185" s="25">
        <f t="shared" ref="U185:U186" si="67">ROUND(S185*T185,0)</f>
        <v>747224</v>
      </c>
      <c r="V185" s="454" t="s">
        <v>388</v>
      </c>
      <c r="W185" s="794">
        <v>40725</v>
      </c>
      <c r="X185" s="822">
        <v>50</v>
      </c>
      <c r="Y185" s="812">
        <v>23500</v>
      </c>
      <c r="Z185" s="25">
        <f t="shared" ref="Z185:Z338" si="68">ROUND(X185*Y185,0)</f>
        <v>1175000</v>
      </c>
    </row>
    <row r="186" spans="1:26" ht="13.5" customHeight="1">
      <c r="A186" s="777">
        <f>IF(B186&lt;&gt;"",A185+1,"")</f>
        <v>2</v>
      </c>
      <c r="B186" s="298" t="s">
        <v>986</v>
      </c>
      <c r="C186" s="25">
        <f t="shared" ref="C186:C232" si="69">U186</f>
        <v>10949708</v>
      </c>
      <c r="D186" s="778">
        <f t="shared" si="66"/>
        <v>937163.35030078678</v>
      </c>
      <c r="E186" s="778">
        <f t="shared" si="66"/>
        <v>247218.31096714485</v>
      </c>
      <c r="F186" s="778">
        <f t="shared" si="66"/>
        <v>524677.40351689036</v>
      </c>
      <c r="G186" s="778">
        <f t="shared" si="66"/>
        <v>95336.56640444239</v>
      </c>
      <c r="H186" s="778">
        <f t="shared" si="66"/>
        <v>909262.68702761072</v>
      </c>
      <c r="I186" s="778">
        <f t="shared" si="66"/>
        <v>157680.84760141908</v>
      </c>
      <c r="J186" s="365"/>
      <c r="K186" s="25">
        <f t="shared" ref="K186:K194" si="70">SUM(C186:I186)+1</f>
        <v>13821048.165818296</v>
      </c>
      <c r="L186" s="778">
        <v>1292</v>
      </c>
      <c r="M186" s="778">
        <f t="shared" ref="M186:M189" si="71">IF(L186&lt;&gt;"",K186/L186,"")</f>
        <v>10697.405701097752</v>
      </c>
      <c r="N186" s="678">
        <v>14010</v>
      </c>
      <c r="O186" s="678"/>
      <c r="P186" s="40" t="s">
        <v>610</v>
      </c>
      <c r="Q186" s="794">
        <v>40739</v>
      </c>
      <c r="R186" s="793"/>
      <c r="S186" s="306">
        <v>487</v>
      </c>
      <c r="T186" s="822">
        <v>22484</v>
      </c>
      <c r="U186" s="25">
        <f t="shared" si="67"/>
        <v>10949708</v>
      </c>
      <c r="V186" s="454" t="s">
        <v>388</v>
      </c>
      <c r="W186" s="794">
        <v>40745</v>
      </c>
      <c r="X186" s="822">
        <v>50</v>
      </c>
      <c r="Y186" s="822">
        <v>24000</v>
      </c>
      <c r="Z186" s="25">
        <f t="shared" si="68"/>
        <v>1200000</v>
      </c>
    </row>
    <row r="187" spans="1:26" ht="13.5" customHeight="1">
      <c r="A187" s="777">
        <f t="shared" ref="A187:A250" si="72">IF(B187&lt;&gt;"",A186+1,"")</f>
        <v>3</v>
      </c>
      <c r="B187" s="298" t="s">
        <v>987</v>
      </c>
      <c r="C187" s="25">
        <f t="shared" si="69"/>
        <v>428805</v>
      </c>
      <c r="D187" s="778">
        <f t="shared" si="66"/>
        <v>19584.683017121704</v>
      </c>
      <c r="E187" s="778">
        <f t="shared" si="66"/>
        <v>5166.3269319759374</v>
      </c>
      <c r="F187" s="778">
        <f t="shared" si="66"/>
        <v>10964.62066173068</v>
      </c>
      <c r="G187" s="778">
        <f t="shared" si="66"/>
        <v>1992.3276260990283</v>
      </c>
      <c r="H187" s="778">
        <f t="shared" si="66"/>
        <v>19001.619620546044</v>
      </c>
      <c r="I187" s="778">
        <f t="shared" si="66"/>
        <v>3295.1879916705229</v>
      </c>
      <c r="J187" s="365"/>
      <c r="K187" s="25">
        <f t="shared" si="70"/>
        <v>488810.76584914397</v>
      </c>
      <c r="L187" s="778">
        <v>27</v>
      </c>
      <c r="M187" s="778">
        <f t="shared" si="71"/>
        <v>18104.102438857182</v>
      </c>
      <c r="N187" s="678">
        <v>18287</v>
      </c>
      <c r="O187" s="678"/>
      <c r="P187" s="40" t="s">
        <v>628</v>
      </c>
      <c r="Q187" s="794">
        <v>40739</v>
      </c>
      <c r="R187" s="793"/>
      <c r="S187" s="306">
        <v>13</v>
      </c>
      <c r="T187" s="822">
        <v>32985</v>
      </c>
      <c r="U187" s="25">
        <f t="shared" ref="U187:U338" si="73">ROUND(S187*T187,0)</f>
        <v>428805</v>
      </c>
      <c r="V187" s="456" t="s">
        <v>340</v>
      </c>
      <c r="W187" s="794">
        <v>40725</v>
      </c>
      <c r="X187" s="822">
        <v>28</v>
      </c>
      <c r="Y187" s="821">
        <v>42000</v>
      </c>
      <c r="Z187" s="25">
        <f t="shared" si="68"/>
        <v>1176000</v>
      </c>
    </row>
    <row r="188" spans="1:26" ht="13.5" customHeight="1">
      <c r="A188" s="777">
        <f t="shared" si="72"/>
        <v>4</v>
      </c>
      <c r="B188" s="298" t="s">
        <v>988</v>
      </c>
      <c r="C188" s="25">
        <f t="shared" si="69"/>
        <v>266940</v>
      </c>
      <c r="D188" s="778">
        <f t="shared" si="66"/>
        <v>87043.035631652019</v>
      </c>
      <c r="E188" s="778">
        <f t="shared" si="66"/>
        <v>22961.453031004166</v>
      </c>
      <c r="F188" s="778">
        <f t="shared" si="66"/>
        <v>48731.647385469689</v>
      </c>
      <c r="G188" s="778">
        <f t="shared" si="66"/>
        <v>8854.789449329015</v>
      </c>
      <c r="H188" s="778">
        <f t="shared" si="66"/>
        <v>84451.642757982423</v>
      </c>
      <c r="I188" s="778">
        <f t="shared" si="66"/>
        <v>14645.279962980101</v>
      </c>
      <c r="J188" s="365"/>
      <c r="K188" s="25">
        <f t="shared" si="70"/>
        <v>533628.84821841738</v>
      </c>
      <c r="L188" s="778">
        <v>120</v>
      </c>
      <c r="M188" s="778">
        <f t="shared" si="71"/>
        <v>4446.9070684868111</v>
      </c>
      <c r="N188" s="678">
        <v>4504</v>
      </c>
      <c r="O188" s="678"/>
      <c r="P188" s="189" t="s">
        <v>387</v>
      </c>
      <c r="Q188" s="794">
        <v>40739</v>
      </c>
      <c r="R188" s="793"/>
      <c r="S188" s="306">
        <f>L188/2</f>
        <v>60</v>
      </c>
      <c r="T188" s="822">
        <f>4449</f>
        <v>4449</v>
      </c>
      <c r="U188" s="25">
        <f t="shared" si="73"/>
        <v>266940</v>
      </c>
      <c r="V188" s="456" t="s">
        <v>475</v>
      </c>
      <c r="W188" s="794">
        <v>40725</v>
      </c>
      <c r="X188" s="822">
        <v>6413.5</v>
      </c>
      <c r="Y188" s="822">
        <v>220</v>
      </c>
      <c r="Z188" s="25">
        <f t="shared" si="68"/>
        <v>1410970</v>
      </c>
    </row>
    <row r="189" spans="1:26" ht="13.5" customHeight="1">
      <c r="A189" s="777">
        <f>IF(B189&lt;&gt;"",A188+1,"")</f>
        <v>5</v>
      </c>
      <c r="B189" s="298" t="s">
        <v>989</v>
      </c>
      <c r="C189" s="25">
        <f t="shared" si="69"/>
        <v>266940</v>
      </c>
      <c r="D189" s="778">
        <f t="shared" si="66"/>
        <v>435215.17815826007</v>
      </c>
      <c r="E189" s="778">
        <f t="shared" si="66"/>
        <v>114807.26515502084</v>
      </c>
      <c r="F189" s="778">
        <f t="shared" si="66"/>
        <v>243658.23692734845</v>
      </c>
      <c r="G189" s="778">
        <f t="shared" si="66"/>
        <v>44273.947246645075</v>
      </c>
      <c r="H189" s="778">
        <f t="shared" si="66"/>
        <v>422258.21378991212</v>
      </c>
      <c r="I189" s="778">
        <f t="shared" si="66"/>
        <v>73226.399814900506</v>
      </c>
      <c r="J189" s="365"/>
      <c r="K189" s="25">
        <f t="shared" si="70"/>
        <v>1600380.2410920872</v>
      </c>
      <c r="L189" s="778">
        <v>600</v>
      </c>
      <c r="M189" s="778">
        <f t="shared" si="71"/>
        <v>2667.3004018201455</v>
      </c>
      <c r="N189" s="678">
        <v>2538</v>
      </c>
      <c r="O189" s="678"/>
      <c r="P189" s="189" t="s">
        <v>387</v>
      </c>
      <c r="Q189" s="794">
        <v>40739</v>
      </c>
      <c r="R189" s="793"/>
      <c r="S189" s="306">
        <f>L189/10</f>
        <v>60</v>
      </c>
      <c r="T189" s="822">
        <f>4449</f>
        <v>4449</v>
      </c>
      <c r="U189" s="25">
        <f t="shared" si="73"/>
        <v>266940</v>
      </c>
      <c r="V189" s="456"/>
      <c r="W189" s="794"/>
      <c r="X189" s="822"/>
      <c r="Y189" s="822"/>
      <c r="Z189" s="25">
        <f t="shared" si="68"/>
        <v>0</v>
      </c>
    </row>
    <row r="190" spans="1:26" ht="13.5" customHeight="1">
      <c r="A190" s="777">
        <f t="shared" si="72"/>
        <v>6</v>
      </c>
      <c r="B190" s="298" t="s">
        <v>990</v>
      </c>
      <c r="C190" s="25">
        <f t="shared" si="69"/>
        <v>78064</v>
      </c>
      <c r="D190" s="778">
        <f t="shared" si="66"/>
        <v>123310.96714484037</v>
      </c>
      <c r="E190" s="778">
        <f t="shared" si="66"/>
        <v>32528.725127255901</v>
      </c>
      <c r="F190" s="778">
        <f t="shared" si="66"/>
        <v>69036.500462748721</v>
      </c>
      <c r="G190" s="778">
        <f t="shared" si="66"/>
        <v>12544.285053216105</v>
      </c>
      <c r="H190" s="778">
        <f t="shared" si="66"/>
        <v>119639.8272404751</v>
      </c>
      <c r="I190" s="778">
        <f t="shared" si="66"/>
        <v>20747.479947555144</v>
      </c>
      <c r="J190" s="365"/>
      <c r="K190" s="25">
        <f t="shared" si="70"/>
        <v>455872.78497609135</v>
      </c>
      <c r="L190" s="778">
        <v>170</v>
      </c>
      <c r="M190" s="778">
        <f t="shared" ref="M190:M216" si="74">IF(L190&lt;&gt;"",K190/L190,"")</f>
        <v>2681.6046175064198</v>
      </c>
      <c r="N190" s="678">
        <v>2333</v>
      </c>
      <c r="O190" s="678"/>
      <c r="P190" s="298" t="s">
        <v>478</v>
      </c>
      <c r="Q190" s="794">
        <v>40739</v>
      </c>
      <c r="R190" s="793"/>
      <c r="S190" s="306">
        <f>L190/10</f>
        <v>17</v>
      </c>
      <c r="T190" s="822">
        <v>4592</v>
      </c>
      <c r="U190" s="25">
        <f t="shared" si="73"/>
        <v>78064</v>
      </c>
      <c r="V190" s="456"/>
      <c r="W190" s="794"/>
      <c r="X190" s="822"/>
      <c r="Y190" s="822"/>
      <c r="Z190" s="25"/>
    </row>
    <row r="191" spans="1:26" ht="13.5" customHeight="1">
      <c r="A191" s="777">
        <f t="shared" si="72"/>
        <v>7</v>
      </c>
      <c r="B191" s="298" t="s">
        <v>991</v>
      </c>
      <c r="C191" s="25">
        <f t="shared" si="69"/>
        <v>444897</v>
      </c>
      <c r="D191" s="778">
        <f t="shared" si="66"/>
        <v>72535.863026376683</v>
      </c>
      <c r="E191" s="778">
        <f t="shared" si="66"/>
        <v>19134.544192503472</v>
      </c>
      <c r="F191" s="778">
        <f t="shared" si="66"/>
        <v>40609.706154558073</v>
      </c>
      <c r="G191" s="778">
        <f t="shared" si="66"/>
        <v>7378.9912077741792</v>
      </c>
      <c r="H191" s="778">
        <f t="shared" si="66"/>
        <v>70376.368964985348</v>
      </c>
      <c r="I191" s="778">
        <f t="shared" si="66"/>
        <v>12204.399969150085</v>
      </c>
      <c r="J191" s="365"/>
      <c r="K191" s="25">
        <f t="shared" si="70"/>
        <v>667137.87351534783</v>
      </c>
      <c r="L191" s="778">
        <v>100</v>
      </c>
      <c r="M191" s="778">
        <f t="shared" si="74"/>
        <v>6671.3787351534784</v>
      </c>
      <c r="N191" s="678">
        <v>6577</v>
      </c>
      <c r="O191" s="678"/>
      <c r="P191" s="189" t="s">
        <v>387</v>
      </c>
      <c r="Q191" s="794">
        <v>40739</v>
      </c>
      <c r="R191" s="793"/>
      <c r="S191" s="306">
        <f>L191</f>
        <v>100</v>
      </c>
      <c r="T191" s="822">
        <v>4448.97</v>
      </c>
      <c r="U191" s="25">
        <f t="shared" si="73"/>
        <v>444897</v>
      </c>
      <c r="V191" s="456"/>
      <c r="W191" s="794"/>
      <c r="X191" s="822"/>
      <c r="Y191" s="822"/>
      <c r="Z191" s="25"/>
    </row>
    <row r="192" spans="1:26" ht="13.5" customHeight="1">
      <c r="A192" s="777">
        <f t="shared" si="72"/>
        <v>8</v>
      </c>
      <c r="B192" s="298" t="s">
        <v>991</v>
      </c>
      <c r="C192" s="25">
        <f t="shared" si="69"/>
        <v>26694</v>
      </c>
      <c r="D192" s="778">
        <f t="shared" si="66"/>
        <v>43521.51781582601</v>
      </c>
      <c r="E192" s="778">
        <f t="shared" si="66"/>
        <v>11480.726515502083</v>
      </c>
      <c r="F192" s="778">
        <f t="shared" si="66"/>
        <v>24365.823692734844</v>
      </c>
      <c r="G192" s="778">
        <f t="shared" si="66"/>
        <v>4427.3947246645075</v>
      </c>
      <c r="H192" s="778">
        <f t="shared" si="66"/>
        <v>42225.821378991212</v>
      </c>
      <c r="I192" s="778">
        <f t="shared" si="66"/>
        <v>7322.6399814900506</v>
      </c>
      <c r="J192" s="365"/>
      <c r="K192" s="25">
        <f t="shared" si="70"/>
        <v>160038.92410920869</v>
      </c>
      <c r="L192" s="778">
        <v>60</v>
      </c>
      <c r="M192" s="778">
        <f t="shared" si="74"/>
        <v>2667.3154018201449</v>
      </c>
      <c r="N192" s="678">
        <v>2711</v>
      </c>
      <c r="O192" s="678"/>
      <c r="P192" s="189" t="s">
        <v>387</v>
      </c>
      <c r="Q192" s="794">
        <v>40739</v>
      </c>
      <c r="R192" s="793"/>
      <c r="S192" s="306">
        <f>L192/10</f>
        <v>6</v>
      </c>
      <c r="T192" s="822">
        <f>4449</f>
        <v>4449</v>
      </c>
      <c r="U192" s="25">
        <f t="shared" si="73"/>
        <v>26694</v>
      </c>
      <c r="V192" s="456"/>
      <c r="W192" s="794"/>
      <c r="X192" s="822"/>
      <c r="Y192" s="822"/>
      <c r="Z192" s="25"/>
    </row>
    <row r="193" spans="1:26" ht="13.5" customHeight="1">
      <c r="A193" s="777">
        <f t="shared" si="72"/>
        <v>9</v>
      </c>
      <c r="B193" s="298" t="s">
        <v>741</v>
      </c>
      <c r="C193" s="25">
        <f t="shared" si="69"/>
        <v>71925</v>
      </c>
      <c r="D193" s="778">
        <f t="shared" si="66"/>
        <v>4352.151781582601</v>
      </c>
      <c r="E193" s="778">
        <f t="shared" si="66"/>
        <v>1148.0726515502083</v>
      </c>
      <c r="F193" s="778">
        <f t="shared" si="66"/>
        <v>2436.5823692734843</v>
      </c>
      <c r="G193" s="778">
        <f t="shared" si="66"/>
        <v>442.73947246645071</v>
      </c>
      <c r="H193" s="778">
        <f t="shared" si="66"/>
        <v>4222.5821378991213</v>
      </c>
      <c r="I193" s="778">
        <f t="shared" si="66"/>
        <v>732.26399814900503</v>
      </c>
      <c r="J193" s="365"/>
      <c r="K193" s="25">
        <f t="shared" si="70"/>
        <v>85260.39241092086</v>
      </c>
      <c r="L193" s="778">
        <v>6</v>
      </c>
      <c r="M193" s="778">
        <f t="shared" si="74"/>
        <v>14210.065401820144</v>
      </c>
      <c r="N193" s="678">
        <v>17330</v>
      </c>
      <c r="O193" s="678"/>
      <c r="P193" s="40" t="s">
        <v>626</v>
      </c>
      <c r="Q193" s="794">
        <v>40741</v>
      </c>
      <c r="R193" s="793"/>
      <c r="S193" s="306">
        <f>L193/2</f>
        <v>3</v>
      </c>
      <c r="T193" s="822">
        <v>23975</v>
      </c>
      <c r="U193" s="25">
        <f t="shared" si="73"/>
        <v>71925</v>
      </c>
      <c r="V193" s="456"/>
      <c r="W193" s="794"/>
      <c r="X193" s="822"/>
      <c r="Y193" s="822"/>
      <c r="Z193" s="25"/>
    </row>
    <row r="194" spans="1:26" ht="13.5" customHeight="1">
      <c r="A194" s="777">
        <f t="shared" si="72"/>
        <v>10</v>
      </c>
      <c r="B194" s="298" t="s">
        <v>742</v>
      </c>
      <c r="C194" s="25">
        <f t="shared" si="69"/>
        <v>799900</v>
      </c>
      <c r="D194" s="778">
        <f t="shared" si="66"/>
        <v>36267.931513188341</v>
      </c>
      <c r="E194" s="778">
        <f t="shared" si="66"/>
        <v>9567.272096251736</v>
      </c>
      <c r="F194" s="778">
        <f t="shared" si="66"/>
        <v>20304.853077279036</v>
      </c>
      <c r="G194" s="778">
        <f t="shared" si="66"/>
        <v>3689.4956038870896</v>
      </c>
      <c r="H194" s="778">
        <f t="shared" si="66"/>
        <v>35188.184482492674</v>
      </c>
      <c r="I194" s="778">
        <f t="shared" si="66"/>
        <v>6102.1999845750424</v>
      </c>
      <c r="J194" s="365"/>
      <c r="K194" s="25">
        <f t="shared" si="70"/>
        <v>911020.93675767386</v>
      </c>
      <c r="L194" s="778">
        <v>50</v>
      </c>
      <c r="M194" s="778">
        <f t="shared" si="74"/>
        <v>18220.418735153478</v>
      </c>
      <c r="N194" s="678">
        <v>19814</v>
      </c>
      <c r="O194" s="678"/>
      <c r="P194" s="189" t="s">
        <v>399</v>
      </c>
      <c r="Q194" s="794">
        <v>40741</v>
      </c>
      <c r="R194" s="793"/>
      <c r="S194" s="306">
        <v>50</v>
      </c>
      <c r="T194" s="822">
        <v>15998</v>
      </c>
      <c r="U194" s="25">
        <f t="shared" si="73"/>
        <v>799900</v>
      </c>
      <c r="V194" s="456"/>
      <c r="W194" s="794"/>
      <c r="X194" s="822"/>
      <c r="Y194" s="822"/>
      <c r="Z194" s="25"/>
    </row>
    <row r="195" spans="1:26" ht="13.5" customHeight="1">
      <c r="A195" s="777">
        <f t="shared" si="72"/>
        <v>11</v>
      </c>
      <c r="B195" s="298" t="s">
        <v>992</v>
      </c>
      <c r="C195" s="25">
        <f t="shared" si="69"/>
        <v>2166626</v>
      </c>
      <c r="D195" s="778">
        <f t="shared" ref="D195:I204" si="75">IF($L$339&lt;&gt;0,D$339/$L$339*$L195,0)</f>
        <v>87768.39426191579</v>
      </c>
      <c r="E195" s="778">
        <f t="shared" si="75"/>
        <v>23152.7984729292</v>
      </c>
      <c r="F195" s="778">
        <f t="shared" si="75"/>
        <v>49137.74444701527</v>
      </c>
      <c r="G195" s="778">
        <f t="shared" si="75"/>
        <v>8928.579361406757</v>
      </c>
      <c r="H195" s="778">
        <f t="shared" si="75"/>
        <v>85155.406447632282</v>
      </c>
      <c r="I195" s="778">
        <f t="shared" si="75"/>
        <v>14767.323962671602</v>
      </c>
      <c r="J195" s="365"/>
      <c r="K195" s="25">
        <f t="shared" ref="K195:K249" si="76">SUM(C195:I195)</f>
        <v>2435536.2469535707</v>
      </c>
      <c r="L195" s="778">
        <v>121</v>
      </c>
      <c r="M195" s="778">
        <f t="shared" si="74"/>
        <v>20128.398735153478</v>
      </c>
      <c r="N195" s="678">
        <v>21646</v>
      </c>
      <c r="O195" s="678"/>
      <c r="P195" s="40" t="s">
        <v>590</v>
      </c>
      <c r="Q195" s="794">
        <v>40741</v>
      </c>
      <c r="R195" s="793"/>
      <c r="S195" s="306">
        <f>L195/2</f>
        <v>60.5</v>
      </c>
      <c r="T195" s="822">
        <v>35812</v>
      </c>
      <c r="U195" s="25">
        <f t="shared" si="73"/>
        <v>2166626</v>
      </c>
      <c r="V195" s="456"/>
      <c r="W195" s="794"/>
      <c r="X195" s="822"/>
      <c r="Y195" s="822"/>
      <c r="Z195" s="25"/>
    </row>
    <row r="196" spans="1:26" ht="13.5" customHeight="1">
      <c r="A196" s="777">
        <f t="shared" si="72"/>
        <v>12</v>
      </c>
      <c r="B196" s="298" t="s">
        <v>743</v>
      </c>
      <c r="C196" s="25">
        <f t="shared" si="69"/>
        <v>1342356</v>
      </c>
      <c r="D196" s="778">
        <f t="shared" si="75"/>
        <v>60204.766311892643</v>
      </c>
      <c r="E196" s="778">
        <f t="shared" si="75"/>
        <v>15881.671679777883</v>
      </c>
      <c r="F196" s="778">
        <f t="shared" si="75"/>
        <v>33706.056108283199</v>
      </c>
      <c r="G196" s="778">
        <f t="shared" si="75"/>
        <v>6124.5627024525684</v>
      </c>
      <c r="H196" s="778">
        <f t="shared" si="75"/>
        <v>58412.386240937842</v>
      </c>
      <c r="I196" s="778">
        <f t="shared" si="75"/>
        <v>10129.65197439457</v>
      </c>
      <c r="J196" s="365"/>
      <c r="K196" s="25">
        <f t="shared" si="76"/>
        <v>1526815.0950177384</v>
      </c>
      <c r="L196" s="778">
        <v>83</v>
      </c>
      <c r="M196" s="778">
        <f t="shared" si="74"/>
        <v>18395.362590575161</v>
      </c>
      <c r="N196" s="678">
        <v>19248</v>
      </c>
      <c r="O196" s="678"/>
      <c r="P196" s="189" t="s">
        <v>488</v>
      </c>
      <c r="Q196" s="794">
        <v>40741</v>
      </c>
      <c r="R196" s="793"/>
      <c r="S196" s="306">
        <v>83</v>
      </c>
      <c r="T196" s="822">
        <v>16172.963855421687</v>
      </c>
      <c r="U196" s="25">
        <f t="shared" si="73"/>
        <v>1342356</v>
      </c>
      <c r="V196" s="456"/>
      <c r="W196" s="794"/>
      <c r="X196" s="822"/>
      <c r="Y196" s="822"/>
      <c r="Z196" s="25"/>
    </row>
    <row r="197" spans="1:26" ht="13.5" customHeight="1">
      <c r="A197" s="777">
        <f t="shared" si="72"/>
        <v>13</v>
      </c>
      <c r="B197" s="298" t="s">
        <v>744</v>
      </c>
      <c r="C197" s="25">
        <f t="shared" si="69"/>
        <v>8087</v>
      </c>
      <c r="D197" s="778">
        <f t="shared" si="75"/>
        <v>725.35863026376683</v>
      </c>
      <c r="E197" s="778">
        <f t="shared" si="75"/>
        <v>191.34544192503472</v>
      </c>
      <c r="F197" s="778">
        <f t="shared" si="75"/>
        <v>406.09706154558074</v>
      </c>
      <c r="G197" s="778">
        <f t="shared" si="75"/>
        <v>73.789912077741789</v>
      </c>
      <c r="H197" s="778">
        <f t="shared" si="75"/>
        <v>703.76368964985352</v>
      </c>
      <c r="I197" s="778">
        <f t="shared" si="75"/>
        <v>122.04399969150084</v>
      </c>
      <c r="J197" s="365"/>
      <c r="K197" s="25">
        <f t="shared" si="76"/>
        <v>10309.398735153478</v>
      </c>
      <c r="L197" s="778">
        <v>1</v>
      </c>
      <c r="M197" s="778">
        <f t="shared" si="74"/>
        <v>10309.398735153478</v>
      </c>
      <c r="N197" s="678">
        <v>14591</v>
      </c>
      <c r="O197" s="678"/>
      <c r="P197" s="189" t="s">
        <v>488</v>
      </c>
      <c r="Q197" s="794">
        <v>40741</v>
      </c>
      <c r="R197" s="793"/>
      <c r="S197" s="306">
        <f t="shared" ref="S197:S203" si="77">L197/2</f>
        <v>0.5</v>
      </c>
      <c r="T197" s="822">
        <v>16173</v>
      </c>
      <c r="U197" s="25">
        <f t="shared" si="73"/>
        <v>8087</v>
      </c>
      <c r="V197" s="456"/>
      <c r="W197" s="794"/>
      <c r="X197" s="822"/>
      <c r="Y197" s="822"/>
      <c r="Z197" s="25"/>
    </row>
    <row r="198" spans="1:26" ht="13.5" customHeight="1">
      <c r="A198" s="777">
        <f t="shared" si="72"/>
        <v>14</v>
      </c>
      <c r="B198" s="298" t="s">
        <v>993</v>
      </c>
      <c r="C198" s="25">
        <f t="shared" si="69"/>
        <v>1432480</v>
      </c>
      <c r="D198" s="778">
        <f t="shared" si="75"/>
        <v>58028.690421101346</v>
      </c>
      <c r="E198" s="778">
        <f t="shared" si="75"/>
        <v>15307.635354002778</v>
      </c>
      <c r="F198" s="778">
        <f t="shared" si="75"/>
        <v>32487.76492364646</v>
      </c>
      <c r="G198" s="778">
        <f t="shared" si="75"/>
        <v>5903.1929662193434</v>
      </c>
      <c r="H198" s="778">
        <f t="shared" si="75"/>
        <v>56301.09517198828</v>
      </c>
      <c r="I198" s="778">
        <f t="shared" si="75"/>
        <v>9763.5199753200668</v>
      </c>
      <c r="J198" s="365"/>
      <c r="K198" s="25">
        <f t="shared" si="76"/>
        <v>1610271.8988122779</v>
      </c>
      <c r="L198" s="778">
        <v>80</v>
      </c>
      <c r="M198" s="778">
        <f t="shared" si="74"/>
        <v>20128.398735153474</v>
      </c>
      <c r="N198" s="678">
        <v>20979</v>
      </c>
      <c r="O198" s="678"/>
      <c r="P198" s="40" t="s">
        <v>590</v>
      </c>
      <c r="Q198" s="794">
        <v>40741</v>
      </c>
      <c r="R198" s="793"/>
      <c r="S198" s="306">
        <f t="shared" si="77"/>
        <v>40</v>
      </c>
      <c r="T198" s="822">
        <v>35812</v>
      </c>
      <c r="U198" s="25">
        <f t="shared" si="73"/>
        <v>1432480</v>
      </c>
      <c r="V198" s="456"/>
      <c r="W198" s="794"/>
      <c r="X198" s="822"/>
      <c r="Y198" s="822"/>
      <c r="Z198" s="25"/>
    </row>
    <row r="199" spans="1:26" ht="13.5" customHeight="1">
      <c r="A199" s="777">
        <f t="shared" si="72"/>
        <v>15</v>
      </c>
      <c r="B199" s="298" t="s">
        <v>994</v>
      </c>
      <c r="C199" s="25">
        <f t="shared" si="69"/>
        <v>2307162</v>
      </c>
      <c r="D199" s="778">
        <f t="shared" si="75"/>
        <v>113155.94632114762</v>
      </c>
      <c r="E199" s="778">
        <f t="shared" si="75"/>
        <v>29849.888940305416</v>
      </c>
      <c r="F199" s="778">
        <f t="shared" si="75"/>
        <v>63351.141601110598</v>
      </c>
      <c r="G199" s="778">
        <f t="shared" si="75"/>
        <v>11511.226284127719</v>
      </c>
      <c r="H199" s="778">
        <f t="shared" si="75"/>
        <v>109787.13558537715</v>
      </c>
      <c r="I199" s="778">
        <f t="shared" si="75"/>
        <v>19038.863951874133</v>
      </c>
      <c r="J199" s="365"/>
      <c r="K199" s="25">
        <f t="shared" si="76"/>
        <v>2653856.2026839424</v>
      </c>
      <c r="L199" s="778">
        <v>156</v>
      </c>
      <c r="M199" s="778">
        <f t="shared" si="74"/>
        <v>17011.898735153478</v>
      </c>
      <c r="N199" s="678">
        <v>18287</v>
      </c>
      <c r="O199" s="678"/>
      <c r="P199" s="189" t="s">
        <v>565</v>
      </c>
      <c r="Q199" s="794">
        <v>40741</v>
      </c>
      <c r="R199" s="793"/>
      <c r="S199" s="306">
        <f t="shared" si="77"/>
        <v>78</v>
      </c>
      <c r="T199" s="822">
        <v>29579</v>
      </c>
      <c r="U199" s="25">
        <f t="shared" si="73"/>
        <v>2307162</v>
      </c>
      <c r="V199" s="456"/>
      <c r="W199" s="794"/>
      <c r="X199" s="822"/>
      <c r="Y199" s="822"/>
      <c r="Z199" s="25"/>
    </row>
    <row r="200" spans="1:26" ht="13.5" customHeight="1">
      <c r="A200" s="777">
        <f>IF(B200&lt;&gt;"",A199+1,"")</f>
        <v>16</v>
      </c>
      <c r="B200" s="298" t="s">
        <v>995</v>
      </c>
      <c r="C200" s="25">
        <f t="shared" si="69"/>
        <v>3233915</v>
      </c>
      <c r="D200" s="778">
        <f t="shared" si="75"/>
        <v>442468.76446089777</v>
      </c>
      <c r="E200" s="778">
        <f t="shared" si="75"/>
        <v>116720.71957427118</v>
      </c>
      <c r="F200" s="778">
        <f t="shared" si="75"/>
        <v>247719.20754280424</v>
      </c>
      <c r="G200" s="778">
        <f t="shared" si="75"/>
        <v>45011.846367422491</v>
      </c>
      <c r="H200" s="778">
        <f t="shared" si="75"/>
        <v>429295.85068641067</v>
      </c>
      <c r="I200" s="778">
        <f t="shared" si="75"/>
        <v>74446.839811815516</v>
      </c>
      <c r="J200" s="365"/>
      <c r="K200" s="25">
        <f t="shared" si="76"/>
        <v>4589578.2284436226</v>
      </c>
      <c r="L200" s="778">
        <v>610</v>
      </c>
      <c r="M200" s="778">
        <f t="shared" si="74"/>
        <v>7523.8987351534797</v>
      </c>
      <c r="N200" s="678">
        <v>9338</v>
      </c>
      <c r="O200" s="678"/>
      <c r="P200" s="189" t="s">
        <v>519</v>
      </c>
      <c r="Q200" s="794">
        <v>40741</v>
      </c>
      <c r="R200" s="793"/>
      <c r="S200" s="306">
        <f t="shared" si="77"/>
        <v>305</v>
      </c>
      <c r="T200" s="294">
        <v>10603</v>
      </c>
      <c r="U200" s="25">
        <f t="shared" si="73"/>
        <v>3233915</v>
      </c>
      <c r="V200" s="456"/>
      <c r="W200" s="794"/>
      <c r="X200" s="822"/>
      <c r="Y200" s="822"/>
      <c r="Z200" s="25"/>
    </row>
    <row r="201" spans="1:26" ht="13.5" customHeight="1">
      <c r="A201" s="777">
        <f t="shared" si="72"/>
        <v>17</v>
      </c>
      <c r="B201" s="298" t="s">
        <v>996</v>
      </c>
      <c r="C201" s="25">
        <f t="shared" si="69"/>
        <v>848208</v>
      </c>
      <c r="D201" s="778">
        <f t="shared" si="75"/>
        <v>118958.81536325776</v>
      </c>
      <c r="E201" s="778">
        <f t="shared" si="75"/>
        <v>31380.652475705694</v>
      </c>
      <c r="F201" s="778">
        <f t="shared" si="75"/>
        <v>66599.918093475237</v>
      </c>
      <c r="G201" s="778">
        <f t="shared" si="75"/>
        <v>12101.545580749653</v>
      </c>
      <c r="H201" s="778">
        <f t="shared" si="75"/>
        <v>115417.24510257598</v>
      </c>
      <c r="I201" s="778">
        <f t="shared" si="75"/>
        <v>20015.215949406138</v>
      </c>
      <c r="J201" s="365"/>
      <c r="K201" s="25">
        <f t="shared" si="76"/>
        <v>1212681.3925651705</v>
      </c>
      <c r="L201" s="778">
        <v>164</v>
      </c>
      <c r="M201" s="778">
        <f t="shared" si="74"/>
        <v>7394.3987351534788</v>
      </c>
      <c r="N201" s="678">
        <v>7868</v>
      </c>
      <c r="O201" s="678"/>
      <c r="P201" s="189" t="s">
        <v>578</v>
      </c>
      <c r="Q201" s="794">
        <v>40744</v>
      </c>
      <c r="R201" s="793"/>
      <c r="S201" s="306">
        <f t="shared" si="77"/>
        <v>82</v>
      </c>
      <c r="T201" s="822">
        <v>10344</v>
      </c>
      <c r="U201" s="25">
        <f t="shared" si="73"/>
        <v>848208</v>
      </c>
      <c r="V201" s="456"/>
      <c r="W201" s="794"/>
      <c r="X201" s="822"/>
      <c r="Y201" s="822"/>
      <c r="Z201" s="25"/>
    </row>
    <row r="202" spans="1:26" ht="13.5" customHeight="1">
      <c r="A202" s="777">
        <f t="shared" si="72"/>
        <v>18</v>
      </c>
      <c r="B202" s="298" t="s">
        <v>997</v>
      </c>
      <c r="C202" s="25">
        <f t="shared" si="69"/>
        <v>5172</v>
      </c>
      <c r="D202" s="778">
        <f t="shared" si="75"/>
        <v>725.35863026376683</v>
      </c>
      <c r="E202" s="778">
        <f t="shared" si="75"/>
        <v>191.34544192503472</v>
      </c>
      <c r="F202" s="778">
        <f t="shared" si="75"/>
        <v>406.09706154558074</v>
      </c>
      <c r="G202" s="778">
        <f t="shared" si="75"/>
        <v>73.789912077741789</v>
      </c>
      <c r="H202" s="778">
        <f t="shared" si="75"/>
        <v>703.76368964985352</v>
      </c>
      <c r="I202" s="778">
        <f t="shared" si="75"/>
        <v>122.04399969150084</v>
      </c>
      <c r="J202" s="365"/>
      <c r="K202" s="25">
        <f t="shared" si="76"/>
        <v>7394.3987351534788</v>
      </c>
      <c r="L202" s="778">
        <v>1</v>
      </c>
      <c r="M202" s="778">
        <f t="shared" si="74"/>
        <v>7394.3987351534788</v>
      </c>
      <c r="N202" s="678">
        <v>8450</v>
      </c>
      <c r="O202" s="678"/>
      <c r="P202" s="189" t="s">
        <v>578</v>
      </c>
      <c r="Q202" s="794">
        <v>40744</v>
      </c>
      <c r="R202" s="793"/>
      <c r="S202" s="306">
        <f t="shared" si="77"/>
        <v>0.5</v>
      </c>
      <c r="T202" s="822">
        <v>10344</v>
      </c>
      <c r="U202" s="25">
        <f t="shared" si="73"/>
        <v>5172</v>
      </c>
      <c r="V202" s="456"/>
      <c r="W202" s="794"/>
      <c r="X202" s="822"/>
      <c r="Y202" s="822"/>
      <c r="Z202" s="25"/>
    </row>
    <row r="203" spans="1:26" ht="13.5" customHeight="1">
      <c r="A203" s="777">
        <f t="shared" si="72"/>
        <v>19</v>
      </c>
      <c r="B203" s="298" t="s">
        <v>998</v>
      </c>
      <c r="C203" s="25">
        <f t="shared" si="69"/>
        <v>2225</v>
      </c>
      <c r="D203" s="778">
        <f t="shared" si="75"/>
        <v>725.35863026376683</v>
      </c>
      <c r="E203" s="778">
        <f t="shared" si="75"/>
        <v>191.34544192503472</v>
      </c>
      <c r="F203" s="778">
        <f t="shared" si="75"/>
        <v>406.09706154558074</v>
      </c>
      <c r="G203" s="778">
        <f t="shared" si="75"/>
        <v>73.789912077741789</v>
      </c>
      <c r="H203" s="778">
        <f t="shared" si="75"/>
        <v>703.76368964985352</v>
      </c>
      <c r="I203" s="778">
        <f t="shared" si="75"/>
        <v>122.04399969150084</v>
      </c>
      <c r="J203" s="365"/>
      <c r="K203" s="25">
        <f t="shared" si="76"/>
        <v>4447.3987351534788</v>
      </c>
      <c r="L203" s="778">
        <v>1</v>
      </c>
      <c r="M203" s="778">
        <f t="shared" si="74"/>
        <v>4447.3987351534788</v>
      </c>
      <c r="N203" s="678">
        <v>4751</v>
      </c>
      <c r="O203" s="678"/>
      <c r="P203" s="189" t="s">
        <v>387</v>
      </c>
      <c r="Q203" s="794">
        <v>40744</v>
      </c>
      <c r="R203" s="793"/>
      <c r="S203" s="306">
        <f t="shared" si="77"/>
        <v>0.5</v>
      </c>
      <c r="T203" s="822">
        <f>4449</f>
        <v>4449</v>
      </c>
      <c r="U203" s="25">
        <f t="shared" si="73"/>
        <v>2225</v>
      </c>
      <c r="V203" s="456"/>
      <c r="W203" s="794"/>
      <c r="X203" s="822"/>
      <c r="Y203" s="822"/>
      <c r="Z203" s="25"/>
    </row>
    <row r="204" spans="1:26" ht="13.5" customHeight="1">
      <c r="A204" s="777">
        <f t="shared" si="72"/>
        <v>20</v>
      </c>
      <c r="B204" s="298" t="s">
        <v>999</v>
      </c>
      <c r="C204" s="25">
        <f t="shared" si="69"/>
        <v>4449</v>
      </c>
      <c r="D204" s="778">
        <f t="shared" si="75"/>
        <v>725.35863026376683</v>
      </c>
      <c r="E204" s="778">
        <f t="shared" si="75"/>
        <v>191.34544192503472</v>
      </c>
      <c r="F204" s="778">
        <f t="shared" si="75"/>
        <v>406.09706154558074</v>
      </c>
      <c r="G204" s="778">
        <f t="shared" si="75"/>
        <v>73.789912077741789</v>
      </c>
      <c r="H204" s="778">
        <f t="shared" si="75"/>
        <v>703.76368964985352</v>
      </c>
      <c r="I204" s="778">
        <f t="shared" si="75"/>
        <v>122.04399969150084</v>
      </c>
      <c r="J204" s="365"/>
      <c r="K204" s="25">
        <f t="shared" si="76"/>
        <v>6671.3987351534788</v>
      </c>
      <c r="L204" s="778">
        <v>1</v>
      </c>
      <c r="M204" s="778">
        <f t="shared" si="74"/>
        <v>6671.3987351534788</v>
      </c>
      <c r="N204" s="678">
        <v>6560</v>
      </c>
      <c r="O204" s="678"/>
      <c r="P204" s="189" t="s">
        <v>387</v>
      </c>
      <c r="Q204" s="794">
        <v>40744</v>
      </c>
      <c r="R204" s="793"/>
      <c r="S204" s="306">
        <f>L204</f>
        <v>1</v>
      </c>
      <c r="T204" s="822">
        <f>4449</f>
        <v>4449</v>
      </c>
      <c r="U204" s="25">
        <f t="shared" si="73"/>
        <v>4449</v>
      </c>
      <c r="V204" s="456"/>
      <c r="W204" s="794"/>
      <c r="X204" s="822"/>
      <c r="Y204" s="822"/>
      <c r="Z204" s="25"/>
    </row>
    <row r="205" spans="1:26" ht="13.5" customHeight="1">
      <c r="A205" s="777">
        <f t="shared" si="72"/>
        <v>21</v>
      </c>
      <c r="B205" s="298" t="s">
        <v>1000</v>
      </c>
      <c r="C205" s="25">
        <f t="shared" si="69"/>
        <v>33741</v>
      </c>
      <c r="D205" s="778">
        <f t="shared" ref="D205:I214" si="78">IF($L$339&lt;&gt;0,D$339/$L$339*$L205,0)</f>
        <v>4352.151781582601</v>
      </c>
      <c r="E205" s="778">
        <f t="shared" si="78"/>
        <v>1148.0726515502083</v>
      </c>
      <c r="F205" s="778">
        <f t="shared" si="78"/>
        <v>2436.5823692734843</v>
      </c>
      <c r="G205" s="778">
        <f t="shared" si="78"/>
        <v>442.73947246645071</v>
      </c>
      <c r="H205" s="778">
        <f t="shared" si="78"/>
        <v>4222.5821378991213</v>
      </c>
      <c r="I205" s="778">
        <f t="shared" si="78"/>
        <v>732.26399814900503</v>
      </c>
      <c r="J205" s="365"/>
      <c r="K205" s="25">
        <f t="shared" si="76"/>
        <v>47075.392410920875</v>
      </c>
      <c r="L205" s="778">
        <v>6</v>
      </c>
      <c r="M205" s="778">
        <f t="shared" si="74"/>
        <v>7845.8987351534788</v>
      </c>
      <c r="N205" s="678">
        <v>9594</v>
      </c>
      <c r="O205" s="678"/>
      <c r="P205" s="189" t="s">
        <v>552</v>
      </c>
      <c r="Q205" s="794">
        <v>40744</v>
      </c>
      <c r="R205" s="793"/>
      <c r="S205" s="306">
        <v>3</v>
      </c>
      <c r="T205" s="822">
        <v>11247</v>
      </c>
      <c r="U205" s="25">
        <f t="shared" si="73"/>
        <v>33741</v>
      </c>
      <c r="V205" s="456"/>
      <c r="W205" s="794"/>
      <c r="X205" s="822"/>
      <c r="Y205" s="822"/>
      <c r="Z205" s="25"/>
    </row>
    <row r="206" spans="1:26" ht="13.5" customHeight="1">
      <c r="A206" s="777">
        <f t="shared" si="72"/>
        <v>22</v>
      </c>
      <c r="B206" s="298" t="s">
        <v>1001</v>
      </c>
      <c r="C206" s="25">
        <f t="shared" si="69"/>
        <v>4449</v>
      </c>
      <c r="D206" s="778">
        <f t="shared" si="78"/>
        <v>725.35863026376683</v>
      </c>
      <c r="E206" s="778">
        <f t="shared" si="78"/>
        <v>191.34544192503472</v>
      </c>
      <c r="F206" s="778">
        <f t="shared" si="78"/>
        <v>406.09706154558074</v>
      </c>
      <c r="G206" s="778">
        <f t="shared" si="78"/>
        <v>73.789912077741789</v>
      </c>
      <c r="H206" s="778">
        <f t="shared" si="78"/>
        <v>703.76368964985352</v>
      </c>
      <c r="I206" s="778">
        <f t="shared" si="78"/>
        <v>122.04399969150084</v>
      </c>
      <c r="J206" s="365"/>
      <c r="K206" s="25">
        <f t="shared" si="76"/>
        <v>6671.3987351534788</v>
      </c>
      <c r="L206" s="778">
        <v>1</v>
      </c>
      <c r="M206" s="778">
        <f t="shared" si="74"/>
        <v>6671.3987351534788</v>
      </c>
      <c r="N206" s="678">
        <v>7094</v>
      </c>
      <c r="O206" s="678"/>
      <c r="P206" s="189" t="s">
        <v>387</v>
      </c>
      <c r="Q206" s="794">
        <v>40744</v>
      </c>
      <c r="R206" s="793"/>
      <c r="S206" s="306">
        <f>L206</f>
        <v>1</v>
      </c>
      <c r="T206" s="822">
        <f>4449</f>
        <v>4449</v>
      </c>
      <c r="U206" s="25">
        <f t="shared" si="73"/>
        <v>4449</v>
      </c>
      <c r="V206" s="456"/>
      <c r="W206" s="794"/>
      <c r="X206" s="822"/>
      <c r="Y206" s="822"/>
      <c r="Z206" s="25"/>
    </row>
    <row r="207" spans="1:26" ht="13.5" customHeight="1">
      <c r="A207" s="777">
        <f t="shared" si="72"/>
        <v>23</v>
      </c>
      <c r="B207" s="298" t="s">
        <v>745</v>
      </c>
      <c r="C207" s="25">
        <f t="shared" si="69"/>
        <v>18078</v>
      </c>
      <c r="D207" s="778">
        <f t="shared" si="78"/>
        <v>2176.0758907913005</v>
      </c>
      <c r="E207" s="778">
        <f t="shared" si="78"/>
        <v>574.03632577510416</v>
      </c>
      <c r="F207" s="778">
        <f t="shared" si="78"/>
        <v>1218.2911846367422</v>
      </c>
      <c r="G207" s="778">
        <f t="shared" si="78"/>
        <v>221.36973623322535</v>
      </c>
      <c r="H207" s="778">
        <f t="shared" si="78"/>
        <v>2111.2910689495607</v>
      </c>
      <c r="I207" s="778">
        <f t="shared" si="78"/>
        <v>366.13199907450252</v>
      </c>
      <c r="J207" s="365"/>
      <c r="K207" s="25">
        <f t="shared" si="76"/>
        <v>24745.196205460437</v>
      </c>
      <c r="L207" s="778">
        <v>3</v>
      </c>
      <c r="M207" s="778">
        <f t="shared" si="74"/>
        <v>8248.3987351534797</v>
      </c>
      <c r="N207" s="678">
        <v>9263</v>
      </c>
      <c r="O207" s="678"/>
      <c r="P207" s="298" t="s">
        <v>479</v>
      </c>
      <c r="Q207" s="794">
        <v>40744</v>
      </c>
      <c r="R207" s="793"/>
      <c r="S207" s="306">
        <f>L207</f>
        <v>3</v>
      </c>
      <c r="T207" s="822">
        <v>6026</v>
      </c>
      <c r="U207" s="25">
        <f t="shared" si="73"/>
        <v>18078</v>
      </c>
      <c r="V207" s="456"/>
      <c r="W207" s="794"/>
      <c r="X207" s="822"/>
      <c r="Y207" s="822"/>
      <c r="Z207" s="25"/>
    </row>
    <row r="208" spans="1:26" ht="13.5" customHeight="1">
      <c r="A208" s="777">
        <f t="shared" si="72"/>
        <v>24</v>
      </c>
      <c r="B208" s="298" t="s">
        <v>746</v>
      </c>
      <c r="C208" s="25">
        <f t="shared" si="69"/>
        <v>78540</v>
      </c>
      <c r="D208" s="778">
        <f t="shared" si="78"/>
        <v>8704.3035631652019</v>
      </c>
      <c r="E208" s="778">
        <f t="shared" si="78"/>
        <v>2296.1453031004166</v>
      </c>
      <c r="F208" s="778">
        <f t="shared" si="78"/>
        <v>4873.1647385469687</v>
      </c>
      <c r="G208" s="778">
        <f t="shared" si="78"/>
        <v>885.47894493290141</v>
      </c>
      <c r="H208" s="778">
        <f t="shared" si="78"/>
        <v>8445.1642757982427</v>
      </c>
      <c r="I208" s="778">
        <f t="shared" si="78"/>
        <v>1464.5279962980101</v>
      </c>
      <c r="J208" s="365"/>
      <c r="K208" s="25">
        <f t="shared" si="76"/>
        <v>105208.78482184175</v>
      </c>
      <c r="L208" s="778">
        <v>12</v>
      </c>
      <c r="M208" s="778">
        <f t="shared" si="74"/>
        <v>8767.3987351534797</v>
      </c>
      <c r="N208" s="678">
        <v>10595</v>
      </c>
      <c r="O208" s="678"/>
      <c r="P208" s="40" t="s">
        <v>602</v>
      </c>
      <c r="Q208" s="794">
        <v>40744</v>
      </c>
      <c r="R208" s="793"/>
      <c r="S208" s="306">
        <f>L208/2</f>
        <v>6</v>
      </c>
      <c r="T208" s="256">
        <v>13090</v>
      </c>
      <c r="U208" s="25">
        <f t="shared" si="73"/>
        <v>78540</v>
      </c>
      <c r="V208" s="456"/>
      <c r="W208" s="794"/>
      <c r="X208" s="822"/>
      <c r="Y208" s="822"/>
      <c r="Z208" s="25"/>
    </row>
    <row r="209" spans="1:26" ht="13.5" customHeight="1">
      <c r="A209" s="777">
        <f t="shared" si="72"/>
        <v>25</v>
      </c>
      <c r="B209" s="298" t="s">
        <v>747</v>
      </c>
      <c r="C209" s="25">
        <f t="shared" si="69"/>
        <v>40757</v>
      </c>
      <c r="D209" s="778">
        <f t="shared" si="78"/>
        <v>3626.7931513188341</v>
      </c>
      <c r="E209" s="778">
        <f t="shared" si="78"/>
        <v>956.7272096251736</v>
      </c>
      <c r="F209" s="778">
        <f t="shared" si="78"/>
        <v>2030.4853077279038</v>
      </c>
      <c r="G209" s="778">
        <f t="shared" si="78"/>
        <v>368.94956038870896</v>
      </c>
      <c r="H209" s="778">
        <f t="shared" si="78"/>
        <v>3518.8184482492675</v>
      </c>
      <c r="I209" s="778">
        <f t="shared" si="78"/>
        <v>610.21999845750418</v>
      </c>
      <c r="J209" s="365"/>
      <c r="K209" s="25">
        <f t="shared" si="76"/>
        <v>51868.9936757674</v>
      </c>
      <c r="L209" s="778">
        <v>5</v>
      </c>
      <c r="M209" s="778">
        <f t="shared" si="74"/>
        <v>10373.798735153479</v>
      </c>
      <c r="N209" s="678">
        <v>11321</v>
      </c>
      <c r="O209" s="678"/>
      <c r="P209" s="40" t="s">
        <v>601</v>
      </c>
      <c r="Q209" s="794">
        <v>40745</v>
      </c>
      <c r="R209" s="793"/>
      <c r="S209" s="306">
        <f>L209/2</f>
        <v>2.5</v>
      </c>
      <c r="T209" s="822">
        <v>16302.8</v>
      </c>
      <c r="U209" s="25">
        <f t="shared" si="73"/>
        <v>40757</v>
      </c>
      <c r="V209" s="456"/>
      <c r="W209" s="794"/>
      <c r="X209" s="822"/>
      <c r="Y209" s="822"/>
      <c r="Z209" s="25"/>
    </row>
    <row r="210" spans="1:26" ht="13.5" customHeight="1">
      <c r="A210" s="777">
        <f t="shared" si="72"/>
        <v>26</v>
      </c>
      <c r="B210" s="298" t="s">
        <v>748</v>
      </c>
      <c r="C210" s="25">
        <f t="shared" si="69"/>
        <v>8152</v>
      </c>
      <c r="D210" s="778">
        <f t="shared" si="78"/>
        <v>725.35863026376683</v>
      </c>
      <c r="E210" s="778">
        <f t="shared" si="78"/>
        <v>191.34544192503472</v>
      </c>
      <c r="F210" s="778">
        <f t="shared" si="78"/>
        <v>406.09706154558074</v>
      </c>
      <c r="G210" s="778">
        <f t="shared" si="78"/>
        <v>73.789912077741789</v>
      </c>
      <c r="H210" s="778">
        <f t="shared" si="78"/>
        <v>703.76368964985352</v>
      </c>
      <c r="I210" s="778">
        <f t="shared" si="78"/>
        <v>122.04399969150084</v>
      </c>
      <c r="J210" s="365"/>
      <c r="K210" s="25">
        <f t="shared" si="76"/>
        <v>10374.398735153478</v>
      </c>
      <c r="L210" s="778">
        <v>1</v>
      </c>
      <c r="M210" s="778">
        <f t="shared" si="74"/>
        <v>10374.398735153478</v>
      </c>
      <c r="N210" s="678">
        <v>10253</v>
      </c>
      <c r="O210" s="678"/>
      <c r="P210" s="40" t="s">
        <v>601</v>
      </c>
      <c r="Q210" s="794">
        <v>40745</v>
      </c>
      <c r="R210" s="793"/>
      <c r="S210" s="306">
        <f>L210/2</f>
        <v>0.5</v>
      </c>
      <c r="T210" s="822">
        <v>16303</v>
      </c>
      <c r="U210" s="25">
        <f t="shared" si="73"/>
        <v>8152</v>
      </c>
      <c r="V210" s="456"/>
      <c r="W210" s="794"/>
      <c r="X210" s="822"/>
      <c r="Y210" s="822"/>
      <c r="Z210" s="25"/>
    </row>
    <row r="211" spans="1:26" ht="13.5" customHeight="1">
      <c r="A211" s="777">
        <f t="shared" si="72"/>
        <v>27</v>
      </c>
      <c r="B211" s="298" t="s">
        <v>749</v>
      </c>
      <c r="C211" s="25">
        <f t="shared" si="69"/>
        <v>8087</v>
      </c>
      <c r="D211" s="778">
        <f t="shared" si="78"/>
        <v>725.35863026376683</v>
      </c>
      <c r="E211" s="778">
        <f t="shared" si="78"/>
        <v>191.34544192503472</v>
      </c>
      <c r="F211" s="778">
        <f t="shared" si="78"/>
        <v>406.09706154558074</v>
      </c>
      <c r="G211" s="778">
        <f t="shared" si="78"/>
        <v>73.789912077741789</v>
      </c>
      <c r="H211" s="778">
        <f t="shared" si="78"/>
        <v>703.76368964985352</v>
      </c>
      <c r="I211" s="778">
        <f t="shared" si="78"/>
        <v>122.04399969150084</v>
      </c>
      <c r="J211" s="365"/>
      <c r="K211" s="25">
        <f t="shared" si="76"/>
        <v>10309.398735153478</v>
      </c>
      <c r="L211" s="778">
        <v>1</v>
      </c>
      <c r="M211" s="778">
        <f t="shared" si="74"/>
        <v>10309.398735153478</v>
      </c>
      <c r="N211" s="678">
        <v>12564</v>
      </c>
      <c r="O211" s="678"/>
      <c r="P211" s="189" t="s">
        <v>488</v>
      </c>
      <c r="Q211" s="794">
        <v>40745</v>
      </c>
      <c r="R211" s="793"/>
      <c r="S211" s="306">
        <f>L211/2</f>
        <v>0.5</v>
      </c>
      <c r="T211" s="822">
        <v>16173</v>
      </c>
      <c r="U211" s="25">
        <f t="shared" si="73"/>
        <v>8087</v>
      </c>
      <c r="V211" s="456"/>
      <c r="W211" s="794"/>
      <c r="X211" s="822"/>
      <c r="Y211" s="822"/>
      <c r="Z211" s="25"/>
    </row>
    <row r="212" spans="1:26" ht="13.5" customHeight="1">
      <c r="A212" s="777">
        <f t="shared" si="72"/>
        <v>28</v>
      </c>
      <c r="B212" s="298" t="s">
        <v>1002</v>
      </c>
      <c r="C212" s="25">
        <f t="shared" si="69"/>
        <v>215154</v>
      </c>
      <c r="D212" s="778">
        <f t="shared" si="78"/>
        <v>13056.455344747803</v>
      </c>
      <c r="E212" s="778">
        <f t="shared" si="78"/>
        <v>3444.217954650625</v>
      </c>
      <c r="F212" s="778">
        <f t="shared" si="78"/>
        <v>7309.7471078204535</v>
      </c>
      <c r="G212" s="778">
        <f t="shared" si="78"/>
        <v>1328.2184173993521</v>
      </c>
      <c r="H212" s="778">
        <f t="shared" si="78"/>
        <v>12667.746413697363</v>
      </c>
      <c r="I212" s="778">
        <f t="shared" si="78"/>
        <v>2196.791994447015</v>
      </c>
      <c r="J212" s="365"/>
      <c r="K212" s="25">
        <f t="shared" si="76"/>
        <v>255157.17723276262</v>
      </c>
      <c r="L212" s="778">
        <v>18</v>
      </c>
      <c r="M212" s="778">
        <f t="shared" si="74"/>
        <v>14175.39873515348</v>
      </c>
      <c r="N212" s="678">
        <v>14438</v>
      </c>
      <c r="O212" s="678"/>
      <c r="P212" s="40" t="s">
        <v>622</v>
      </c>
      <c r="Q212" s="794">
        <v>40745</v>
      </c>
      <c r="R212" s="793"/>
      <c r="S212" s="306">
        <v>9</v>
      </c>
      <c r="T212" s="822">
        <v>23906</v>
      </c>
      <c r="U212" s="25">
        <f t="shared" si="73"/>
        <v>215154</v>
      </c>
      <c r="V212" s="456"/>
      <c r="W212" s="794"/>
      <c r="X212" s="822"/>
      <c r="Y212" s="822"/>
      <c r="Z212" s="25"/>
    </row>
    <row r="213" spans="1:26" ht="13.5" customHeight="1">
      <c r="A213" s="777">
        <f t="shared" si="72"/>
        <v>29</v>
      </c>
      <c r="B213" s="298" t="s">
        <v>750</v>
      </c>
      <c r="C213" s="25">
        <f t="shared" si="69"/>
        <v>1892898</v>
      </c>
      <c r="D213" s="778">
        <f t="shared" si="78"/>
        <v>120409.53262378529</v>
      </c>
      <c r="E213" s="778">
        <f t="shared" si="78"/>
        <v>31763.343359555765</v>
      </c>
      <c r="F213" s="778">
        <f t="shared" si="78"/>
        <v>67412.112216566398</v>
      </c>
      <c r="G213" s="778">
        <f t="shared" si="78"/>
        <v>12249.125404905137</v>
      </c>
      <c r="H213" s="778">
        <f t="shared" si="78"/>
        <v>116824.77248187568</v>
      </c>
      <c r="I213" s="778">
        <f t="shared" si="78"/>
        <v>20259.30394878914</v>
      </c>
      <c r="J213" s="365"/>
      <c r="K213" s="25">
        <f t="shared" si="76"/>
        <v>2261816.1900354773</v>
      </c>
      <c r="L213" s="778">
        <v>166</v>
      </c>
      <c r="M213" s="778">
        <f t="shared" si="74"/>
        <v>13625.398735153478</v>
      </c>
      <c r="N213" s="678">
        <v>15618</v>
      </c>
      <c r="O213" s="678"/>
      <c r="P213" s="189" t="s">
        <v>493</v>
      </c>
      <c r="Q213" s="794">
        <v>40745</v>
      </c>
      <c r="R213" s="793"/>
      <c r="S213" s="306">
        <f>L213/2</f>
        <v>83</v>
      </c>
      <c r="T213" s="256">
        <v>22806</v>
      </c>
      <c r="U213" s="25">
        <f t="shared" si="73"/>
        <v>1892898</v>
      </c>
      <c r="V213" s="456"/>
      <c r="W213" s="794"/>
      <c r="X213" s="822"/>
      <c r="Y213" s="822"/>
      <c r="Z213" s="25"/>
    </row>
    <row r="214" spans="1:26" ht="13.5" customHeight="1">
      <c r="A214" s="777">
        <f t="shared" si="72"/>
        <v>30</v>
      </c>
      <c r="B214" s="298" t="s">
        <v>1003</v>
      </c>
      <c r="C214" s="25">
        <f t="shared" si="69"/>
        <v>14280</v>
      </c>
      <c r="D214" s="778">
        <f t="shared" si="78"/>
        <v>1450.7172605275337</v>
      </c>
      <c r="E214" s="778">
        <f t="shared" si="78"/>
        <v>382.69088385006944</v>
      </c>
      <c r="F214" s="778">
        <f t="shared" si="78"/>
        <v>812.19412309116149</v>
      </c>
      <c r="G214" s="778">
        <f t="shared" si="78"/>
        <v>147.57982415548358</v>
      </c>
      <c r="H214" s="778">
        <f t="shared" si="78"/>
        <v>1407.527379299707</v>
      </c>
      <c r="I214" s="778">
        <f t="shared" si="78"/>
        <v>244.08799938300169</v>
      </c>
      <c r="J214" s="365"/>
      <c r="K214" s="25">
        <f t="shared" si="76"/>
        <v>18724.797470306956</v>
      </c>
      <c r="L214" s="778">
        <v>2</v>
      </c>
      <c r="M214" s="778">
        <f t="shared" si="74"/>
        <v>9362.3987351534779</v>
      </c>
      <c r="N214" s="678">
        <v>10026</v>
      </c>
      <c r="O214" s="678"/>
      <c r="P214" s="40" t="s">
        <v>604</v>
      </c>
      <c r="Q214" s="794">
        <v>40745</v>
      </c>
      <c r="R214" s="793"/>
      <c r="S214" s="306">
        <f>L214/2</f>
        <v>1</v>
      </c>
      <c r="T214" s="256">
        <v>14280</v>
      </c>
      <c r="U214" s="25">
        <f t="shared" si="73"/>
        <v>14280</v>
      </c>
      <c r="V214" s="456"/>
      <c r="W214" s="794"/>
      <c r="X214" s="822"/>
      <c r="Y214" s="822"/>
      <c r="Z214" s="25"/>
    </row>
    <row r="215" spans="1:26" ht="13.5" customHeight="1">
      <c r="A215" s="777">
        <f t="shared" si="72"/>
        <v>31</v>
      </c>
      <c r="B215" s="298" t="s">
        <v>1004</v>
      </c>
      <c r="C215" s="25">
        <f t="shared" si="69"/>
        <v>8152</v>
      </c>
      <c r="D215" s="778">
        <f t="shared" ref="D215:I224" si="79">IF($L$339&lt;&gt;0,D$339/$L$339*$L215,0)</f>
        <v>725.35863026376683</v>
      </c>
      <c r="E215" s="778">
        <f t="shared" si="79"/>
        <v>191.34544192503472</v>
      </c>
      <c r="F215" s="778">
        <f t="shared" si="79"/>
        <v>406.09706154558074</v>
      </c>
      <c r="G215" s="778">
        <f t="shared" si="79"/>
        <v>73.789912077741789</v>
      </c>
      <c r="H215" s="778">
        <f t="shared" si="79"/>
        <v>703.76368964985352</v>
      </c>
      <c r="I215" s="778">
        <f t="shared" si="79"/>
        <v>122.04399969150084</v>
      </c>
      <c r="J215" s="365"/>
      <c r="K215" s="25">
        <f t="shared" si="76"/>
        <v>10374.398735153478</v>
      </c>
      <c r="L215" s="778">
        <v>1</v>
      </c>
      <c r="M215" s="778">
        <f t="shared" si="74"/>
        <v>10374.398735153478</v>
      </c>
      <c r="N215" s="678">
        <v>10723</v>
      </c>
      <c r="O215" s="678"/>
      <c r="P215" s="40" t="s">
        <v>601</v>
      </c>
      <c r="Q215" s="794">
        <v>40745</v>
      </c>
      <c r="R215" s="793"/>
      <c r="S215" s="306">
        <f t="shared" ref="S215" si="80">L215/2</f>
        <v>0.5</v>
      </c>
      <c r="T215" s="822">
        <v>16303</v>
      </c>
      <c r="U215" s="25">
        <f t="shared" si="73"/>
        <v>8152</v>
      </c>
      <c r="V215" s="456"/>
      <c r="W215" s="794"/>
      <c r="X215" s="822"/>
      <c r="Y215" s="822"/>
      <c r="Z215" s="25"/>
    </row>
    <row r="216" spans="1:26" ht="13.5" customHeight="1">
      <c r="A216" s="777">
        <f t="shared" si="72"/>
        <v>32</v>
      </c>
      <c r="B216" s="298" t="s">
        <v>751</v>
      </c>
      <c r="C216" s="25">
        <f t="shared" si="69"/>
        <v>42412</v>
      </c>
      <c r="D216" s="778">
        <f t="shared" si="79"/>
        <v>2901.4345210550673</v>
      </c>
      <c r="E216" s="778">
        <f t="shared" si="79"/>
        <v>765.38176770013888</v>
      </c>
      <c r="F216" s="778">
        <f t="shared" si="79"/>
        <v>1624.388246182323</v>
      </c>
      <c r="G216" s="778">
        <f t="shared" si="79"/>
        <v>295.15964831096716</v>
      </c>
      <c r="H216" s="778">
        <f t="shared" si="79"/>
        <v>2815.0547585994141</v>
      </c>
      <c r="I216" s="778">
        <f t="shared" si="79"/>
        <v>488.17599876600337</v>
      </c>
      <c r="J216" s="365"/>
      <c r="K216" s="25">
        <f t="shared" si="76"/>
        <v>51301.594940613912</v>
      </c>
      <c r="L216" s="778">
        <v>4</v>
      </c>
      <c r="M216" s="778">
        <f t="shared" si="74"/>
        <v>12825.398735153478</v>
      </c>
      <c r="N216" s="678">
        <v>14010</v>
      </c>
      <c r="O216" s="678"/>
      <c r="P216" s="189" t="s">
        <v>519</v>
      </c>
      <c r="Q216" s="794">
        <v>40745</v>
      </c>
      <c r="R216" s="793"/>
      <c r="S216" s="306">
        <f>L216</f>
        <v>4</v>
      </c>
      <c r="T216" s="822">
        <v>10603</v>
      </c>
      <c r="U216" s="25">
        <f t="shared" si="73"/>
        <v>42412</v>
      </c>
      <c r="V216" s="456"/>
      <c r="W216" s="794"/>
      <c r="X216" s="822"/>
      <c r="Y216" s="822"/>
      <c r="Z216" s="25"/>
    </row>
    <row r="217" spans="1:26" ht="13.5" customHeight="1">
      <c r="A217" s="777">
        <f t="shared" si="72"/>
        <v>33</v>
      </c>
      <c r="B217" s="298" t="s">
        <v>1005</v>
      </c>
      <c r="C217" s="25">
        <f t="shared" si="69"/>
        <v>35574</v>
      </c>
      <c r="D217" s="778">
        <f t="shared" si="79"/>
        <v>2176.0758907913005</v>
      </c>
      <c r="E217" s="778">
        <f t="shared" si="79"/>
        <v>574.03632577510416</v>
      </c>
      <c r="F217" s="778">
        <f t="shared" si="79"/>
        <v>1218.2911846367422</v>
      </c>
      <c r="G217" s="778">
        <f t="shared" si="79"/>
        <v>221.36973623322535</v>
      </c>
      <c r="H217" s="778">
        <f t="shared" si="79"/>
        <v>2111.2910689495607</v>
      </c>
      <c r="I217" s="778">
        <f t="shared" si="79"/>
        <v>366.13199907450252</v>
      </c>
      <c r="J217" s="365"/>
      <c r="K217" s="25">
        <f t="shared" si="76"/>
        <v>42241.19620546043</v>
      </c>
      <c r="L217" s="778">
        <v>3</v>
      </c>
      <c r="M217" s="778">
        <f t="shared" ref="M217:M280" si="81">IF(L217&lt;&gt;"",K217/L217,"")</f>
        <v>14080.398735153476</v>
      </c>
      <c r="N217" s="678">
        <v>15054</v>
      </c>
      <c r="O217" s="678"/>
      <c r="P217" s="189" t="s">
        <v>492</v>
      </c>
      <c r="Q217" s="794">
        <v>40745</v>
      </c>
      <c r="R217" s="793"/>
      <c r="S217" s="306">
        <f>L217/2</f>
        <v>1.5</v>
      </c>
      <c r="T217" s="256">
        <v>23716</v>
      </c>
      <c r="U217" s="25">
        <f t="shared" si="73"/>
        <v>35574</v>
      </c>
      <c r="V217" s="456"/>
      <c r="W217" s="794"/>
      <c r="X217" s="822"/>
      <c r="Y217" s="822"/>
      <c r="Z217" s="25"/>
    </row>
    <row r="218" spans="1:26" ht="13.5" customHeight="1">
      <c r="A218" s="777">
        <f t="shared" si="72"/>
        <v>34</v>
      </c>
      <c r="B218" s="298" t="s">
        <v>752</v>
      </c>
      <c r="C218" s="25">
        <f t="shared" si="69"/>
        <v>35574</v>
      </c>
      <c r="D218" s="778">
        <f t="shared" si="79"/>
        <v>2176.0758907913005</v>
      </c>
      <c r="E218" s="778">
        <f t="shared" si="79"/>
        <v>574.03632577510416</v>
      </c>
      <c r="F218" s="778">
        <f t="shared" si="79"/>
        <v>1218.2911846367422</v>
      </c>
      <c r="G218" s="778">
        <f t="shared" si="79"/>
        <v>221.36973623322535</v>
      </c>
      <c r="H218" s="778">
        <f t="shared" si="79"/>
        <v>2111.2910689495607</v>
      </c>
      <c r="I218" s="778">
        <f t="shared" si="79"/>
        <v>366.13199907450252</v>
      </c>
      <c r="J218" s="365"/>
      <c r="K218" s="25">
        <f t="shared" si="76"/>
        <v>42241.19620546043</v>
      </c>
      <c r="L218" s="778">
        <v>3</v>
      </c>
      <c r="M218" s="778">
        <f t="shared" si="81"/>
        <v>14080.398735153476</v>
      </c>
      <c r="N218" s="678">
        <v>16284</v>
      </c>
      <c r="O218" s="678"/>
      <c r="P218" s="189" t="s">
        <v>492</v>
      </c>
      <c r="Q218" s="794">
        <v>40745</v>
      </c>
      <c r="R218" s="793"/>
      <c r="S218" s="306">
        <f>L218/2</f>
        <v>1.5</v>
      </c>
      <c r="T218" s="256">
        <v>23716</v>
      </c>
      <c r="U218" s="25">
        <f>ROUND(S218*T218,0)</f>
        <v>35574</v>
      </c>
      <c r="V218" s="456"/>
      <c r="W218" s="794"/>
      <c r="X218" s="822"/>
      <c r="Y218" s="822"/>
      <c r="Z218" s="25"/>
    </row>
    <row r="219" spans="1:26" ht="13.5" customHeight="1">
      <c r="A219" s="777">
        <f t="shared" si="72"/>
        <v>35</v>
      </c>
      <c r="B219" s="298" t="s">
        <v>1006</v>
      </c>
      <c r="C219" s="25">
        <f t="shared" si="69"/>
        <v>1231524</v>
      </c>
      <c r="D219" s="778">
        <f t="shared" si="79"/>
        <v>77613.373438223047</v>
      </c>
      <c r="E219" s="778">
        <f t="shared" si="79"/>
        <v>20473.962285978716</v>
      </c>
      <c r="F219" s="778">
        <f t="shared" si="79"/>
        <v>43452.385585377138</v>
      </c>
      <c r="G219" s="778">
        <f t="shared" si="79"/>
        <v>7895.5205923183712</v>
      </c>
      <c r="H219" s="778">
        <f t="shared" si="79"/>
        <v>75302.714792534331</v>
      </c>
      <c r="I219" s="778">
        <f t="shared" si="79"/>
        <v>13058.707966990591</v>
      </c>
      <c r="J219" s="365"/>
      <c r="K219" s="25">
        <f t="shared" si="76"/>
        <v>1469320.6646614221</v>
      </c>
      <c r="L219" s="778">
        <v>107</v>
      </c>
      <c r="M219" s="778">
        <f t="shared" si="81"/>
        <v>13731.968828611421</v>
      </c>
      <c r="N219" s="678">
        <v>16832</v>
      </c>
      <c r="O219" s="678"/>
      <c r="P219" s="189" t="s">
        <v>493</v>
      </c>
      <c r="Q219" s="794">
        <v>40745</v>
      </c>
      <c r="R219" s="793"/>
      <c r="S219" s="306">
        <v>54</v>
      </c>
      <c r="T219" s="256">
        <v>22806</v>
      </c>
      <c r="U219" s="25">
        <f>ROUND(S219*T219,0)</f>
        <v>1231524</v>
      </c>
      <c r="V219" s="456"/>
      <c r="W219" s="794"/>
      <c r="X219" s="822"/>
      <c r="Y219" s="822"/>
      <c r="Z219" s="25"/>
    </row>
    <row r="220" spans="1:26" ht="13.5" customHeight="1">
      <c r="A220" s="777">
        <f>IF(B220&lt;&gt;"",A219+1,"")</f>
        <v>36</v>
      </c>
      <c r="B220" s="298" t="s">
        <v>1007</v>
      </c>
      <c r="C220" s="25">
        <f t="shared" si="69"/>
        <v>695893</v>
      </c>
      <c r="D220" s="778">
        <f t="shared" si="79"/>
        <v>60204.766311892643</v>
      </c>
      <c r="E220" s="778">
        <f t="shared" si="79"/>
        <v>15881.671679777883</v>
      </c>
      <c r="F220" s="778">
        <f t="shared" si="79"/>
        <v>33706.056108283199</v>
      </c>
      <c r="G220" s="778">
        <f t="shared" si="79"/>
        <v>6124.5627024525684</v>
      </c>
      <c r="H220" s="778">
        <f t="shared" si="79"/>
        <v>58412.386240937842</v>
      </c>
      <c r="I220" s="778">
        <f t="shared" si="79"/>
        <v>10129.65197439457</v>
      </c>
      <c r="J220" s="365"/>
      <c r="K220" s="25">
        <f t="shared" si="76"/>
        <v>880352.09501773876</v>
      </c>
      <c r="L220" s="778">
        <v>83</v>
      </c>
      <c r="M220" s="778">
        <f t="shared" si="81"/>
        <v>10606.651747201671</v>
      </c>
      <c r="N220" s="678">
        <v>11079</v>
      </c>
      <c r="O220" s="678"/>
      <c r="P220" s="189" t="s">
        <v>551</v>
      </c>
      <c r="Q220" s="794">
        <v>40745</v>
      </c>
      <c r="R220" s="793"/>
      <c r="S220" s="306">
        <v>41</v>
      </c>
      <c r="T220" s="822">
        <v>16973</v>
      </c>
      <c r="U220" s="25">
        <f>ROUND(S220*T220,0)</f>
        <v>695893</v>
      </c>
      <c r="V220" s="456"/>
      <c r="W220" s="794"/>
      <c r="X220" s="822"/>
      <c r="Y220" s="822"/>
      <c r="Z220" s="25"/>
    </row>
    <row r="221" spans="1:26" ht="13.5" customHeight="1">
      <c r="A221" s="777">
        <f t="shared" si="72"/>
        <v>37</v>
      </c>
      <c r="B221" s="298" t="s">
        <v>1008</v>
      </c>
      <c r="C221" s="25">
        <f t="shared" si="69"/>
        <v>263772</v>
      </c>
      <c r="D221" s="778">
        <f t="shared" si="79"/>
        <v>36993.290143452105</v>
      </c>
      <c r="E221" s="778">
        <f t="shared" si="79"/>
        <v>9758.6175381767716</v>
      </c>
      <c r="F221" s="778">
        <f t="shared" si="79"/>
        <v>20710.950138824617</v>
      </c>
      <c r="G221" s="778">
        <f t="shared" si="79"/>
        <v>3763.2855159648311</v>
      </c>
      <c r="H221" s="778">
        <f t="shared" si="79"/>
        <v>35891.948172142533</v>
      </c>
      <c r="I221" s="778">
        <f t="shared" si="79"/>
        <v>6224.2439842665426</v>
      </c>
      <c r="J221" s="365"/>
      <c r="K221" s="25">
        <f t="shared" si="76"/>
        <v>377114.33549282746</v>
      </c>
      <c r="L221" s="778">
        <v>51</v>
      </c>
      <c r="M221" s="778">
        <f t="shared" si="81"/>
        <v>7394.3987351534797</v>
      </c>
      <c r="N221" s="678">
        <v>8450</v>
      </c>
      <c r="O221" s="678"/>
      <c r="P221" s="189" t="s">
        <v>578</v>
      </c>
      <c r="Q221" s="794">
        <v>40745</v>
      </c>
      <c r="R221" s="793"/>
      <c r="S221" s="306">
        <f>L221/2</f>
        <v>25.5</v>
      </c>
      <c r="T221" s="822">
        <v>10344</v>
      </c>
      <c r="U221" s="25">
        <f t="shared" si="73"/>
        <v>263772</v>
      </c>
      <c r="V221" s="456"/>
      <c r="W221" s="794"/>
      <c r="X221" s="822"/>
      <c r="Y221" s="822"/>
      <c r="Z221" s="25"/>
    </row>
    <row r="222" spans="1:26" ht="13.5" customHeight="1">
      <c r="A222" s="777">
        <f t="shared" si="72"/>
        <v>38</v>
      </c>
      <c r="B222" s="298" t="s">
        <v>1000</v>
      </c>
      <c r="C222" s="25">
        <f t="shared" si="69"/>
        <v>542340</v>
      </c>
      <c r="D222" s="778">
        <f t="shared" si="79"/>
        <v>65282.276723739014</v>
      </c>
      <c r="E222" s="778">
        <f t="shared" si="79"/>
        <v>17221.089773253123</v>
      </c>
      <c r="F222" s="778">
        <f t="shared" si="79"/>
        <v>36548.735539102265</v>
      </c>
      <c r="G222" s="778">
        <f t="shared" si="79"/>
        <v>6641.0920869967613</v>
      </c>
      <c r="H222" s="778">
        <f t="shared" si="79"/>
        <v>63338.732068486817</v>
      </c>
      <c r="I222" s="778">
        <f t="shared" si="79"/>
        <v>10983.959972235076</v>
      </c>
      <c r="J222" s="365"/>
      <c r="K222" s="25">
        <f t="shared" si="76"/>
        <v>742355.88616381295</v>
      </c>
      <c r="L222" s="778">
        <v>90</v>
      </c>
      <c r="M222" s="778">
        <f t="shared" si="81"/>
        <v>8248.3987351534779</v>
      </c>
      <c r="N222" s="678">
        <v>9594</v>
      </c>
      <c r="O222" s="678"/>
      <c r="P222" s="298" t="s">
        <v>479</v>
      </c>
      <c r="Q222" s="794">
        <v>40745</v>
      </c>
      <c r="R222" s="793"/>
      <c r="S222" s="306">
        <f>L222</f>
        <v>90</v>
      </c>
      <c r="T222" s="822">
        <v>6026</v>
      </c>
      <c r="U222" s="25">
        <f t="shared" si="73"/>
        <v>542340</v>
      </c>
      <c r="V222" s="456"/>
      <c r="W222" s="794"/>
      <c r="X222" s="822"/>
      <c r="Y222" s="822"/>
      <c r="Z222" s="25"/>
    </row>
    <row r="223" spans="1:26" ht="13.5" customHeight="1">
      <c r="A223" s="777">
        <f t="shared" si="72"/>
        <v>39</v>
      </c>
      <c r="B223" s="298" t="s">
        <v>1002</v>
      </c>
      <c r="C223" s="25">
        <f t="shared" si="69"/>
        <v>7187425</v>
      </c>
      <c r="D223" s="778">
        <f t="shared" si="79"/>
        <v>485264.92364646</v>
      </c>
      <c r="E223" s="778">
        <f t="shared" si="79"/>
        <v>128010.10064784823</v>
      </c>
      <c r="F223" s="778">
        <f t="shared" si="79"/>
        <v>271678.93417399353</v>
      </c>
      <c r="G223" s="778">
        <f t="shared" si="79"/>
        <v>49365.451180009259</v>
      </c>
      <c r="H223" s="778">
        <f t="shared" si="79"/>
        <v>470817.90837575198</v>
      </c>
      <c r="I223" s="778">
        <f t="shared" si="79"/>
        <v>81647.435793614059</v>
      </c>
      <c r="J223" s="365"/>
      <c r="K223" s="25">
        <f t="shared" si="76"/>
        <v>8674209.7538176775</v>
      </c>
      <c r="L223" s="778">
        <v>669</v>
      </c>
      <c r="M223" s="778">
        <f t="shared" si="81"/>
        <v>12965.933862208785</v>
      </c>
      <c r="N223" s="678">
        <v>14438</v>
      </c>
      <c r="O223" s="678"/>
      <c r="P223" s="189" t="s">
        <v>631</v>
      </c>
      <c r="Q223" s="794">
        <v>40745</v>
      </c>
      <c r="R223" s="793"/>
      <c r="S223" s="306">
        <v>335</v>
      </c>
      <c r="T223" s="847">
        <v>21455</v>
      </c>
      <c r="U223" s="25">
        <f t="shared" si="73"/>
        <v>7187425</v>
      </c>
      <c r="V223" s="456"/>
      <c r="W223" s="794"/>
      <c r="X223" s="822"/>
      <c r="Y223" s="822"/>
      <c r="Z223" s="25"/>
    </row>
    <row r="224" spans="1:26" ht="13.5" customHeight="1">
      <c r="A224" s="777">
        <f>IF(B224&lt;&gt;"",A223+1,"")</f>
        <v>40</v>
      </c>
      <c r="B224" s="298" t="s">
        <v>746</v>
      </c>
      <c r="C224" s="25">
        <f t="shared" si="69"/>
        <v>1060576</v>
      </c>
      <c r="D224" s="778">
        <f t="shared" si="79"/>
        <v>127663.11892642296</v>
      </c>
      <c r="E224" s="778">
        <f t="shared" si="79"/>
        <v>33676.797778806111</v>
      </c>
      <c r="F224" s="778">
        <f t="shared" si="79"/>
        <v>71473.082832022206</v>
      </c>
      <c r="G224" s="778">
        <f t="shared" si="79"/>
        <v>12987.024525682555</v>
      </c>
      <c r="H224" s="778">
        <f t="shared" si="79"/>
        <v>123862.40937837421</v>
      </c>
      <c r="I224" s="778">
        <f t="shared" si="79"/>
        <v>21479.743945704147</v>
      </c>
      <c r="J224" s="365"/>
      <c r="K224" s="25">
        <f t="shared" si="76"/>
        <v>1451718.1773870119</v>
      </c>
      <c r="L224" s="778">
        <v>176</v>
      </c>
      <c r="M224" s="778">
        <f t="shared" si="81"/>
        <v>8248.3987351534761</v>
      </c>
      <c r="N224" s="678">
        <v>10595</v>
      </c>
      <c r="O224" s="678"/>
      <c r="P224" s="298" t="s">
        <v>479</v>
      </c>
      <c r="Q224" s="794">
        <v>40745</v>
      </c>
      <c r="R224" s="793"/>
      <c r="S224" s="306">
        <f>L224</f>
        <v>176</v>
      </c>
      <c r="T224" s="822">
        <v>6026</v>
      </c>
      <c r="U224" s="25">
        <f t="shared" si="73"/>
        <v>1060576</v>
      </c>
      <c r="V224" s="456"/>
      <c r="W224" s="794"/>
      <c r="X224" s="822"/>
      <c r="Y224" s="822"/>
      <c r="Z224" s="25"/>
    </row>
    <row r="225" spans="1:26" ht="13.5" customHeight="1">
      <c r="A225" s="777">
        <f t="shared" si="72"/>
        <v>41</v>
      </c>
      <c r="B225" s="298" t="s">
        <v>995</v>
      </c>
      <c r="C225" s="25">
        <f t="shared" si="69"/>
        <v>301300</v>
      </c>
      <c r="D225" s="778">
        <f t="shared" ref="D225:I234" si="82">IF($L$339&lt;&gt;0,D$339/$L$339*$L225,0)</f>
        <v>36267.931513188341</v>
      </c>
      <c r="E225" s="778">
        <f t="shared" si="82"/>
        <v>9567.272096251736</v>
      </c>
      <c r="F225" s="778">
        <f t="shared" si="82"/>
        <v>20304.853077279036</v>
      </c>
      <c r="G225" s="778">
        <f t="shared" si="82"/>
        <v>3689.4956038870896</v>
      </c>
      <c r="H225" s="778">
        <f t="shared" si="82"/>
        <v>35188.184482492674</v>
      </c>
      <c r="I225" s="778">
        <f t="shared" si="82"/>
        <v>6102.1999845750424</v>
      </c>
      <c r="J225" s="365"/>
      <c r="K225" s="25">
        <f t="shared" si="76"/>
        <v>412419.93675767392</v>
      </c>
      <c r="L225" s="778">
        <v>50</v>
      </c>
      <c r="M225" s="778">
        <f t="shared" si="81"/>
        <v>8248.3987351534779</v>
      </c>
      <c r="N225" s="678">
        <v>9793</v>
      </c>
      <c r="O225" s="678"/>
      <c r="P225" s="298" t="s">
        <v>479</v>
      </c>
      <c r="Q225" s="794">
        <v>40746</v>
      </c>
      <c r="R225" s="793"/>
      <c r="S225" s="306">
        <f>L225</f>
        <v>50</v>
      </c>
      <c r="T225" s="822">
        <v>6026</v>
      </c>
      <c r="U225" s="25">
        <f t="shared" si="73"/>
        <v>301300</v>
      </c>
      <c r="V225" s="456"/>
      <c r="W225" s="794"/>
      <c r="X225" s="822"/>
      <c r="Y225" s="822"/>
      <c r="Z225" s="25"/>
    </row>
    <row r="226" spans="1:26" ht="13.5" customHeight="1">
      <c r="A226" s="777">
        <f t="shared" si="72"/>
        <v>42</v>
      </c>
      <c r="B226" s="298" t="s">
        <v>751</v>
      </c>
      <c r="C226" s="25">
        <f t="shared" si="69"/>
        <v>544824</v>
      </c>
      <c r="D226" s="778">
        <f t="shared" si="82"/>
        <v>33366.496992133274</v>
      </c>
      <c r="E226" s="778">
        <f t="shared" si="82"/>
        <v>8801.8903285515971</v>
      </c>
      <c r="F226" s="778">
        <f t="shared" si="82"/>
        <v>18680.464831096713</v>
      </c>
      <c r="G226" s="778">
        <f t="shared" si="82"/>
        <v>3394.3359555761222</v>
      </c>
      <c r="H226" s="778">
        <f t="shared" si="82"/>
        <v>32373.12972389326</v>
      </c>
      <c r="I226" s="778">
        <f t="shared" si="82"/>
        <v>5614.023985809039</v>
      </c>
      <c r="J226" s="365"/>
      <c r="K226" s="25">
        <f t="shared" si="76"/>
        <v>647054.34181706014</v>
      </c>
      <c r="L226" s="778">
        <v>46</v>
      </c>
      <c r="M226" s="778">
        <f t="shared" si="81"/>
        <v>14066.398735153482</v>
      </c>
      <c r="N226" s="678">
        <v>14010</v>
      </c>
      <c r="O226" s="678"/>
      <c r="P226" s="40" t="s">
        <v>624</v>
      </c>
      <c r="Q226" s="794">
        <v>40746</v>
      </c>
      <c r="R226" s="793"/>
      <c r="S226" s="306">
        <v>23</v>
      </c>
      <c r="T226" s="847">
        <v>23688</v>
      </c>
      <c r="U226" s="25">
        <f t="shared" si="73"/>
        <v>544824</v>
      </c>
      <c r="V226" s="456"/>
      <c r="W226" s="794"/>
      <c r="X226" s="822"/>
      <c r="Y226" s="822"/>
      <c r="Z226" s="25"/>
    </row>
    <row r="227" spans="1:26" ht="13.5" customHeight="1">
      <c r="A227" s="777">
        <f t="shared" si="72"/>
        <v>43</v>
      </c>
      <c r="B227" s="298" t="s">
        <v>1009</v>
      </c>
      <c r="C227" s="25">
        <f t="shared" si="69"/>
        <v>577082</v>
      </c>
      <c r="D227" s="778">
        <f t="shared" si="82"/>
        <v>49324.386857936144</v>
      </c>
      <c r="E227" s="778">
        <f t="shared" si="82"/>
        <v>13011.490050902361</v>
      </c>
      <c r="F227" s="778">
        <f t="shared" si="82"/>
        <v>27614.600185099491</v>
      </c>
      <c r="G227" s="778">
        <f t="shared" si="82"/>
        <v>5017.7140212864415</v>
      </c>
      <c r="H227" s="778">
        <f t="shared" si="82"/>
        <v>47855.930896190039</v>
      </c>
      <c r="I227" s="778">
        <f t="shared" si="82"/>
        <v>8298.9919790220574</v>
      </c>
      <c r="J227" s="365"/>
      <c r="K227" s="25">
        <f t="shared" si="76"/>
        <v>728205.11399043654</v>
      </c>
      <c r="L227" s="778">
        <v>68</v>
      </c>
      <c r="M227" s="778">
        <f t="shared" si="81"/>
        <v>10708.898735153478</v>
      </c>
      <c r="N227" s="678">
        <v>11067</v>
      </c>
      <c r="O227" s="678"/>
      <c r="P227" s="189" t="s">
        <v>551</v>
      </c>
      <c r="Q227" s="794">
        <v>40746</v>
      </c>
      <c r="R227" s="793"/>
      <c r="S227" s="306">
        <f t="shared" ref="S227" si="83">L227/2</f>
        <v>34</v>
      </c>
      <c r="T227" s="822">
        <v>16973</v>
      </c>
      <c r="U227" s="25">
        <f t="shared" si="73"/>
        <v>577082</v>
      </c>
      <c r="V227" s="456"/>
      <c r="W227" s="794"/>
      <c r="X227" s="822"/>
      <c r="Y227" s="822"/>
      <c r="Z227" s="25"/>
    </row>
    <row r="228" spans="1:26" ht="13.5" customHeight="1">
      <c r="A228" s="777">
        <f t="shared" si="72"/>
        <v>44</v>
      </c>
      <c r="B228" s="298" t="s">
        <v>753</v>
      </c>
      <c r="C228" s="25">
        <f t="shared" si="69"/>
        <v>570150</v>
      </c>
      <c r="D228" s="778">
        <f t="shared" si="82"/>
        <v>36267.931513188341</v>
      </c>
      <c r="E228" s="778">
        <f t="shared" si="82"/>
        <v>9567.272096251736</v>
      </c>
      <c r="F228" s="778">
        <f t="shared" si="82"/>
        <v>20304.853077279036</v>
      </c>
      <c r="G228" s="778">
        <f t="shared" si="82"/>
        <v>3689.4956038870896</v>
      </c>
      <c r="H228" s="778">
        <f t="shared" si="82"/>
        <v>35188.184482492674</v>
      </c>
      <c r="I228" s="778">
        <f t="shared" si="82"/>
        <v>6102.1999845750424</v>
      </c>
      <c r="J228" s="365"/>
      <c r="K228" s="25">
        <f t="shared" si="76"/>
        <v>681269.93675767386</v>
      </c>
      <c r="L228" s="778">
        <v>50</v>
      </c>
      <c r="M228" s="778">
        <f t="shared" si="81"/>
        <v>13625.398735153478</v>
      </c>
      <c r="N228" s="678">
        <v>16713</v>
      </c>
      <c r="O228" s="678"/>
      <c r="P228" s="189" t="s">
        <v>493</v>
      </c>
      <c r="Q228" s="794">
        <v>40746</v>
      </c>
      <c r="R228" s="793"/>
      <c r="S228" s="306">
        <f>L228/2</f>
        <v>25</v>
      </c>
      <c r="T228" s="256">
        <v>22806</v>
      </c>
      <c r="U228" s="25">
        <f t="shared" si="73"/>
        <v>570150</v>
      </c>
      <c r="V228" s="456"/>
      <c r="W228" s="794"/>
      <c r="X228" s="822"/>
      <c r="Y228" s="822"/>
      <c r="Z228" s="25"/>
    </row>
    <row r="229" spans="1:26" ht="13.5" customHeight="1">
      <c r="A229" s="777">
        <f t="shared" si="72"/>
        <v>45</v>
      </c>
      <c r="B229" s="298" t="s">
        <v>754</v>
      </c>
      <c r="C229" s="25">
        <f t="shared" si="69"/>
        <v>16303</v>
      </c>
      <c r="D229" s="778">
        <f t="shared" si="82"/>
        <v>1450.7172605275337</v>
      </c>
      <c r="E229" s="778">
        <f t="shared" si="82"/>
        <v>382.69088385006944</v>
      </c>
      <c r="F229" s="778">
        <f t="shared" si="82"/>
        <v>812.19412309116149</v>
      </c>
      <c r="G229" s="778">
        <f t="shared" si="82"/>
        <v>147.57982415548358</v>
      </c>
      <c r="H229" s="778">
        <f t="shared" si="82"/>
        <v>1407.527379299707</v>
      </c>
      <c r="I229" s="778">
        <f t="shared" si="82"/>
        <v>244.08799938300169</v>
      </c>
      <c r="J229" s="365"/>
      <c r="K229" s="25">
        <f t="shared" si="76"/>
        <v>20747.797470306956</v>
      </c>
      <c r="L229" s="778">
        <v>2</v>
      </c>
      <c r="M229" s="778">
        <f t="shared" si="81"/>
        <v>10373.898735153478</v>
      </c>
      <c r="N229" s="678">
        <v>12207</v>
      </c>
      <c r="O229" s="678"/>
      <c r="P229" s="40" t="s">
        <v>601</v>
      </c>
      <c r="Q229" s="794">
        <v>40746</v>
      </c>
      <c r="R229" s="793"/>
      <c r="S229" s="306">
        <f>L229/2</f>
        <v>1</v>
      </c>
      <c r="T229" s="822">
        <v>16303</v>
      </c>
      <c r="U229" s="25">
        <f t="shared" si="73"/>
        <v>16303</v>
      </c>
      <c r="V229" s="456"/>
      <c r="W229" s="794"/>
      <c r="X229" s="822"/>
      <c r="Y229" s="822"/>
      <c r="Z229" s="25"/>
    </row>
    <row r="230" spans="1:26" ht="13.5" customHeight="1">
      <c r="A230" s="777">
        <f t="shared" si="72"/>
        <v>46</v>
      </c>
      <c r="B230" s="298" t="s">
        <v>1010</v>
      </c>
      <c r="C230" s="25">
        <f t="shared" si="69"/>
        <v>11858</v>
      </c>
      <c r="D230" s="778">
        <f t="shared" si="82"/>
        <v>725.35863026376683</v>
      </c>
      <c r="E230" s="778">
        <f t="shared" si="82"/>
        <v>191.34544192503472</v>
      </c>
      <c r="F230" s="778">
        <f t="shared" si="82"/>
        <v>406.09706154558074</v>
      </c>
      <c r="G230" s="778">
        <f t="shared" si="82"/>
        <v>73.789912077741789</v>
      </c>
      <c r="H230" s="778">
        <f t="shared" si="82"/>
        <v>703.76368964985352</v>
      </c>
      <c r="I230" s="778">
        <f t="shared" si="82"/>
        <v>122.04399969150084</v>
      </c>
      <c r="J230" s="365"/>
      <c r="K230" s="25">
        <f t="shared" si="76"/>
        <v>14080.398735153478</v>
      </c>
      <c r="L230" s="778">
        <v>1</v>
      </c>
      <c r="M230" s="778">
        <f t="shared" si="81"/>
        <v>14080.398735153478</v>
      </c>
      <c r="N230" s="678">
        <v>13099</v>
      </c>
      <c r="O230" s="678"/>
      <c r="P230" s="189" t="s">
        <v>492</v>
      </c>
      <c r="Q230" s="794">
        <v>40746</v>
      </c>
      <c r="R230" s="793"/>
      <c r="S230" s="306">
        <f>L230/2</f>
        <v>0.5</v>
      </c>
      <c r="T230" s="256">
        <v>23716</v>
      </c>
      <c r="U230" s="25">
        <f t="shared" si="73"/>
        <v>11858</v>
      </c>
      <c r="V230" s="456"/>
      <c r="W230" s="794"/>
      <c r="X230" s="822"/>
      <c r="Y230" s="822"/>
      <c r="Z230" s="25"/>
    </row>
    <row r="231" spans="1:26" ht="13.5" customHeight="1">
      <c r="A231" s="777">
        <f t="shared" si="72"/>
        <v>47</v>
      </c>
      <c r="B231" s="298" t="s">
        <v>755</v>
      </c>
      <c r="C231" s="25">
        <f t="shared" si="69"/>
        <v>40757</v>
      </c>
      <c r="D231" s="778">
        <f t="shared" si="82"/>
        <v>3626.7931513188341</v>
      </c>
      <c r="E231" s="778">
        <f t="shared" si="82"/>
        <v>956.7272096251736</v>
      </c>
      <c r="F231" s="778">
        <f t="shared" si="82"/>
        <v>2030.4853077279038</v>
      </c>
      <c r="G231" s="778">
        <f t="shared" si="82"/>
        <v>368.94956038870896</v>
      </c>
      <c r="H231" s="778">
        <f t="shared" si="82"/>
        <v>3518.8184482492675</v>
      </c>
      <c r="I231" s="778">
        <f t="shared" si="82"/>
        <v>610.21999845750418</v>
      </c>
      <c r="J231" s="365"/>
      <c r="K231" s="25">
        <f t="shared" si="76"/>
        <v>51868.9936757674</v>
      </c>
      <c r="L231" s="778">
        <v>5</v>
      </c>
      <c r="M231" s="778">
        <f t="shared" si="81"/>
        <v>10373.798735153479</v>
      </c>
      <c r="N231" s="678">
        <v>12179</v>
      </c>
      <c r="O231" s="678"/>
      <c r="P231" s="40" t="s">
        <v>601</v>
      </c>
      <c r="Q231" s="794">
        <v>40746</v>
      </c>
      <c r="R231" s="793"/>
      <c r="S231" s="306">
        <f>L231/2</f>
        <v>2.5</v>
      </c>
      <c r="T231" s="822">
        <v>16302.8</v>
      </c>
      <c r="U231" s="25">
        <f t="shared" si="73"/>
        <v>40757</v>
      </c>
      <c r="V231" s="456"/>
      <c r="W231" s="794"/>
      <c r="X231" s="822"/>
      <c r="Y231" s="822"/>
      <c r="Z231" s="25"/>
    </row>
    <row r="232" spans="1:26" ht="13.5" customHeight="1">
      <c r="A232" s="777">
        <f t="shared" si="72"/>
        <v>48</v>
      </c>
      <c r="B232" s="298" t="s">
        <v>748</v>
      </c>
      <c r="C232" s="25">
        <f t="shared" si="69"/>
        <v>43608</v>
      </c>
      <c r="D232" s="778">
        <f t="shared" si="82"/>
        <v>4352.151781582601</v>
      </c>
      <c r="E232" s="778">
        <f t="shared" si="82"/>
        <v>1148.0726515502083</v>
      </c>
      <c r="F232" s="778">
        <f t="shared" si="82"/>
        <v>2436.5823692734843</v>
      </c>
      <c r="G232" s="778">
        <f t="shared" si="82"/>
        <v>442.73947246645071</v>
      </c>
      <c r="H232" s="778">
        <f t="shared" si="82"/>
        <v>4222.5821378991213</v>
      </c>
      <c r="I232" s="778">
        <f t="shared" si="82"/>
        <v>732.26399814900503</v>
      </c>
      <c r="J232" s="365"/>
      <c r="K232" s="25">
        <f t="shared" si="76"/>
        <v>56942.392410920875</v>
      </c>
      <c r="L232" s="778">
        <v>6</v>
      </c>
      <c r="M232" s="778">
        <f t="shared" si="81"/>
        <v>9490.3987351534797</v>
      </c>
      <c r="N232" s="678">
        <v>10253</v>
      </c>
      <c r="O232" s="678"/>
      <c r="P232" s="189" t="s">
        <v>523</v>
      </c>
      <c r="Q232" s="794">
        <v>40746</v>
      </c>
      <c r="R232" s="793"/>
      <c r="S232" s="306">
        <f>L232</f>
        <v>6</v>
      </c>
      <c r="T232" s="256">
        <v>7268</v>
      </c>
      <c r="U232" s="25">
        <f t="shared" si="73"/>
        <v>43608</v>
      </c>
      <c r="V232" s="456"/>
      <c r="W232" s="794"/>
      <c r="X232" s="822"/>
      <c r="Y232" s="822"/>
      <c r="Z232" s="25"/>
    </row>
    <row r="233" spans="1:26" ht="13.5" customHeight="1">
      <c r="A233" s="777">
        <f t="shared" si="72"/>
        <v>49</v>
      </c>
      <c r="B233" s="298" t="s">
        <v>1005</v>
      </c>
      <c r="C233" s="25">
        <f t="shared" ref="C233:C280" si="84">U233</f>
        <v>114030</v>
      </c>
      <c r="D233" s="778">
        <f t="shared" si="82"/>
        <v>7253.5863026376683</v>
      </c>
      <c r="E233" s="778">
        <f t="shared" si="82"/>
        <v>1913.4544192503472</v>
      </c>
      <c r="F233" s="778">
        <f t="shared" si="82"/>
        <v>4060.9706154558075</v>
      </c>
      <c r="G233" s="778">
        <f t="shared" si="82"/>
        <v>737.89912077741792</v>
      </c>
      <c r="H233" s="778">
        <f t="shared" si="82"/>
        <v>7037.636896498535</v>
      </c>
      <c r="I233" s="778">
        <f t="shared" si="82"/>
        <v>1220.4399969150084</v>
      </c>
      <c r="J233" s="365"/>
      <c r="K233" s="25">
        <f t="shared" si="76"/>
        <v>136253.9873515348</v>
      </c>
      <c r="L233" s="778">
        <v>10</v>
      </c>
      <c r="M233" s="778">
        <f t="shared" si="81"/>
        <v>13625.39873515348</v>
      </c>
      <c r="N233" s="678">
        <v>15053</v>
      </c>
      <c r="O233" s="678"/>
      <c r="P233" s="189" t="s">
        <v>493</v>
      </c>
      <c r="Q233" s="794">
        <v>40747</v>
      </c>
      <c r="R233" s="793"/>
      <c r="S233" s="306">
        <f>L233/2</f>
        <v>5</v>
      </c>
      <c r="T233" s="256">
        <v>22806</v>
      </c>
      <c r="U233" s="25">
        <f t="shared" si="73"/>
        <v>114030</v>
      </c>
      <c r="V233" s="456"/>
      <c r="W233" s="794"/>
      <c r="X233" s="822"/>
      <c r="Y233" s="822"/>
      <c r="Z233" s="25"/>
    </row>
    <row r="234" spans="1:26" ht="13.5" customHeight="1">
      <c r="A234" s="777">
        <f t="shared" si="72"/>
        <v>50</v>
      </c>
      <c r="B234" s="298" t="s">
        <v>993</v>
      </c>
      <c r="C234" s="25">
        <f t="shared" si="84"/>
        <v>2672480</v>
      </c>
      <c r="D234" s="778">
        <f t="shared" si="82"/>
        <v>116057.38084220269</v>
      </c>
      <c r="E234" s="778">
        <f t="shared" si="82"/>
        <v>30615.270708005555</v>
      </c>
      <c r="F234" s="778">
        <f t="shared" si="82"/>
        <v>64975.529847292921</v>
      </c>
      <c r="G234" s="778">
        <f t="shared" si="82"/>
        <v>11806.385932438687</v>
      </c>
      <c r="H234" s="778">
        <f t="shared" si="82"/>
        <v>112602.19034397656</v>
      </c>
      <c r="I234" s="778">
        <f t="shared" si="82"/>
        <v>19527.039950640134</v>
      </c>
      <c r="J234" s="365"/>
      <c r="K234" s="25">
        <f t="shared" si="76"/>
        <v>3028063.7976245559</v>
      </c>
      <c r="L234" s="778">
        <v>160</v>
      </c>
      <c r="M234" s="778">
        <f t="shared" si="81"/>
        <v>18925.398735153474</v>
      </c>
      <c r="N234" s="678">
        <v>20976</v>
      </c>
      <c r="O234" s="678"/>
      <c r="P234" s="40" t="s">
        <v>627</v>
      </c>
      <c r="Q234" s="794">
        <v>40747</v>
      </c>
      <c r="R234" s="793"/>
      <c r="S234" s="306">
        <v>160</v>
      </c>
      <c r="T234" s="822">
        <v>16703</v>
      </c>
      <c r="U234" s="25">
        <f t="shared" si="73"/>
        <v>2672480</v>
      </c>
      <c r="V234" s="456"/>
      <c r="W234" s="794"/>
      <c r="X234" s="822"/>
      <c r="Y234" s="822"/>
      <c r="Z234" s="25"/>
    </row>
    <row r="235" spans="1:26" ht="13.5" customHeight="1">
      <c r="A235" s="777">
        <f t="shared" si="72"/>
        <v>51</v>
      </c>
      <c r="B235" s="298" t="s">
        <v>756</v>
      </c>
      <c r="C235" s="25">
        <f t="shared" si="84"/>
        <v>124572</v>
      </c>
      <c r="D235" s="778">
        <f t="shared" ref="D235:I244" si="85">IF($L$339&lt;&gt;0,D$339/$L$339*$L235,0)</f>
        <v>39894.724664507172</v>
      </c>
      <c r="E235" s="778">
        <f t="shared" si="85"/>
        <v>10523.999305876911</v>
      </c>
      <c r="F235" s="778">
        <f t="shared" si="85"/>
        <v>22335.33838500694</v>
      </c>
      <c r="G235" s="778">
        <f t="shared" si="85"/>
        <v>4058.4451642757986</v>
      </c>
      <c r="H235" s="778">
        <f t="shared" si="85"/>
        <v>38707.002930741946</v>
      </c>
      <c r="I235" s="778">
        <f t="shared" si="85"/>
        <v>6712.419983032546</v>
      </c>
      <c r="J235" s="365"/>
      <c r="K235" s="25">
        <f t="shared" si="76"/>
        <v>246803.93043344127</v>
      </c>
      <c r="L235" s="778">
        <v>55</v>
      </c>
      <c r="M235" s="778">
        <f t="shared" si="81"/>
        <v>4487.3441896989325</v>
      </c>
      <c r="N235" s="678">
        <v>4422</v>
      </c>
      <c r="O235" s="678"/>
      <c r="P235" s="189" t="s">
        <v>387</v>
      </c>
      <c r="Q235" s="794">
        <v>40747</v>
      </c>
      <c r="R235" s="793"/>
      <c r="S235" s="306">
        <v>28</v>
      </c>
      <c r="T235" s="822">
        <f>4449</f>
        <v>4449</v>
      </c>
      <c r="U235" s="25">
        <f t="shared" si="73"/>
        <v>124572</v>
      </c>
      <c r="V235" s="456"/>
      <c r="W235" s="794"/>
      <c r="X235" s="822"/>
      <c r="Y235" s="822"/>
      <c r="Z235" s="25"/>
    </row>
    <row r="236" spans="1:26" ht="13.5" customHeight="1">
      <c r="A236" s="777">
        <f t="shared" si="72"/>
        <v>52</v>
      </c>
      <c r="B236" s="298" t="s">
        <v>749</v>
      </c>
      <c r="C236" s="25">
        <f t="shared" si="84"/>
        <v>65210</v>
      </c>
      <c r="D236" s="778">
        <f t="shared" si="85"/>
        <v>5802.8690421101346</v>
      </c>
      <c r="E236" s="778">
        <f t="shared" si="85"/>
        <v>1530.7635354002778</v>
      </c>
      <c r="F236" s="778">
        <f t="shared" si="85"/>
        <v>3248.7764923646459</v>
      </c>
      <c r="G236" s="778">
        <f t="shared" si="85"/>
        <v>590.31929662193431</v>
      </c>
      <c r="H236" s="778">
        <f t="shared" si="85"/>
        <v>5630.1095171988281</v>
      </c>
      <c r="I236" s="778">
        <f t="shared" si="85"/>
        <v>976.35199753200675</v>
      </c>
      <c r="J236" s="365"/>
      <c r="K236" s="25">
        <f t="shared" si="76"/>
        <v>82989.189881227823</v>
      </c>
      <c r="L236" s="778">
        <v>8</v>
      </c>
      <c r="M236" s="778">
        <f t="shared" si="81"/>
        <v>10373.648735153478</v>
      </c>
      <c r="N236" s="678">
        <v>12564</v>
      </c>
      <c r="O236" s="678"/>
      <c r="P236" s="40" t="s">
        <v>601</v>
      </c>
      <c r="Q236" s="794">
        <v>40747</v>
      </c>
      <c r="R236" s="793"/>
      <c r="S236" s="306">
        <f>L236/2</f>
        <v>4</v>
      </c>
      <c r="T236" s="822">
        <v>16302.5</v>
      </c>
      <c r="U236" s="25">
        <f t="shared" si="73"/>
        <v>65210</v>
      </c>
      <c r="V236" s="456"/>
      <c r="W236" s="794"/>
      <c r="X236" s="822"/>
      <c r="Y236" s="822"/>
      <c r="Z236" s="25"/>
    </row>
    <row r="237" spans="1:26" ht="13.5" customHeight="1">
      <c r="A237" s="777">
        <f t="shared" si="72"/>
        <v>53</v>
      </c>
      <c r="B237" s="298" t="s">
        <v>757</v>
      </c>
      <c r="C237" s="25">
        <f t="shared" si="84"/>
        <v>2225</v>
      </c>
      <c r="D237" s="778">
        <f t="shared" si="85"/>
        <v>725.35863026376683</v>
      </c>
      <c r="E237" s="778">
        <f t="shared" si="85"/>
        <v>191.34544192503472</v>
      </c>
      <c r="F237" s="778">
        <f t="shared" si="85"/>
        <v>406.09706154558074</v>
      </c>
      <c r="G237" s="778">
        <f t="shared" si="85"/>
        <v>73.789912077741789</v>
      </c>
      <c r="H237" s="778">
        <f t="shared" si="85"/>
        <v>703.76368964985352</v>
      </c>
      <c r="I237" s="778">
        <f t="shared" si="85"/>
        <v>122.04399969150084</v>
      </c>
      <c r="J237" s="365"/>
      <c r="K237" s="25">
        <f t="shared" si="76"/>
        <v>4447.3987351534788</v>
      </c>
      <c r="L237" s="778">
        <v>1</v>
      </c>
      <c r="M237" s="778">
        <f t="shared" si="81"/>
        <v>4447.3987351534788</v>
      </c>
      <c r="N237" s="678">
        <v>5210</v>
      </c>
      <c r="O237" s="678"/>
      <c r="P237" s="189" t="s">
        <v>387</v>
      </c>
      <c r="Q237" s="794">
        <v>40747</v>
      </c>
      <c r="R237" s="793"/>
      <c r="S237" s="306">
        <f>L237/2</f>
        <v>0.5</v>
      </c>
      <c r="T237" s="822">
        <f>4449</f>
        <v>4449</v>
      </c>
      <c r="U237" s="25">
        <f t="shared" si="73"/>
        <v>2225</v>
      </c>
      <c r="V237" s="456"/>
      <c r="W237" s="794"/>
      <c r="X237" s="822"/>
      <c r="Y237" s="822"/>
      <c r="Z237" s="25"/>
    </row>
    <row r="238" spans="1:26" ht="13.5" customHeight="1">
      <c r="A238" s="777">
        <f t="shared" si="72"/>
        <v>54</v>
      </c>
      <c r="B238" s="298" t="s">
        <v>1001</v>
      </c>
      <c r="C238" s="25">
        <f t="shared" si="84"/>
        <v>4449</v>
      </c>
      <c r="D238" s="778">
        <f t="shared" si="85"/>
        <v>725.35863026376683</v>
      </c>
      <c r="E238" s="778">
        <f t="shared" si="85"/>
        <v>191.34544192503472</v>
      </c>
      <c r="F238" s="778">
        <f t="shared" si="85"/>
        <v>406.09706154558074</v>
      </c>
      <c r="G238" s="778">
        <f t="shared" si="85"/>
        <v>73.789912077741789</v>
      </c>
      <c r="H238" s="778">
        <f t="shared" si="85"/>
        <v>703.76368964985352</v>
      </c>
      <c r="I238" s="778">
        <f t="shared" si="85"/>
        <v>122.04399969150084</v>
      </c>
      <c r="J238" s="365"/>
      <c r="K238" s="25">
        <f t="shared" si="76"/>
        <v>6671.3987351534788</v>
      </c>
      <c r="L238" s="778">
        <v>1</v>
      </c>
      <c r="M238" s="778">
        <f t="shared" si="81"/>
        <v>6671.3987351534788</v>
      </c>
      <c r="N238" s="678">
        <v>7094</v>
      </c>
      <c r="O238" s="678"/>
      <c r="P238" s="189" t="s">
        <v>387</v>
      </c>
      <c r="Q238" s="794">
        <v>40747</v>
      </c>
      <c r="R238" s="793"/>
      <c r="S238" s="306">
        <f>L238</f>
        <v>1</v>
      </c>
      <c r="T238" s="822">
        <f>4449</f>
        <v>4449</v>
      </c>
      <c r="U238" s="25">
        <f t="shared" si="73"/>
        <v>4449</v>
      </c>
      <c r="V238" s="456"/>
      <c r="W238" s="794"/>
      <c r="X238" s="822"/>
      <c r="Y238" s="822"/>
      <c r="Z238" s="25"/>
    </row>
    <row r="239" spans="1:26" ht="13.5" customHeight="1">
      <c r="A239" s="777">
        <f t="shared" si="72"/>
        <v>55</v>
      </c>
      <c r="B239" s="298" t="s">
        <v>745</v>
      </c>
      <c r="C239" s="25">
        <f t="shared" si="84"/>
        <v>12052</v>
      </c>
      <c r="D239" s="778">
        <f t="shared" si="85"/>
        <v>1450.7172605275337</v>
      </c>
      <c r="E239" s="778">
        <f t="shared" si="85"/>
        <v>382.69088385006944</v>
      </c>
      <c r="F239" s="778">
        <f t="shared" si="85"/>
        <v>812.19412309116149</v>
      </c>
      <c r="G239" s="778">
        <f t="shared" si="85"/>
        <v>147.57982415548358</v>
      </c>
      <c r="H239" s="778">
        <f t="shared" si="85"/>
        <v>1407.527379299707</v>
      </c>
      <c r="I239" s="778">
        <f t="shared" si="85"/>
        <v>244.08799938300169</v>
      </c>
      <c r="J239" s="365"/>
      <c r="K239" s="25">
        <f t="shared" si="76"/>
        <v>16496.797470306956</v>
      </c>
      <c r="L239" s="778">
        <v>2</v>
      </c>
      <c r="M239" s="778">
        <f t="shared" si="81"/>
        <v>8248.3987351534779</v>
      </c>
      <c r="N239" s="678">
        <v>9263</v>
      </c>
      <c r="O239" s="678"/>
      <c r="P239" s="298" t="s">
        <v>479</v>
      </c>
      <c r="Q239" s="794">
        <v>40747</v>
      </c>
      <c r="R239" s="793"/>
      <c r="S239" s="306">
        <f>L239</f>
        <v>2</v>
      </c>
      <c r="T239" s="822">
        <v>6026</v>
      </c>
      <c r="U239" s="25">
        <f t="shared" si="73"/>
        <v>12052</v>
      </c>
      <c r="V239" s="456"/>
      <c r="W239" s="794"/>
      <c r="X239" s="822"/>
      <c r="Y239" s="822"/>
      <c r="Z239" s="25"/>
    </row>
    <row r="240" spans="1:26" ht="13.5" customHeight="1">
      <c r="A240" s="777">
        <f t="shared" si="72"/>
        <v>56</v>
      </c>
      <c r="B240" s="298" t="s">
        <v>747</v>
      </c>
      <c r="C240" s="25">
        <f t="shared" si="84"/>
        <v>16303</v>
      </c>
      <c r="D240" s="778">
        <f t="shared" si="85"/>
        <v>1450.7172605275337</v>
      </c>
      <c r="E240" s="778">
        <f t="shared" si="85"/>
        <v>382.69088385006944</v>
      </c>
      <c r="F240" s="778">
        <f t="shared" si="85"/>
        <v>812.19412309116149</v>
      </c>
      <c r="G240" s="778">
        <f t="shared" si="85"/>
        <v>147.57982415548358</v>
      </c>
      <c r="H240" s="778">
        <f t="shared" si="85"/>
        <v>1407.527379299707</v>
      </c>
      <c r="I240" s="778">
        <f t="shared" si="85"/>
        <v>244.08799938300169</v>
      </c>
      <c r="J240" s="365"/>
      <c r="K240" s="25">
        <f t="shared" si="76"/>
        <v>20747.797470306956</v>
      </c>
      <c r="L240" s="778">
        <v>2</v>
      </c>
      <c r="M240" s="778">
        <f t="shared" si="81"/>
        <v>10373.898735153478</v>
      </c>
      <c r="N240" s="678">
        <v>11321</v>
      </c>
      <c r="O240" s="678"/>
      <c r="P240" s="40" t="s">
        <v>601</v>
      </c>
      <c r="Q240" s="794">
        <v>40747</v>
      </c>
      <c r="R240" s="793"/>
      <c r="S240" s="306">
        <f>L240/2</f>
        <v>1</v>
      </c>
      <c r="T240" s="822">
        <v>16303</v>
      </c>
      <c r="U240" s="25">
        <f t="shared" si="73"/>
        <v>16303</v>
      </c>
      <c r="V240" s="456"/>
      <c r="W240" s="794"/>
      <c r="X240" s="822"/>
      <c r="Y240" s="822"/>
      <c r="Z240" s="25"/>
    </row>
    <row r="241" spans="1:26" ht="13.5" customHeight="1">
      <c r="A241" s="777">
        <f t="shared" si="72"/>
        <v>57</v>
      </c>
      <c r="B241" s="298" t="s">
        <v>758</v>
      </c>
      <c r="C241" s="25">
        <f t="shared" si="84"/>
        <v>48939</v>
      </c>
      <c r="D241" s="778">
        <f t="shared" si="85"/>
        <v>7978.9449329014351</v>
      </c>
      <c r="E241" s="778">
        <f t="shared" si="85"/>
        <v>2104.7998611753819</v>
      </c>
      <c r="F241" s="778">
        <f t="shared" si="85"/>
        <v>4467.0676770013879</v>
      </c>
      <c r="G241" s="778">
        <f t="shared" si="85"/>
        <v>811.68903285515967</v>
      </c>
      <c r="H241" s="778">
        <f t="shared" si="85"/>
        <v>7741.4005861483884</v>
      </c>
      <c r="I241" s="778">
        <f t="shared" si="85"/>
        <v>1342.4839966065092</v>
      </c>
      <c r="J241" s="365"/>
      <c r="K241" s="25">
        <f t="shared" si="76"/>
        <v>73385.386086688246</v>
      </c>
      <c r="L241" s="778">
        <v>11</v>
      </c>
      <c r="M241" s="778">
        <f t="shared" si="81"/>
        <v>6671.398735153477</v>
      </c>
      <c r="N241" s="678">
        <v>7348</v>
      </c>
      <c r="O241" s="678"/>
      <c r="P241" s="189" t="s">
        <v>387</v>
      </c>
      <c r="Q241" s="794">
        <v>40748</v>
      </c>
      <c r="R241" s="793"/>
      <c r="S241" s="306">
        <f>L241</f>
        <v>11</v>
      </c>
      <c r="T241" s="822">
        <f>4449</f>
        <v>4449</v>
      </c>
      <c r="U241" s="25">
        <f t="shared" si="73"/>
        <v>48939</v>
      </c>
      <c r="V241" s="456"/>
      <c r="W241" s="794"/>
      <c r="X241" s="822"/>
      <c r="Y241" s="822"/>
      <c r="Z241" s="25"/>
    </row>
    <row r="242" spans="1:26" ht="13.5" customHeight="1">
      <c r="A242" s="777">
        <f t="shared" si="72"/>
        <v>58</v>
      </c>
      <c r="B242" s="298" t="s">
        <v>759</v>
      </c>
      <c r="C242" s="25">
        <f t="shared" si="84"/>
        <v>11858</v>
      </c>
      <c r="D242" s="778">
        <f t="shared" si="85"/>
        <v>725.35863026376683</v>
      </c>
      <c r="E242" s="778">
        <f t="shared" si="85"/>
        <v>191.34544192503472</v>
      </c>
      <c r="F242" s="778">
        <f t="shared" si="85"/>
        <v>406.09706154558074</v>
      </c>
      <c r="G242" s="778">
        <f t="shared" si="85"/>
        <v>73.789912077741789</v>
      </c>
      <c r="H242" s="778">
        <f t="shared" si="85"/>
        <v>703.76368964985352</v>
      </c>
      <c r="I242" s="778">
        <f t="shared" si="85"/>
        <v>122.04399969150084</v>
      </c>
      <c r="J242" s="365"/>
      <c r="K242" s="25">
        <f t="shared" si="76"/>
        <v>14080.398735153478</v>
      </c>
      <c r="L242" s="778">
        <v>1</v>
      </c>
      <c r="M242" s="778">
        <f t="shared" si="81"/>
        <v>14080.398735153478</v>
      </c>
      <c r="N242" s="678">
        <v>15136</v>
      </c>
      <c r="O242" s="678"/>
      <c r="P242" s="189" t="s">
        <v>492</v>
      </c>
      <c r="Q242" s="794">
        <v>40748</v>
      </c>
      <c r="R242" s="793"/>
      <c r="S242" s="306">
        <f>L242/2</f>
        <v>0.5</v>
      </c>
      <c r="T242" s="256">
        <v>23716</v>
      </c>
      <c r="U242" s="25">
        <f t="shared" si="73"/>
        <v>11858</v>
      </c>
      <c r="V242" s="456"/>
      <c r="W242" s="794"/>
      <c r="X242" s="822"/>
      <c r="Y242" s="822"/>
      <c r="Z242" s="25"/>
    </row>
    <row r="243" spans="1:26" ht="13.5" customHeight="1">
      <c r="A243" s="777">
        <f t="shared" si="72"/>
        <v>59</v>
      </c>
      <c r="B243" s="298" t="s">
        <v>1011</v>
      </c>
      <c r="C243" s="25">
        <f t="shared" si="84"/>
        <v>71925</v>
      </c>
      <c r="D243" s="778">
        <f t="shared" si="85"/>
        <v>3626.7931513188341</v>
      </c>
      <c r="E243" s="778">
        <f t="shared" si="85"/>
        <v>956.7272096251736</v>
      </c>
      <c r="F243" s="778">
        <f t="shared" si="85"/>
        <v>2030.4853077279038</v>
      </c>
      <c r="G243" s="778">
        <f t="shared" si="85"/>
        <v>368.94956038870896</v>
      </c>
      <c r="H243" s="778">
        <f t="shared" si="85"/>
        <v>3518.8184482492675</v>
      </c>
      <c r="I243" s="778">
        <f t="shared" si="85"/>
        <v>610.21999845750418</v>
      </c>
      <c r="J243" s="365"/>
      <c r="K243" s="25">
        <f t="shared" si="76"/>
        <v>83036.993675767371</v>
      </c>
      <c r="L243" s="778">
        <v>5</v>
      </c>
      <c r="M243" s="778">
        <f t="shared" si="81"/>
        <v>16607.398735153474</v>
      </c>
      <c r="N243" s="678">
        <v>17837</v>
      </c>
      <c r="O243" s="678"/>
      <c r="P243" s="40" t="s">
        <v>626</v>
      </c>
      <c r="Q243" s="794">
        <v>40748</v>
      </c>
      <c r="R243" s="793"/>
      <c r="S243" s="306">
        <v>3</v>
      </c>
      <c r="T243" s="822">
        <v>23975</v>
      </c>
      <c r="U243" s="25">
        <f t="shared" si="73"/>
        <v>71925</v>
      </c>
      <c r="V243" s="456"/>
      <c r="W243" s="794"/>
      <c r="X243" s="822"/>
      <c r="Y243" s="822"/>
      <c r="Z243" s="25"/>
    </row>
    <row r="244" spans="1:26" ht="13.5" customHeight="1">
      <c r="A244" s="777">
        <f t="shared" si="72"/>
        <v>60</v>
      </c>
      <c r="B244" s="298" t="s">
        <v>1003</v>
      </c>
      <c r="C244" s="25">
        <f t="shared" si="84"/>
        <v>7268</v>
      </c>
      <c r="D244" s="778">
        <f t="shared" si="85"/>
        <v>725.35863026376683</v>
      </c>
      <c r="E244" s="778">
        <f t="shared" si="85"/>
        <v>191.34544192503472</v>
      </c>
      <c r="F244" s="778">
        <f t="shared" si="85"/>
        <v>406.09706154558074</v>
      </c>
      <c r="G244" s="778">
        <f t="shared" si="85"/>
        <v>73.789912077741789</v>
      </c>
      <c r="H244" s="778">
        <f t="shared" si="85"/>
        <v>703.76368964985352</v>
      </c>
      <c r="I244" s="778">
        <f t="shared" si="85"/>
        <v>122.04399969150084</v>
      </c>
      <c r="J244" s="365"/>
      <c r="K244" s="25">
        <f t="shared" si="76"/>
        <v>9490.3987351534779</v>
      </c>
      <c r="L244" s="778">
        <v>1</v>
      </c>
      <c r="M244" s="778">
        <f t="shared" si="81"/>
        <v>9490.3987351534779</v>
      </c>
      <c r="N244" s="678">
        <v>10026</v>
      </c>
      <c r="O244" s="678"/>
      <c r="P244" s="189" t="s">
        <v>523</v>
      </c>
      <c r="Q244" s="794">
        <v>40748</v>
      </c>
      <c r="R244" s="793"/>
      <c r="S244" s="306">
        <f>L244</f>
        <v>1</v>
      </c>
      <c r="T244" s="256">
        <v>7268</v>
      </c>
      <c r="U244" s="25">
        <f t="shared" si="73"/>
        <v>7268</v>
      </c>
      <c r="V244" s="456"/>
      <c r="W244" s="794"/>
      <c r="X244" s="822"/>
      <c r="Y244" s="822"/>
      <c r="Z244" s="25"/>
    </row>
    <row r="245" spans="1:26" ht="13.5" customHeight="1">
      <c r="A245" s="777">
        <f t="shared" si="72"/>
        <v>61</v>
      </c>
      <c r="B245" s="298" t="s">
        <v>1004</v>
      </c>
      <c r="C245" s="25">
        <f t="shared" si="84"/>
        <v>8152</v>
      </c>
      <c r="D245" s="778">
        <f t="shared" ref="D245:I254" si="86">IF($L$339&lt;&gt;0,D$339/$L$339*$L245,0)</f>
        <v>725.35863026376683</v>
      </c>
      <c r="E245" s="778">
        <f t="shared" si="86"/>
        <v>191.34544192503472</v>
      </c>
      <c r="F245" s="778">
        <f t="shared" si="86"/>
        <v>406.09706154558074</v>
      </c>
      <c r="G245" s="778">
        <f t="shared" si="86"/>
        <v>73.789912077741789</v>
      </c>
      <c r="H245" s="778">
        <f t="shared" si="86"/>
        <v>703.76368964985352</v>
      </c>
      <c r="I245" s="778">
        <f t="shared" si="86"/>
        <v>122.04399969150084</v>
      </c>
      <c r="J245" s="365"/>
      <c r="K245" s="25">
        <f t="shared" si="76"/>
        <v>10374.398735153478</v>
      </c>
      <c r="L245" s="778">
        <v>1</v>
      </c>
      <c r="M245" s="778">
        <f t="shared" si="81"/>
        <v>10374.398735153478</v>
      </c>
      <c r="N245" s="678">
        <v>10723</v>
      </c>
      <c r="O245" s="678"/>
      <c r="P245" s="40" t="s">
        <v>601</v>
      </c>
      <c r="Q245" s="794">
        <v>40748</v>
      </c>
      <c r="R245" s="793"/>
      <c r="S245" s="306">
        <f t="shared" ref="S245" si="87">L245/2</f>
        <v>0.5</v>
      </c>
      <c r="T245" s="822">
        <v>16303</v>
      </c>
      <c r="U245" s="25">
        <f t="shared" si="73"/>
        <v>8152</v>
      </c>
      <c r="V245" s="456"/>
      <c r="W245" s="794"/>
      <c r="X245" s="822"/>
      <c r="Y245" s="822"/>
      <c r="Z245" s="25"/>
    </row>
    <row r="246" spans="1:26" ht="13.5" customHeight="1">
      <c r="A246" s="777">
        <f t="shared" si="72"/>
        <v>62</v>
      </c>
      <c r="B246" s="298" t="s">
        <v>1012</v>
      </c>
      <c r="C246" s="25">
        <f t="shared" si="84"/>
        <v>1335180</v>
      </c>
      <c r="D246" s="778">
        <f t="shared" si="86"/>
        <v>78338.732068486817</v>
      </c>
      <c r="E246" s="778">
        <f t="shared" si="86"/>
        <v>20665.30772790375</v>
      </c>
      <c r="F246" s="778">
        <f t="shared" si="86"/>
        <v>43858.482646922719</v>
      </c>
      <c r="G246" s="778">
        <f t="shared" si="86"/>
        <v>7969.3105043961132</v>
      </c>
      <c r="H246" s="778">
        <f t="shared" si="86"/>
        <v>76006.478482184175</v>
      </c>
      <c r="I246" s="778">
        <f t="shared" si="86"/>
        <v>13180.751966682092</v>
      </c>
      <c r="J246" s="365"/>
      <c r="K246" s="25">
        <f t="shared" si="76"/>
        <v>1575199.0633965759</v>
      </c>
      <c r="L246" s="778">
        <v>108</v>
      </c>
      <c r="M246" s="778">
        <f t="shared" si="81"/>
        <v>14585.176512931257</v>
      </c>
      <c r="N246" s="678">
        <v>17100</v>
      </c>
      <c r="O246" s="678"/>
      <c r="P246" s="40" t="s">
        <v>600</v>
      </c>
      <c r="Q246" s="794">
        <v>40749</v>
      </c>
      <c r="R246" s="793"/>
      <c r="S246" s="306">
        <v>55</v>
      </c>
      <c r="T246" s="822">
        <v>24276</v>
      </c>
      <c r="U246" s="25">
        <f t="shared" si="73"/>
        <v>1335180</v>
      </c>
      <c r="V246" s="456"/>
      <c r="W246" s="794"/>
      <c r="X246" s="822"/>
      <c r="Y246" s="822"/>
      <c r="Z246" s="25"/>
    </row>
    <row r="247" spans="1:26" ht="13.5" customHeight="1">
      <c r="A247" s="777">
        <f t="shared" si="72"/>
        <v>63</v>
      </c>
      <c r="B247" s="298" t="s">
        <v>1013</v>
      </c>
      <c r="C247" s="25">
        <f t="shared" si="84"/>
        <v>1599773</v>
      </c>
      <c r="D247" s="778">
        <f t="shared" si="86"/>
        <v>70359.787135585386</v>
      </c>
      <c r="E247" s="778">
        <f t="shared" si="86"/>
        <v>18560.507866728367</v>
      </c>
      <c r="F247" s="778">
        <f t="shared" si="86"/>
        <v>39391.41496992133</v>
      </c>
      <c r="G247" s="778">
        <f t="shared" si="86"/>
        <v>7157.6214715409533</v>
      </c>
      <c r="H247" s="778">
        <f t="shared" si="86"/>
        <v>68265.077896035786</v>
      </c>
      <c r="I247" s="778">
        <f t="shared" si="86"/>
        <v>11838.267970075582</v>
      </c>
      <c r="J247" s="365"/>
      <c r="K247" s="25">
        <f t="shared" si="76"/>
        <v>1815345.6773098875</v>
      </c>
      <c r="L247" s="778">
        <v>97</v>
      </c>
      <c r="M247" s="778">
        <f t="shared" si="81"/>
        <v>18714.903889792655</v>
      </c>
      <c r="N247" s="678">
        <v>19690</v>
      </c>
      <c r="O247" s="678"/>
      <c r="P247" s="40" t="s">
        <v>628</v>
      </c>
      <c r="Q247" s="794">
        <v>40749</v>
      </c>
      <c r="R247" s="793"/>
      <c r="S247" s="306">
        <f>L247/2</f>
        <v>48.5</v>
      </c>
      <c r="T247" s="822">
        <v>32985</v>
      </c>
      <c r="U247" s="25">
        <f t="shared" si="73"/>
        <v>1599773</v>
      </c>
      <c r="V247" s="456"/>
      <c r="W247" s="794"/>
      <c r="X247" s="822"/>
      <c r="Y247" s="822"/>
      <c r="Z247" s="25"/>
    </row>
    <row r="248" spans="1:26" ht="13.5" customHeight="1">
      <c r="A248" s="777">
        <f t="shared" si="72"/>
        <v>64</v>
      </c>
      <c r="B248" s="298" t="s">
        <v>1014</v>
      </c>
      <c r="C248" s="25">
        <f t="shared" si="84"/>
        <v>984830</v>
      </c>
      <c r="D248" s="778">
        <f t="shared" si="86"/>
        <v>39894.724664507172</v>
      </c>
      <c r="E248" s="778">
        <f t="shared" si="86"/>
        <v>10523.999305876911</v>
      </c>
      <c r="F248" s="778">
        <f t="shared" si="86"/>
        <v>22335.33838500694</v>
      </c>
      <c r="G248" s="778">
        <f t="shared" si="86"/>
        <v>4058.4451642757986</v>
      </c>
      <c r="H248" s="778">
        <f t="shared" si="86"/>
        <v>38707.002930741946</v>
      </c>
      <c r="I248" s="778">
        <f t="shared" si="86"/>
        <v>6712.419983032546</v>
      </c>
      <c r="J248" s="365"/>
      <c r="K248" s="25">
        <f t="shared" si="76"/>
        <v>1107061.9304334414</v>
      </c>
      <c r="L248" s="778">
        <v>55</v>
      </c>
      <c r="M248" s="778">
        <f t="shared" si="81"/>
        <v>20128.398735153482</v>
      </c>
      <c r="N248" s="678">
        <v>23100</v>
      </c>
      <c r="O248" s="678"/>
      <c r="P248" s="40" t="s">
        <v>590</v>
      </c>
      <c r="Q248" s="794">
        <v>40749</v>
      </c>
      <c r="R248" s="793"/>
      <c r="S248" s="306">
        <f>L248/2</f>
        <v>27.5</v>
      </c>
      <c r="T248" s="822">
        <v>35812</v>
      </c>
      <c r="U248" s="25">
        <f t="shared" si="73"/>
        <v>984830</v>
      </c>
      <c r="V248" s="456"/>
      <c r="W248" s="794"/>
      <c r="X248" s="822"/>
      <c r="Y248" s="822"/>
      <c r="Z248" s="25"/>
    </row>
    <row r="249" spans="1:26" ht="13.5" customHeight="1">
      <c r="A249" s="777">
        <f t="shared" si="72"/>
        <v>65</v>
      </c>
      <c r="B249" s="298" t="s">
        <v>1015</v>
      </c>
      <c r="C249" s="25">
        <f t="shared" si="84"/>
        <v>2580828</v>
      </c>
      <c r="D249" s="778">
        <f t="shared" si="86"/>
        <v>361953.95650161966</v>
      </c>
      <c r="E249" s="778">
        <f t="shared" si="86"/>
        <v>95481.375520592323</v>
      </c>
      <c r="F249" s="778">
        <f t="shared" si="86"/>
        <v>202642.43371124478</v>
      </c>
      <c r="G249" s="778">
        <f t="shared" si="86"/>
        <v>36821.166126793156</v>
      </c>
      <c r="H249" s="778">
        <f t="shared" si="86"/>
        <v>351178.08113527688</v>
      </c>
      <c r="I249" s="778">
        <f t="shared" si="86"/>
        <v>60899.955846058918</v>
      </c>
      <c r="J249" s="365"/>
      <c r="K249" s="25">
        <f t="shared" si="76"/>
        <v>3689804.9688415863</v>
      </c>
      <c r="L249" s="778">
        <v>499</v>
      </c>
      <c r="M249" s="778">
        <f t="shared" si="81"/>
        <v>7394.3987351534797</v>
      </c>
      <c r="N249" s="678">
        <v>8100</v>
      </c>
      <c r="O249" s="678"/>
      <c r="P249" s="189" t="s">
        <v>578</v>
      </c>
      <c r="Q249" s="794">
        <v>40750</v>
      </c>
      <c r="R249" s="793"/>
      <c r="S249" s="306">
        <f>L249/2</f>
        <v>249.5</v>
      </c>
      <c r="T249" s="822">
        <v>10344</v>
      </c>
      <c r="U249" s="25">
        <f t="shared" si="73"/>
        <v>2580828</v>
      </c>
      <c r="V249" s="456"/>
      <c r="W249" s="794"/>
      <c r="X249" s="822"/>
      <c r="Y249" s="822"/>
      <c r="Z249" s="25"/>
    </row>
    <row r="250" spans="1:26" ht="13.5" customHeight="1">
      <c r="A250" s="777">
        <f t="shared" si="72"/>
        <v>66</v>
      </c>
      <c r="B250" s="298" t="s">
        <v>1016</v>
      </c>
      <c r="C250" s="25">
        <f t="shared" si="84"/>
        <v>7577130</v>
      </c>
      <c r="D250" s="778">
        <f t="shared" si="86"/>
        <v>710851.45765849145</v>
      </c>
      <c r="E250" s="778">
        <f t="shared" si="86"/>
        <v>187518.53308653404</v>
      </c>
      <c r="F250" s="778">
        <f t="shared" si="86"/>
        <v>397975.12031466916</v>
      </c>
      <c r="G250" s="778">
        <f t="shared" si="86"/>
        <v>72314.113836186953</v>
      </c>
      <c r="H250" s="778">
        <f t="shared" si="86"/>
        <v>689688.4158568565</v>
      </c>
      <c r="I250" s="778">
        <f t="shared" si="86"/>
        <v>119603.11969767083</v>
      </c>
      <c r="J250" s="365"/>
      <c r="K250" s="25">
        <f t="shared" ref="K250:K313" si="88">SUM(C250:I250)</f>
        <v>9755080.7604504097</v>
      </c>
      <c r="L250" s="778">
        <v>980</v>
      </c>
      <c r="M250" s="778">
        <f t="shared" si="81"/>
        <v>9954.164041275928</v>
      </c>
      <c r="N250" s="678">
        <v>11000</v>
      </c>
      <c r="O250" s="678"/>
      <c r="P250" s="40" t="s">
        <v>589</v>
      </c>
      <c r="Q250" s="794">
        <v>40764</v>
      </c>
      <c r="R250" s="793"/>
      <c r="S250" s="306">
        <v>330</v>
      </c>
      <c r="T250" s="822">
        <v>22961</v>
      </c>
      <c r="U250" s="25">
        <f t="shared" si="73"/>
        <v>7577130</v>
      </c>
      <c r="V250" s="456"/>
      <c r="W250" s="794"/>
      <c r="X250" s="822"/>
      <c r="Y250" s="822"/>
      <c r="Z250" s="25"/>
    </row>
    <row r="251" spans="1:26" ht="13.5" customHeight="1">
      <c r="A251" s="777">
        <f t="shared" ref="A251:A315" si="89">IF(B251&lt;&gt;"",A250+1,"")</f>
        <v>67</v>
      </c>
      <c r="B251" s="298" t="s">
        <v>1017</v>
      </c>
      <c r="C251" s="25">
        <f t="shared" si="84"/>
        <v>5370800</v>
      </c>
      <c r="D251" s="778">
        <f t="shared" si="86"/>
        <v>725358.63026376686</v>
      </c>
      <c r="E251" s="778">
        <f t="shared" si="86"/>
        <v>191345.44192503471</v>
      </c>
      <c r="F251" s="778">
        <f t="shared" si="86"/>
        <v>406097.06154558074</v>
      </c>
      <c r="G251" s="778">
        <f t="shared" si="86"/>
        <v>73789.912077741785</v>
      </c>
      <c r="H251" s="778">
        <f t="shared" si="86"/>
        <v>703763.68964985351</v>
      </c>
      <c r="I251" s="778">
        <f t="shared" si="86"/>
        <v>122043.99969150084</v>
      </c>
      <c r="J251" s="365"/>
      <c r="K251" s="25">
        <f t="shared" si="88"/>
        <v>7593198.7351534795</v>
      </c>
      <c r="L251" s="778">
        <v>1000</v>
      </c>
      <c r="M251" s="778">
        <f t="shared" si="81"/>
        <v>7593.1987351534799</v>
      </c>
      <c r="N251" s="678">
        <v>11000</v>
      </c>
      <c r="O251" s="678"/>
      <c r="P251" s="189" t="s">
        <v>544</v>
      </c>
      <c r="Q251" s="794">
        <v>40772</v>
      </c>
      <c r="R251" s="793"/>
      <c r="S251" s="306">
        <v>200</v>
      </c>
      <c r="T251" s="822">
        <v>26854</v>
      </c>
      <c r="U251" s="25">
        <f t="shared" si="73"/>
        <v>5370800</v>
      </c>
      <c r="V251" s="456"/>
      <c r="W251" s="794"/>
      <c r="X251" s="822"/>
      <c r="Y251" s="822"/>
      <c r="Z251" s="25"/>
    </row>
    <row r="252" spans="1:26" ht="13.5" customHeight="1">
      <c r="A252" s="777">
        <f t="shared" si="89"/>
        <v>68</v>
      </c>
      <c r="B252" s="298" t="s">
        <v>1040</v>
      </c>
      <c r="C252" s="25">
        <f t="shared" si="84"/>
        <v>62720</v>
      </c>
      <c r="D252" s="778">
        <f t="shared" si="86"/>
        <v>2901.4345210550673</v>
      </c>
      <c r="E252" s="778">
        <f t="shared" si="86"/>
        <v>765.38176770013888</v>
      </c>
      <c r="F252" s="778">
        <f t="shared" si="86"/>
        <v>1624.388246182323</v>
      </c>
      <c r="G252" s="778">
        <f t="shared" si="86"/>
        <v>295.15964831096716</v>
      </c>
      <c r="H252" s="778">
        <f t="shared" si="86"/>
        <v>2815.0547585994141</v>
      </c>
      <c r="I252" s="778">
        <f t="shared" si="86"/>
        <v>488.17599876600337</v>
      </c>
      <c r="J252" s="365"/>
      <c r="K252" s="25">
        <f t="shared" si="88"/>
        <v>71609.594940613912</v>
      </c>
      <c r="L252" s="778">
        <v>4</v>
      </c>
      <c r="M252" s="778">
        <f t="shared" si="81"/>
        <v>17902.398735153478</v>
      </c>
      <c r="N252" s="678">
        <v>17837</v>
      </c>
      <c r="O252" s="678"/>
      <c r="P252" s="40" t="s">
        <v>614</v>
      </c>
      <c r="Q252" s="794">
        <v>40772</v>
      </c>
      <c r="R252" s="793"/>
      <c r="S252" s="306">
        <v>2</v>
      </c>
      <c r="T252" s="822">
        <v>31360</v>
      </c>
      <c r="U252" s="25">
        <f t="shared" si="73"/>
        <v>62720</v>
      </c>
      <c r="V252" s="456"/>
      <c r="W252" s="794"/>
      <c r="X252" s="822"/>
      <c r="Y252" s="822"/>
      <c r="Z252" s="25"/>
    </row>
    <row r="253" spans="1:26" ht="13.5" customHeight="1">
      <c r="A253" s="777">
        <f t="shared" si="89"/>
        <v>69</v>
      </c>
      <c r="B253" s="298" t="s">
        <v>1041</v>
      </c>
      <c r="C253" s="25">
        <f t="shared" si="84"/>
        <v>4449</v>
      </c>
      <c r="D253" s="778">
        <f t="shared" si="86"/>
        <v>725.35863026376683</v>
      </c>
      <c r="E253" s="778">
        <f t="shared" si="86"/>
        <v>191.34544192503472</v>
      </c>
      <c r="F253" s="778">
        <f t="shared" si="86"/>
        <v>406.09706154558074</v>
      </c>
      <c r="G253" s="778">
        <f t="shared" si="86"/>
        <v>73.789912077741789</v>
      </c>
      <c r="H253" s="778">
        <f t="shared" si="86"/>
        <v>703.76368964985352</v>
      </c>
      <c r="I253" s="778">
        <f t="shared" si="86"/>
        <v>122.04399969150084</v>
      </c>
      <c r="J253" s="365"/>
      <c r="K253" s="25">
        <f t="shared" si="88"/>
        <v>6671.3987351534788</v>
      </c>
      <c r="L253" s="778">
        <v>1</v>
      </c>
      <c r="M253" s="778">
        <f t="shared" si="81"/>
        <v>6671.3987351534788</v>
      </c>
      <c r="N253" s="678">
        <v>7093</v>
      </c>
      <c r="O253" s="678"/>
      <c r="P253" s="189" t="s">
        <v>387</v>
      </c>
      <c r="Q253" s="794">
        <v>40772</v>
      </c>
      <c r="R253" s="793"/>
      <c r="S253" s="306">
        <f>L253</f>
        <v>1</v>
      </c>
      <c r="T253" s="822">
        <f>4449</f>
        <v>4449</v>
      </c>
      <c r="U253" s="25">
        <f t="shared" si="73"/>
        <v>4449</v>
      </c>
      <c r="V253" s="456"/>
      <c r="W253" s="794"/>
      <c r="X253" s="822"/>
      <c r="Y253" s="822"/>
      <c r="Z253" s="25"/>
    </row>
    <row r="254" spans="1:26" ht="13.5" customHeight="1">
      <c r="A254" s="777">
        <f t="shared" si="89"/>
        <v>70</v>
      </c>
      <c r="B254" s="298" t="s">
        <v>1042</v>
      </c>
      <c r="C254" s="25">
        <f t="shared" si="84"/>
        <v>26894</v>
      </c>
      <c r="D254" s="778">
        <f t="shared" si="86"/>
        <v>2176.0758907913005</v>
      </c>
      <c r="E254" s="778">
        <f t="shared" si="86"/>
        <v>574.03632577510416</v>
      </c>
      <c r="F254" s="778">
        <f t="shared" si="86"/>
        <v>1218.2911846367422</v>
      </c>
      <c r="G254" s="778">
        <f t="shared" si="86"/>
        <v>221.36973623322535</v>
      </c>
      <c r="H254" s="778">
        <f t="shared" si="86"/>
        <v>2111.2910689495607</v>
      </c>
      <c r="I254" s="778">
        <f t="shared" si="86"/>
        <v>366.13199907450252</v>
      </c>
      <c r="J254" s="365"/>
      <c r="K254" s="25">
        <f t="shared" si="88"/>
        <v>33561.196205460437</v>
      </c>
      <c r="L254" s="778">
        <v>3</v>
      </c>
      <c r="M254" s="778">
        <f t="shared" si="81"/>
        <v>11187.065401820146</v>
      </c>
      <c r="N254" s="678">
        <v>10253</v>
      </c>
      <c r="O254" s="678"/>
      <c r="P254" s="40" t="s">
        <v>599</v>
      </c>
      <c r="Q254" s="794">
        <v>40772</v>
      </c>
      <c r="R254" s="793"/>
      <c r="S254" s="306">
        <v>1</v>
      </c>
      <c r="T254" s="821">
        <v>26894</v>
      </c>
      <c r="U254" s="25">
        <f t="shared" si="73"/>
        <v>26894</v>
      </c>
      <c r="V254" s="456"/>
      <c r="W254" s="794"/>
      <c r="X254" s="822"/>
      <c r="Y254" s="822"/>
      <c r="Z254" s="25"/>
    </row>
    <row r="255" spans="1:26" ht="13.5" customHeight="1">
      <c r="A255" s="777">
        <f t="shared" si="89"/>
        <v>71</v>
      </c>
      <c r="B255" s="298" t="s">
        <v>1043</v>
      </c>
      <c r="C255" s="25">
        <f t="shared" si="84"/>
        <v>16173</v>
      </c>
      <c r="D255" s="778">
        <f t="shared" ref="D255:I264" si="90">IF($L$339&lt;&gt;0,D$339/$L$339*$L255,0)</f>
        <v>1450.7172605275337</v>
      </c>
      <c r="E255" s="778">
        <f t="shared" si="90"/>
        <v>382.69088385006944</v>
      </c>
      <c r="F255" s="778">
        <f t="shared" si="90"/>
        <v>812.19412309116149</v>
      </c>
      <c r="G255" s="778">
        <f t="shared" si="90"/>
        <v>147.57982415548358</v>
      </c>
      <c r="H255" s="778">
        <f t="shared" si="90"/>
        <v>1407.527379299707</v>
      </c>
      <c r="I255" s="778">
        <f t="shared" si="90"/>
        <v>244.08799938300169</v>
      </c>
      <c r="J255" s="365"/>
      <c r="K255" s="25">
        <f t="shared" si="88"/>
        <v>20617.797470306956</v>
      </c>
      <c r="L255" s="778">
        <v>2</v>
      </c>
      <c r="M255" s="778">
        <f t="shared" si="81"/>
        <v>10308.898735153478</v>
      </c>
      <c r="N255" s="678">
        <v>14881</v>
      </c>
      <c r="O255" s="678"/>
      <c r="P255" s="189" t="s">
        <v>488</v>
      </c>
      <c r="Q255" s="794">
        <v>40772</v>
      </c>
      <c r="R255" s="793"/>
      <c r="S255" s="306">
        <f t="shared" ref="S255:S256" si="91">L255/2</f>
        <v>1</v>
      </c>
      <c r="T255" s="822">
        <v>16173</v>
      </c>
      <c r="U255" s="25">
        <f t="shared" si="73"/>
        <v>16173</v>
      </c>
      <c r="V255" s="456"/>
      <c r="W255" s="794"/>
      <c r="X255" s="822"/>
      <c r="Y255" s="822"/>
      <c r="Z255" s="25"/>
    </row>
    <row r="256" spans="1:26" ht="13.5" customHeight="1">
      <c r="A256" s="777">
        <f>IF(B256&lt;&gt;"",A255+1,"")</f>
        <v>72</v>
      </c>
      <c r="B256" s="298" t="s">
        <v>1044</v>
      </c>
      <c r="C256" s="25">
        <f t="shared" si="84"/>
        <v>8087</v>
      </c>
      <c r="D256" s="778">
        <f t="shared" si="90"/>
        <v>725.35863026376683</v>
      </c>
      <c r="E256" s="778">
        <f t="shared" si="90"/>
        <v>191.34544192503472</v>
      </c>
      <c r="F256" s="778">
        <f t="shared" si="90"/>
        <v>406.09706154558074</v>
      </c>
      <c r="G256" s="778">
        <f t="shared" si="90"/>
        <v>73.789912077741789</v>
      </c>
      <c r="H256" s="778">
        <f t="shared" si="90"/>
        <v>703.76368964985352</v>
      </c>
      <c r="I256" s="778">
        <f t="shared" si="90"/>
        <v>122.04399969150084</v>
      </c>
      <c r="J256" s="365"/>
      <c r="K256" s="25">
        <f t="shared" si="88"/>
        <v>10309.398735153478</v>
      </c>
      <c r="L256" s="778">
        <v>1</v>
      </c>
      <c r="M256" s="778">
        <f t="shared" si="81"/>
        <v>10309.398735153478</v>
      </c>
      <c r="N256" s="678">
        <v>12207</v>
      </c>
      <c r="O256" s="678"/>
      <c r="P256" s="189" t="s">
        <v>488</v>
      </c>
      <c r="Q256" s="794">
        <v>40772</v>
      </c>
      <c r="R256" s="793"/>
      <c r="S256" s="306">
        <f t="shared" si="91"/>
        <v>0.5</v>
      </c>
      <c r="T256" s="822">
        <v>16173</v>
      </c>
      <c r="U256" s="25">
        <f t="shared" si="73"/>
        <v>8087</v>
      </c>
      <c r="V256" s="456"/>
      <c r="W256" s="794"/>
      <c r="X256" s="822"/>
      <c r="Y256" s="822"/>
      <c r="Z256" s="25"/>
    </row>
    <row r="257" spans="1:26" ht="13.5" customHeight="1">
      <c r="A257" s="777">
        <f t="shared" si="89"/>
        <v>73</v>
      </c>
      <c r="B257" s="298" t="s">
        <v>1045</v>
      </c>
      <c r="C257" s="25">
        <f t="shared" si="84"/>
        <v>7268</v>
      </c>
      <c r="D257" s="778">
        <f t="shared" si="90"/>
        <v>725.35863026376683</v>
      </c>
      <c r="E257" s="778">
        <f t="shared" si="90"/>
        <v>191.34544192503472</v>
      </c>
      <c r="F257" s="778">
        <f t="shared" si="90"/>
        <v>406.09706154558074</v>
      </c>
      <c r="G257" s="778">
        <f t="shared" si="90"/>
        <v>73.789912077741789</v>
      </c>
      <c r="H257" s="778">
        <f t="shared" si="90"/>
        <v>703.76368964985352</v>
      </c>
      <c r="I257" s="778">
        <f t="shared" si="90"/>
        <v>122.04399969150084</v>
      </c>
      <c r="J257" s="365"/>
      <c r="K257" s="25">
        <f t="shared" si="88"/>
        <v>9490.3987351534779</v>
      </c>
      <c r="L257" s="778">
        <v>1</v>
      </c>
      <c r="M257" s="778">
        <f t="shared" si="81"/>
        <v>9490.3987351534779</v>
      </c>
      <c r="N257" s="678">
        <v>10110</v>
      </c>
      <c r="O257" s="678"/>
      <c r="P257" s="189" t="s">
        <v>523</v>
      </c>
      <c r="Q257" s="794">
        <v>40772</v>
      </c>
      <c r="R257" s="793"/>
      <c r="S257" s="306">
        <f>L257</f>
        <v>1</v>
      </c>
      <c r="T257" s="256">
        <v>7268</v>
      </c>
      <c r="U257" s="25">
        <f t="shared" si="73"/>
        <v>7268</v>
      </c>
      <c r="V257" s="456"/>
      <c r="W257" s="794"/>
      <c r="X257" s="822"/>
      <c r="Y257" s="822"/>
      <c r="Z257" s="25"/>
    </row>
    <row r="258" spans="1:26" ht="13.5" customHeight="1">
      <c r="A258" s="777">
        <f t="shared" si="89"/>
        <v>74</v>
      </c>
      <c r="B258" s="298" t="s">
        <v>1046</v>
      </c>
      <c r="C258" s="25">
        <f t="shared" si="84"/>
        <v>16173</v>
      </c>
      <c r="D258" s="778">
        <f t="shared" si="90"/>
        <v>1450.7172605275337</v>
      </c>
      <c r="E258" s="778">
        <f t="shared" si="90"/>
        <v>382.69088385006944</v>
      </c>
      <c r="F258" s="778">
        <f t="shared" si="90"/>
        <v>812.19412309116149</v>
      </c>
      <c r="G258" s="778">
        <f t="shared" si="90"/>
        <v>147.57982415548358</v>
      </c>
      <c r="H258" s="778">
        <f t="shared" si="90"/>
        <v>1407.527379299707</v>
      </c>
      <c r="I258" s="778">
        <f t="shared" si="90"/>
        <v>244.08799938300169</v>
      </c>
      <c r="J258" s="365"/>
      <c r="K258" s="25">
        <f t="shared" si="88"/>
        <v>20617.797470306956</v>
      </c>
      <c r="L258" s="778">
        <v>2</v>
      </c>
      <c r="M258" s="778">
        <f t="shared" si="81"/>
        <v>10308.898735153478</v>
      </c>
      <c r="N258" s="678">
        <v>15053</v>
      </c>
      <c r="O258" s="678"/>
      <c r="P258" s="189" t="s">
        <v>488</v>
      </c>
      <c r="Q258" s="794">
        <v>40772</v>
      </c>
      <c r="R258" s="793"/>
      <c r="S258" s="306">
        <f>L258/2</f>
        <v>1</v>
      </c>
      <c r="T258" s="822">
        <v>16173</v>
      </c>
      <c r="U258" s="25">
        <f t="shared" si="73"/>
        <v>16173</v>
      </c>
      <c r="V258" s="456"/>
      <c r="W258" s="794"/>
      <c r="X258" s="822"/>
      <c r="Y258" s="822"/>
      <c r="Z258" s="25"/>
    </row>
    <row r="259" spans="1:26" ht="13.5" customHeight="1">
      <c r="A259" s="777">
        <f t="shared" si="89"/>
        <v>75</v>
      </c>
      <c r="B259" s="298" t="s">
        <v>1047</v>
      </c>
      <c r="C259" s="25">
        <f t="shared" si="84"/>
        <v>7509250</v>
      </c>
      <c r="D259" s="778">
        <f t="shared" si="90"/>
        <v>507751.04118463676</v>
      </c>
      <c r="E259" s="778">
        <f t="shared" si="90"/>
        <v>133941.80934752431</v>
      </c>
      <c r="F259" s="778">
        <f t="shared" si="90"/>
        <v>284267.94308190653</v>
      </c>
      <c r="G259" s="778">
        <f t="shared" si="90"/>
        <v>51652.938454419251</v>
      </c>
      <c r="H259" s="778">
        <f t="shared" si="90"/>
        <v>492634.58275489748</v>
      </c>
      <c r="I259" s="778">
        <f t="shared" si="90"/>
        <v>85430.799784050585</v>
      </c>
      <c r="J259" s="365"/>
      <c r="K259" s="25">
        <f t="shared" si="88"/>
        <v>9064929.1146074347</v>
      </c>
      <c r="L259" s="778">
        <v>700</v>
      </c>
      <c r="M259" s="778">
        <f t="shared" si="81"/>
        <v>12949.898735153478</v>
      </c>
      <c r="N259" s="678">
        <v>14438</v>
      </c>
      <c r="O259" s="678"/>
      <c r="P259" s="189" t="s">
        <v>631</v>
      </c>
      <c r="Q259" s="794">
        <v>40772</v>
      </c>
      <c r="R259" s="793"/>
      <c r="S259" s="306">
        <f>L259/2</f>
        <v>350</v>
      </c>
      <c r="T259" s="847">
        <v>21455</v>
      </c>
      <c r="U259" s="25">
        <f t="shared" si="73"/>
        <v>7509250</v>
      </c>
      <c r="V259" s="456"/>
      <c r="W259" s="794"/>
      <c r="X259" s="822"/>
      <c r="Y259" s="822"/>
      <c r="Z259" s="25"/>
    </row>
    <row r="260" spans="1:26" ht="13.5" customHeight="1">
      <c r="A260" s="777">
        <f t="shared" si="89"/>
        <v>76</v>
      </c>
      <c r="B260" s="298" t="s">
        <v>1048</v>
      </c>
      <c r="C260" s="25">
        <f t="shared" si="84"/>
        <v>738276</v>
      </c>
      <c r="D260" s="778">
        <f t="shared" si="90"/>
        <v>45697.593706617306</v>
      </c>
      <c r="E260" s="778">
        <f t="shared" si="90"/>
        <v>12054.762841277188</v>
      </c>
      <c r="F260" s="778">
        <f t="shared" si="90"/>
        <v>25584.114877371587</v>
      </c>
      <c r="G260" s="778">
        <f t="shared" si="90"/>
        <v>4648.7644608977325</v>
      </c>
      <c r="H260" s="778">
        <f t="shared" si="90"/>
        <v>44337.112447940774</v>
      </c>
      <c r="I260" s="778">
        <f t="shared" si="90"/>
        <v>7688.7719805645529</v>
      </c>
      <c r="J260" s="365"/>
      <c r="K260" s="25">
        <f t="shared" si="88"/>
        <v>878287.12031466921</v>
      </c>
      <c r="L260" s="778">
        <v>63</v>
      </c>
      <c r="M260" s="778">
        <f t="shared" si="81"/>
        <v>13941.065401820146</v>
      </c>
      <c r="N260" s="678">
        <v>16713</v>
      </c>
      <c r="O260" s="678"/>
      <c r="P260" s="40" t="s">
        <v>556</v>
      </c>
      <c r="Q260" s="794">
        <v>40774</v>
      </c>
      <c r="R260" s="793"/>
      <c r="S260" s="306">
        <v>33</v>
      </c>
      <c r="T260" s="822">
        <v>22372</v>
      </c>
      <c r="U260" s="25">
        <f t="shared" si="73"/>
        <v>738276</v>
      </c>
      <c r="V260" s="456"/>
      <c r="W260" s="794"/>
      <c r="X260" s="822"/>
      <c r="Y260" s="822"/>
      <c r="Z260" s="25"/>
    </row>
    <row r="261" spans="1:26" ht="13.5" customHeight="1">
      <c r="A261" s="777">
        <f t="shared" si="89"/>
        <v>77</v>
      </c>
      <c r="B261" s="298" t="s">
        <v>1049</v>
      </c>
      <c r="C261" s="25">
        <f t="shared" si="84"/>
        <v>713736</v>
      </c>
      <c r="D261" s="778">
        <f t="shared" si="90"/>
        <v>100099.49097639983</v>
      </c>
      <c r="E261" s="778">
        <f t="shared" si="90"/>
        <v>26405.67098565479</v>
      </c>
      <c r="F261" s="778">
        <f t="shared" si="90"/>
        <v>56041.394493290143</v>
      </c>
      <c r="G261" s="778">
        <f t="shared" si="90"/>
        <v>10183.007866728367</v>
      </c>
      <c r="H261" s="778">
        <f t="shared" si="90"/>
        <v>97119.389171679781</v>
      </c>
      <c r="I261" s="778">
        <f t="shared" si="90"/>
        <v>16842.071957427117</v>
      </c>
      <c r="J261" s="365"/>
      <c r="K261" s="25">
        <f t="shared" si="88"/>
        <v>1020427.0254511799</v>
      </c>
      <c r="L261" s="778">
        <v>138</v>
      </c>
      <c r="M261" s="778">
        <f t="shared" si="81"/>
        <v>7394.3987351534779</v>
      </c>
      <c r="N261" s="678">
        <v>8450</v>
      </c>
      <c r="O261" s="678"/>
      <c r="P261" s="189" t="s">
        <v>578</v>
      </c>
      <c r="Q261" s="794">
        <v>40774</v>
      </c>
      <c r="R261" s="793"/>
      <c r="S261" s="306">
        <f>L261/2</f>
        <v>69</v>
      </c>
      <c r="T261" s="822">
        <v>10344</v>
      </c>
      <c r="U261" s="25">
        <f t="shared" si="73"/>
        <v>713736</v>
      </c>
      <c r="V261" s="456"/>
      <c r="W261" s="794"/>
      <c r="X261" s="822"/>
      <c r="Y261" s="822"/>
      <c r="Z261" s="25"/>
    </row>
    <row r="262" spans="1:26" ht="13.5" customHeight="1">
      <c r="A262" s="777">
        <f t="shared" si="89"/>
        <v>78</v>
      </c>
      <c r="B262" s="298" t="s">
        <v>1050</v>
      </c>
      <c r="C262" s="25">
        <f t="shared" si="84"/>
        <v>1708596</v>
      </c>
      <c r="D262" s="778">
        <f t="shared" si="90"/>
        <v>202375.05784359094</v>
      </c>
      <c r="E262" s="778">
        <f t="shared" si="90"/>
        <v>53385.378297084688</v>
      </c>
      <c r="F262" s="778">
        <f t="shared" si="90"/>
        <v>113301.08017121702</v>
      </c>
      <c r="G262" s="778">
        <f t="shared" si="90"/>
        <v>20587.385469689958</v>
      </c>
      <c r="H262" s="778">
        <f t="shared" si="90"/>
        <v>196350.06941230912</v>
      </c>
      <c r="I262" s="778">
        <f t="shared" si="90"/>
        <v>34050.275913928737</v>
      </c>
      <c r="J262" s="365"/>
      <c r="K262" s="25">
        <f t="shared" si="88"/>
        <v>2328645.2471078201</v>
      </c>
      <c r="L262" s="778">
        <v>279</v>
      </c>
      <c r="M262" s="778">
        <f t="shared" si="81"/>
        <v>8346.3987351534779</v>
      </c>
      <c r="N262" s="678">
        <v>9594</v>
      </c>
      <c r="O262" s="678"/>
      <c r="P262" s="189" t="s">
        <v>385</v>
      </c>
      <c r="Q262" s="794">
        <v>40774</v>
      </c>
      <c r="R262" s="793"/>
      <c r="S262" s="306">
        <f>L262</f>
        <v>279</v>
      </c>
      <c r="T262" s="822">
        <v>6124</v>
      </c>
      <c r="U262" s="25">
        <f t="shared" si="73"/>
        <v>1708596</v>
      </c>
      <c r="V262" s="456"/>
      <c r="W262" s="794"/>
      <c r="X262" s="822"/>
      <c r="Y262" s="822"/>
      <c r="Z262" s="25"/>
    </row>
    <row r="263" spans="1:26" ht="13.5" customHeight="1">
      <c r="A263" s="777">
        <f t="shared" si="89"/>
        <v>79</v>
      </c>
      <c r="B263" s="298" t="s">
        <v>1051</v>
      </c>
      <c r="C263" s="25">
        <f t="shared" si="84"/>
        <v>339460</v>
      </c>
      <c r="D263" s="778">
        <f t="shared" si="90"/>
        <v>29739.70384081444</v>
      </c>
      <c r="E263" s="778">
        <f t="shared" si="90"/>
        <v>7845.1631189264235</v>
      </c>
      <c r="F263" s="778">
        <f t="shared" si="90"/>
        <v>16649.979523368809</v>
      </c>
      <c r="G263" s="778">
        <f t="shared" si="90"/>
        <v>3025.3863951874132</v>
      </c>
      <c r="H263" s="778">
        <f t="shared" si="90"/>
        <v>28854.311275643995</v>
      </c>
      <c r="I263" s="778">
        <f t="shared" si="90"/>
        <v>5003.8039873515345</v>
      </c>
      <c r="J263" s="365"/>
      <c r="K263" s="25">
        <f t="shared" si="88"/>
        <v>430578.34814129258</v>
      </c>
      <c r="L263" s="778">
        <v>41</v>
      </c>
      <c r="M263" s="778">
        <f t="shared" si="81"/>
        <v>10501.91093027543</v>
      </c>
      <c r="N263" s="678">
        <v>11992</v>
      </c>
      <c r="O263" s="678"/>
      <c r="P263" s="189" t="s">
        <v>551</v>
      </c>
      <c r="Q263" s="794">
        <v>40774</v>
      </c>
      <c r="R263" s="793"/>
      <c r="S263" s="306">
        <v>20</v>
      </c>
      <c r="T263" s="822">
        <v>16973</v>
      </c>
      <c r="U263" s="25">
        <f t="shared" si="73"/>
        <v>339460</v>
      </c>
      <c r="V263" s="456"/>
      <c r="W263" s="794"/>
      <c r="X263" s="822"/>
      <c r="Y263" s="822"/>
      <c r="Z263" s="25"/>
    </row>
    <row r="264" spans="1:26" ht="13.5" customHeight="1">
      <c r="A264" s="777">
        <f t="shared" si="89"/>
        <v>80</v>
      </c>
      <c r="B264" s="298" t="s">
        <v>1052</v>
      </c>
      <c r="C264" s="25">
        <f t="shared" si="84"/>
        <v>1307440</v>
      </c>
      <c r="D264" s="778">
        <f t="shared" si="90"/>
        <v>109529.15316982879</v>
      </c>
      <c r="E264" s="778">
        <f t="shared" si="90"/>
        <v>28893.161730680244</v>
      </c>
      <c r="F264" s="778">
        <f t="shared" si="90"/>
        <v>61320.656293382694</v>
      </c>
      <c r="G264" s="778">
        <f t="shared" si="90"/>
        <v>11142.276723739011</v>
      </c>
      <c r="H264" s="778">
        <f t="shared" si="90"/>
        <v>106268.31713712789</v>
      </c>
      <c r="I264" s="778">
        <f t="shared" si="90"/>
        <v>18428.643953416627</v>
      </c>
      <c r="J264" s="365"/>
      <c r="K264" s="25">
        <f t="shared" si="88"/>
        <v>1643022.2090081752</v>
      </c>
      <c r="L264" s="778">
        <v>151</v>
      </c>
      <c r="M264" s="778">
        <f t="shared" si="81"/>
        <v>10880.941781511094</v>
      </c>
      <c r="N264" s="678">
        <v>11067</v>
      </c>
      <c r="O264" s="678"/>
      <c r="P264" s="189" t="s">
        <v>584</v>
      </c>
      <c r="Q264" s="794">
        <v>40774</v>
      </c>
      <c r="R264" s="793"/>
      <c r="S264" s="306">
        <v>40</v>
      </c>
      <c r="T264" s="847">
        <v>32686</v>
      </c>
      <c r="U264" s="25">
        <f t="shared" si="73"/>
        <v>1307440</v>
      </c>
      <c r="V264" s="456"/>
      <c r="W264" s="794"/>
      <c r="X264" s="822"/>
      <c r="Y264" s="822"/>
      <c r="Z264" s="25"/>
    </row>
    <row r="265" spans="1:26" ht="13.5" customHeight="1">
      <c r="A265" s="777">
        <f t="shared" si="89"/>
        <v>81</v>
      </c>
      <c r="B265" s="298" t="s">
        <v>1053</v>
      </c>
      <c r="C265" s="25">
        <f t="shared" si="84"/>
        <v>2654496</v>
      </c>
      <c r="D265" s="778">
        <f t="shared" ref="D265:I274" si="92">IF($L$339&lt;&gt;0,D$339/$L$339*$L265,0)</f>
        <v>335841.04581212404</v>
      </c>
      <c r="E265" s="778">
        <f t="shared" si="92"/>
        <v>88592.939611291076</v>
      </c>
      <c r="F265" s="778">
        <f t="shared" si="92"/>
        <v>188022.93949560387</v>
      </c>
      <c r="G265" s="778">
        <f t="shared" si="92"/>
        <v>34164.729291994445</v>
      </c>
      <c r="H265" s="778">
        <f t="shared" si="92"/>
        <v>325842.58830788219</v>
      </c>
      <c r="I265" s="778">
        <f t="shared" si="92"/>
        <v>56506.371857164893</v>
      </c>
      <c r="J265" s="365"/>
      <c r="K265" s="25">
        <f t="shared" si="88"/>
        <v>3683466.6143760607</v>
      </c>
      <c r="L265" s="778">
        <v>463</v>
      </c>
      <c r="M265" s="778">
        <f t="shared" si="81"/>
        <v>7955.6514349374957</v>
      </c>
      <c r="N265" s="678">
        <v>10594</v>
      </c>
      <c r="O265" s="678"/>
      <c r="P265" s="189" t="s">
        <v>569</v>
      </c>
      <c r="Q265" s="794">
        <v>40774</v>
      </c>
      <c r="R265" s="793"/>
      <c r="S265" s="306">
        <v>104</v>
      </c>
      <c r="T265" s="821">
        <v>25524</v>
      </c>
      <c r="U265" s="25">
        <f t="shared" si="73"/>
        <v>2654496</v>
      </c>
      <c r="V265" s="456"/>
      <c r="W265" s="794"/>
      <c r="X265" s="822"/>
      <c r="Y265" s="822"/>
      <c r="Z265" s="25"/>
    </row>
    <row r="266" spans="1:26" ht="13.5" customHeight="1">
      <c r="A266" s="777">
        <f>IF(B266&lt;&gt;"",A265+1,"")</f>
        <v>82</v>
      </c>
      <c r="B266" s="298" t="s">
        <v>1054</v>
      </c>
      <c r="C266" s="25">
        <f t="shared" si="84"/>
        <v>1759310</v>
      </c>
      <c r="D266" s="778">
        <f t="shared" si="92"/>
        <v>118233.45673299399</v>
      </c>
      <c r="E266" s="778">
        <f t="shared" si="92"/>
        <v>31189.30703378066</v>
      </c>
      <c r="F266" s="778">
        <f t="shared" si="92"/>
        <v>66193.821031929663</v>
      </c>
      <c r="G266" s="778">
        <f t="shared" si="92"/>
        <v>12027.755668671911</v>
      </c>
      <c r="H266" s="778">
        <f t="shared" si="92"/>
        <v>114713.48141292612</v>
      </c>
      <c r="I266" s="778">
        <f t="shared" si="92"/>
        <v>19893.171949714637</v>
      </c>
      <c r="J266" s="365"/>
      <c r="K266" s="25">
        <f t="shared" si="88"/>
        <v>2121560.9938300168</v>
      </c>
      <c r="L266" s="778">
        <v>163</v>
      </c>
      <c r="M266" s="778">
        <f t="shared" si="81"/>
        <v>13015.711618589061</v>
      </c>
      <c r="N266" s="678">
        <v>14010</v>
      </c>
      <c r="O266" s="678"/>
      <c r="P266" s="189" t="s">
        <v>631</v>
      </c>
      <c r="Q266" s="794">
        <v>40774</v>
      </c>
      <c r="R266" s="793"/>
      <c r="S266" s="306">
        <v>82</v>
      </c>
      <c r="T266" s="847">
        <v>21455</v>
      </c>
      <c r="U266" s="25">
        <f t="shared" si="73"/>
        <v>1759310</v>
      </c>
      <c r="V266" s="456"/>
      <c r="W266" s="794"/>
      <c r="X266" s="822"/>
      <c r="Y266" s="822"/>
      <c r="Z266" s="25"/>
    </row>
    <row r="267" spans="1:26" ht="13.5" customHeight="1">
      <c r="A267" s="777">
        <f t="shared" si="89"/>
        <v>83</v>
      </c>
      <c r="B267" s="298" t="s">
        <v>756</v>
      </c>
      <c r="C267" s="25">
        <f t="shared" si="84"/>
        <v>100103</v>
      </c>
      <c r="D267" s="778">
        <f t="shared" si="92"/>
        <v>32641.138361869507</v>
      </c>
      <c r="E267" s="778">
        <f t="shared" si="92"/>
        <v>8610.5448866265615</v>
      </c>
      <c r="F267" s="778">
        <f t="shared" si="92"/>
        <v>18274.367769551132</v>
      </c>
      <c r="G267" s="778">
        <f t="shared" si="92"/>
        <v>3320.5460434983806</v>
      </c>
      <c r="H267" s="778">
        <f t="shared" si="92"/>
        <v>31669.366034243409</v>
      </c>
      <c r="I267" s="778">
        <f t="shared" si="92"/>
        <v>5491.9799861175379</v>
      </c>
      <c r="J267" s="365"/>
      <c r="K267" s="25">
        <f t="shared" si="88"/>
        <v>200110.94308190653</v>
      </c>
      <c r="L267" s="778">
        <v>45</v>
      </c>
      <c r="M267" s="778">
        <f t="shared" si="81"/>
        <v>4446.9098462645898</v>
      </c>
      <c r="N267" s="678">
        <v>4321</v>
      </c>
      <c r="O267" s="678"/>
      <c r="P267" s="189" t="s">
        <v>387</v>
      </c>
      <c r="Q267" s="794">
        <v>40774</v>
      </c>
      <c r="R267" s="793"/>
      <c r="S267" s="306">
        <f>L267/2</f>
        <v>22.5</v>
      </c>
      <c r="T267" s="822">
        <f>4449</f>
        <v>4449</v>
      </c>
      <c r="U267" s="25">
        <f t="shared" si="73"/>
        <v>100103</v>
      </c>
      <c r="V267" s="456"/>
      <c r="W267" s="794"/>
      <c r="X267" s="822"/>
      <c r="Y267" s="822"/>
      <c r="Z267" s="25"/>
    </row>
    <row r="268" spans="1:26" ht="13.5" customHeight="1">
      <c r="A268" s="777">
        <f t="shared" si="89"/>
        <v>84</v>
      </c>
      <c r="B268" s="298" t="s">
        <v>1018</v>
      </c>
      <c r="C268" s="25">
        <f t="shared" si="84"/>
        <v>6056636</v>
      </c>
      <c r="D268" s="778">
        <f t="shared" si="92"/>
        <v>717379.68533086544</v>
      </c>
      <c r="E268" s="778">
        <f t="shared" si="92"/>
        <v>189240.64206385933</v>
      </c>
      <c r="F268" s="778">
        <f t="shared" si="92"/>
        <v>401629.99386857933</v>
      </c>
      <c r="G268" s="778">
        <f t="shared" si="92"/>
        <v>72978.223044886632</v>
      </c>
      <c r="H268" s="778">
        <f t="shared" si="92"/>
        <v>696022.28906370513</v>
      </c>
      <c r="I268" s="778">
        <f t="shared" si="92"/>
        <v>120701.51569489433</v>
      </c>
      <c r="J268" s="365"/>
      <c r="K268" s="25">
        <f t="shared" si="88"/>
        <v>8254588.3490667893</v>
      </c>
      <c r="L268" s="778">
        <v>989</v>
      </c>
      <c r="M268" s="778">
        <f t="shared" si="81"/>
        <v>8346.3987351534779</v>
      </c>
      <c r="N268" s="678">
        <v>9000</v>
      </c>
      <c r="O268" s="678"/>
      <c r="P268" s="189" t="s">
        <v>385</v>
      </c>
      <c r="Q268" s="794">
        <v>40780</v>
      </c>
      <c r="R268" s="793"/>
      <c r="S268" s="306">
        <f t="shared" ref="S268" si="93">L268</f>
        <v>989</v>
      </c>
      <c r="T268" s="822">
        <v>6124</v>
      </c>
      <c r="U268" s="25">
        <f t="shared" si="73"/>
        <v>6056636</v>
      </c>
      <c r="V268" s="456"/>
      <c r="W268" s="794"/>
      <c r="X268" s="822"/>
      <c r="Y268" s="822"/>
      <c r="Z268" s="25"/>
    </row>
    <row r="269" spans="1:26" ht="13.5" customHeight="1">
      <c r="A269" s="777">
        <f t="shared" si="89"/>
        <v>85</v>
      </c>
      <c r="B269" s="298" t="s">
        <v>1055</v>
      </c>
      <c r="C269" s="25">
        <f t="shared" si="84"/>
        <v>1028491</v>
      </c>
      <c r="D269" s="778">
        <f t="shared" si="92"/>
        <v>140719.57427117077</v>
      </c>
      <c r="E269" s="778">
        <f t="shared" si="92"/>
        <v>37121.015733456734</v>
      </c>
      <c r="F269" s="778">
        <f t="shared" si="92"/>
        <v>78782.829939842661</v>
      </c>
      <c r="G269" s="778">
        <f t="shared" si="92"/>
        <v>14315.242943081907</v>
      </c>
      <c r="H269" s="778">
        <f t="shared" si="92"/>
        <v>136530.15579207157</v>
      </c>
      <c r="I269" s="778">
        <f t="shared" si="92"/>
        <v>23676.535940151163</v>
      </c>
      <c r="J269" s="365"/>
      <c r="K269" s="25">
        <f t="shared" si="88"/>
        <v>1459636.354619775</v>
      </c>
      <c r="L269" s="778">
        <v>194</v>
      </c>
      <c r="M269" s="778">
        <f t="shared" si="81"/>
        <v>7523.8987351534788</v>
      </c>
      <c r="N269" s="678">
        <v>9793</v>
      </c>
      <c r="O269" s="678"/>
      <c r="P269" s="189" t="s">
        <v>519</v>
      </c>
      <c r="Q269" s="794">
        <v>40781</v>
      </c>
      <c r="R269" s="793"/>
      <c r="S269" s="306">
        <f>L269/2</f>
        <v>97</v>
      </c>
      <c r="T269" s="294">
        <v>10603</v>
      </c>
      <c r="U269" s="25">
        <f t="shared" si="73"/>
        <v>1028491</v>
      </c>
      <c r="V269" s="456"/>
      <c r="W269" s="794"/>
      <c r="X269" s="822"/>
      <c r="Y269" s="822"/>
      <c r="Z269" s="25"/>
    </row>
    <row r="270" spans="1:26" ht="13.5" customHeight="1">
      <c r="A270" s="777">
        <f t="shared" si="89"/>
        <v>86</v>
      </c>
      <c r="B270" s="298" t="s">
        <v>1056</v>
      </c>
      <c r="C270" s="25">
        <f t="shared" si="84"/>
        <v>548232</v>
      </c>
      <c r="D270" s="778">
        <f t="shared" si="92"/>
        <v>76888.014807959291</v>
      </c>
      <c r="E270" s="778">
        <f t="shared" si="92"/>
        <v>20282.616844053679</v>
      </c>
      <c r="F270" s="778">
        <f t="shared" si="92"/>
        <v>43046.288523831558</v>
      </c>
      <c r="G270" s="778">
        <f t="shared" si="92"/>
        <v>7821.7306802406292</v>
      </c>
      <c r="H270" s="778">
        <f t="shared" si="92"/>
        <v>74598.951102884472</v>
      </c>
      <c r="I270" s="778">
        <f t="shared" si="92"/>
        <v>12936.66396729909</v>
      </c>
      <c r="J270" s="365"/>
      <c r="K270" s="25">
        <f t="shared" si="88"/>
        <v>783806.26592626877</v>
      </c>
      <c r="L270" s="778">
        <v>106</v>
      </c>
      <c r="M270" s="778">
        <f t="shared" si="81"/>
        <v>7394.3987351534788</v>
      </c>
      <c r="N270" s="678">
        <v>8874</v>
      </c>
      <c r="O270" s="678"/>
      <c r="P270" s="189" t="s">
        <v>578</v>
      </c>
      <c r="Q270" s="794">
        <v>40781</v>
      </c>
      <c r="R270" s="793"/>
      <c r="S270" s="306">
        <f>L270/2</f>
        <v>53</v>
      </c>
      <c r="T270" s="822">
        <v>10344</v>
      </c>
      <c r="U270" s="25">
        <f t="shared" si="73"/>
        <v>548232</v>
      </c>
      <c r="V270" s="456"/>
      <c r="W270" s="794"/>
      <c r="X270" s="822"/>
      <c r="Y270" s="822"/>
      <c r="Z270" s="25"/>
    </row>
    <row r="271" spans="1:26" ht="13.5" customHeight="1">
      <c r="A271" s="777">
        <f t="shared" si="89"/>
        <v>87</v>
      </c>
      <c r="B271" s="298" t="s">
        <v>1057</v>
      </c>
      <c r="C271" s="25">
        <f t="shared" si="84"/>
        <v>333675</v>
      </c>
      <c r="D271" s="778">
        <f t="shared" si="92"/>
        <v>108803.79453956502</v>
      </c>
      <c r="E271" s="778">
        <f t="shared" si="92"/>
        <v>28701.81628875521</v>
      </c>
      <c r="F271" s="778">
        <f t="shared" si="92"/>
        <v>60914.559231837113</v>
      </c>
      <c r="G271" s="778">
        <f t="shared" si="92"/>
        <v>11068.486811661269</v>
      </c>
      <c r="H271" s="778">
        <f t="shared" si="92"/>
        <v>105564.55344747803</v>
      </c>
      <c r="I271" s="778">
        <f t="shared" si="92"/>
        <v>18306.599953725126</v>
      </c>
      <c r="J271" s="365"/>
      <c r="K271" s="25">
        <f t="shared" si="88"/>
        <v>667034.81027302169</v>
      </c>
      <c r="L271" s="778">
        <v>150</v>
      </c>
      <c r="M271" s="778">
        <f t="shared" si="81"/>
        <v>4446.8987351534779</v>
      </c>
      <c r="N271" s="678">
        <v>4422</v>
      </c>
      <c r="O271" s="678"/>
      <c r="P271" s="189" t="s">
        <v>387</v>
      </c>
      <c r="Q271" s="794">
        <v>40781</v>
      </c>
      <c r="R271" s="793"/>
      <c r="S271" s="306">
        <f>L271/2</f>
        <v>75</v>
      </c>
      <c r="T271" s="822">
        <f>4449</f>
        <v>4449</v>
      </c>
      <c r="U271" s="25">
        <f t="shared" si="73"/>
        <v>333675</v>
      </c>
      <c r="V271" s="456"/>
      <c r="W271" s="794"/>
      <c r="X271" s="822"/>
      <c r="Y271" s="822"/>
      <c r="Z271" s="25"/>
    </row>
    <row r="272" spans="1:26" ht="13.5" customHeight="1">
      <c r="A272" s="777">
        <f t="shared" si="89"/>
        <v>88</v>
      </c>
      <c r="B272" s="298" t="s">
        <v>1058</v>
      </c>
      <c r="C272" s="25">
        <f t="shared" si="84"/>
        <v>2225</v>
      </c>
      <c r="D272" s="778">
        <f t="shared" si="92"/>
        <v>725.35863026376683</v>
      </c>
      <c r="E272" s="778">
        <f t="shared" si="92"/>
        <v>191.34544192503472</v>
      </c>
      <c r="F272" s="778">
        <f t="shared" si="92"/>
        <v>406.09706154558074</v>
      </c>
      <c r="G272" s="778">
        <f t="shared" si="92"/>
        <v>73.789912077741789</v>
      </c>
      <c r="H272" s="778">
        <f t="shared" si="92"/>
        <v>703.76368964985352</v>
      </c>
      <c r="I272" s="778">
        <f t="shared" si="92"/>
        <v>122.04399969150084</v>
      </c>
      <c r="J272" s="365"/>
      <c r="K272" s="25">
        <f t="shared" si="88"/>
        <v>4447.3987351534788</v>
      </c>
      <c r="L272" s="778">
        <v>1</v>
      </c>
      <c r="M272" s="778">
        <f t="shared" si="81"/>
        <v>4447.3987351534788</v>
      </c>
      <c r="N272" s="678">
        <v>5734</v>
      </c>
      <c r="O272" s="678"/>
      <c r="P272" s="189" t="s">
        <v>387</v>
      </c>
      <c r="Q272" s="794">
        <v>40781</v>
      </c>
      <c r="R272" s="793"/>
      <c r="S272" s="306">
        <f>L272/2</f>
        <v>0.5</v>
      </c>
      <c r="T272" s="822">
        <f>4449</f>
        <v>4449</v>
      </c>
      <c r="U272" s="25">
        <f t="shared" si="73"/>
        <v>2225</v>
      </c>
      <c r="V272" s="456"/>
      <c r="W272" s="794"/>
      <c r="X272" s="822"/>
      <c r="Y272" s="822"/>
      <c r="Z272" s="25"/>
    </row>
    <row r="273" spans="1:26" ht="13.5" customHeight="1">
      <c r="A273" s="777">
        <f t="shared" si="89"/>
        <v>89</v>
      </c>
      <c r="B273" s="298" t="s">
        <v>1059</v>
      </c>
      <c r="C273" s="25">
        <f t="shared" si="84"/>
        <v>687876</v>
      </c>
      <c r="D273" s="778">
        <f t="shared" si="92"/>
        <v>96472.697825080992</v>
      </c>
      <c r="E273" s="778">
        <f t="shared" si="92"/>
        <v>25448.943776029617</v>
      </c>
      <c r="F273" s="778">
        <f t="shared" si="92"/>
        <v>54010.909185562239</v>
      </c>
      <c r="G273" s="778">
        <f t="shared" si="92"/>
        <v>9814.0583063396571</v>
      </c>
      <c r="H273" s="778">
        <f t="shared" si="92"/>
        <v>93600.570723430515</v>
      </c>
      <c r="I273" s="778">
        <f t="shared" si="92"/>
        <v>16231.851958969612</v>
      </c>
      <c r="J273" s="365"/>
      <c r="K273" s="25">
        <f t="shared" si="88"/>
        <v>983455.03177541262</v>
      </c>
      <c r="L273" s="778">
        <v>133</v>
      </c>
      <c r="M273" s="778">
        <f t="shared" si="81"/>
        <v>7394.3987351534779</v>
      </c>
      <c r="N273" s="678">
        <v>8398</v>
      </c>
      <c r="O273" s="678"/>
      <c r="P273" s="189" t="s">
        <v>578</v>
      </c>
      <c r="Q273" s="794">
        <v>40781</v>
      </c>
      <c r="R273" s="793"/>
      <c r="S273" s="306">
        <f>L273/2</f>
        <v>66.5</v>
      </c>
      <c r="T273" s="822">
        <v>10344</v>
      </c>
      <c r="U273" s="25">
        <f t="shared" si="73"/>
        <v>687876</v>
      </c>
      <c r="V273" s="456"/>
      <c r="W273" s="794"/>
      <c r="X273" s="822"/>
      <c r="Y273" s="822"/>
      <c r="Z273" s="25"/>
    </row>
    <row r="274" spans="1:26" ht="13.5" customHeight="1">
      <c r="A274" s="777">
        <f t="shared" si="89"/>
        <v>90</v>
      </c>
      <c r="B274" s="298" t="s">
        <v>1060</v>
      </c>
      <c r="C274" s="25">
        <f t="shared" si="84"/>
        <v>863484</v>
      </c>
      <c r="D274" s="778">
        <f t="shared" si="92"/>
        <v>102275.56686719113</v>
      </c>
      <c r="E274" s="778">
        <f t="shared" si="92"/>
        <v>26979.707311429895</v>
      </c>
      <c r="F274" s="778">
        <f t="shared" si="92"/>
        <v>57259.685677926886</v>
      </c>
      <c r="G274" s="778">
        <f t="shared" si="92"/>
        <v>10404.377602961593</v>
      </c>
      <c r="H274" s="778">
        <f t="shared" si="92"/>
        <v>99230.680240629343</v>
      </c>
      <c r="I274" s="778">
        <f t="shared" si="92"/>
        <v>17208.20395650162</v>
      </c>
      <c r="J274" s="365"/>
      <c r="K274" s="25">
        <f t="shared" si="88"/>
        <v>1176842.2216566403</v>
      </c>
      <c r="L274" s="778">
        <v>141</v>
      </c>
      <c r="M274" s="778">
        <f t="shared" si="81"/>
        <v>8346.3987351534779</v>
      </c>
      <c r="N274" s="678">
        <v>9538</v>
      </c>
      <c r="O274" s="678"/>
      <c r="P274" s="189" t="s">
        <v>385</v>
      </c>
      <c r="Q274" s="794">
        <v>40781</v>
      </c>
      <c r="R274" s="793"/>
      <c r="S274" s="306">
        <f>L274</f>
        <v>141</v>
      </c>
      <c r="T274" s="822">
        <v>6124</v>
      </c>
      <c r="U274" s="25">
        <f t="shared" si="73"/>
        <v>863484</v>
      </c>
      <c r="V274" s="456"/>
      <c r="W274" s="794"/>
      <c r="X274" s="822"/>
      <c r="Y274" s="822"/>
      <c r="Z274" s="25"/>
    </row>
    <row r="275" spans="1:26" ht="13.5" customHeight="1">
      <c r="A275" s="777">
        <f t="shared" si="89"/>
        <v>91</v>
      </c>
      <c r="B275" s="298" t="s">
        <v>1061</v>
      </c>
      <c r="C275" s="25">
        <f t="shared" si="84"/>
        <v>1753566</v>
      </c>
      <c r="D275" s="778">
        <f t="shared" ref="D275:I284" si="94">IF($L$339&lt;&gt;0,D$339/$L$339*$L275,0)</f>
        <v>211804.72003701993</v>
      </c>
      <c r="E275" s="778">
        <f t="shared" si="94"/>
        <v>55872.869042110135</v>
      </c>
      <c r="F275" s="778">
        <f t="shared" si="94"/>
        <v>118580.34197130958</v>
      </c>
      <c r="G275" s="778">
        <f t="shared" si="94"/>
        <v>21546.654326700602</v>
      </c>
      <c r="H275" s="778">
        <f t="shared" si="94"/>
        <v>205498.99737775722</v>
      </c>
      <c r="I275" s="778">
        <f t="shared" si="94"/>
        <v>35636.847909918244</v>
      </c>
      <c r="J275" s="365"/>
      <c r="K275" s="25">
        <f t="shared" si="88"/>
        <v>2402506.430664815</v>
      </c>
      <c r="L275" s="778">
        <v>292</v>
      </c>
      <c r="M275" s="778">
        <f t="shared" si="81"/>
        <v>8227.7617488521064</v>
      </c>
      <c r="N275" s="678">
        <v>10534</v>
      </c>
      <c r="O275" s="678"/>
      <c r="P275" s="298" t="s">
        <v>479</v>
      </c>
      <c r="Q275" s="794">
        <v>40781</v>
      </c>
      <c r="R275" s="793"/>
      <c r="S275" s="306">
        <v>291</v>
      </c>
      <c r="T275" s="822">
        <v>6026</v>
      </c>
      <c r="U275" s="25">
        <f t="shared" si="73"/>
        <v>1753566</v>
      </c>
      <c r="V275" s="456"/>
      <c r="W275" s="794"/>
      <c r="X275" s="822"/>
      <c r="Y275" s="822"/>
      <c r="Z275" s="25"/>
    </row>
    <row r="276" spans="1:26" ht="13.5" customHeight="1">
      <c r="A276" s="777">
        <f t="shared" si="89"/>
        <v>92</v>
      </c>
      <c r="B276" s="298" t="s">
        <v>1062</v>
      </c>
      <c r="C276" s="25">
        <f t="shared" si="84"/>
        <v>8152</v>
      </c>
      <c r="D276" s="778">
        <f t="shared" si="94"/>
        <v>725.35863026376683</v>
      </c>
      <c r="E276" s="778">
        <f t="shared" si="94"/>
        <v>191.34544192503472</v>
      </c>
      <c r="F276" s="778">
        <f t="shared" si="94"/>
        <v>406.09706154558074</v>
      </c>
      <c r="G276" s="778">
        <f t="shared" si="94"/>
        <v>73.789912077741789</v>
      </c>
      <c r="H276" s="778">
        <f t="shared" si="94"/>
        <v>703.76368964985352</v>
      </c>
      <c r="I276" s="778">
        <f t="shared" si="94"/>
        <v>122.04399969150084</v>
      </c>
      <c r="J276" s="365"/>
      <c r="K276" s="25">
        <f t="shared" si="88"/>
        <v>10374.398735153478</v>
      </c>
      <c r="L276" s="778">
        <v>1</v>
      </c>
      <c r="M276" s="778">
        <f t="shared" si="81"/>
        <v>10374.398735153478</v>
      </c>
      <c r="N276" s="678">
        <v>11261</v>
      </c>
      <c r="O276" s="678"/>
      <c r="P276" s="40" t="s">
        <v>601</v>
      </c>
      <c r="Q276" s="794">
        <v>40781</v>
      </c>
      <c r="R276" s="793"/>
      <c r="S276" s="306">
        <f>L276/2</f>
        <v>0.5</v>
      </c>
      <c r="T276" s="822">
        <v>16303</v>
      </c>
      <c r="U276" s="25">
        <f t="shared" si="73"/>
        <v>8152</v>
      </c>
      <c r="V276" s="456"/>
      <c r="W276" s="794"/>
      <c r="X276" s="822"/>
      <c r="Y276" s="822"/>
      <c r="Z276" s="25"/>
    </row>
    <row r="277" spans="1:26" ht="13.5" customHeight="1">
      <c r="A277" s="777">
        <f t="shared" si="89"/>
        <v>93</v>
      </c>
      <c r="B277" s="298" t="s">
        <v>1063</v>
      </c>
      <c r="C277" s="25">
        <f t="shared" si="84"/>
        <v>7268</v>
      </c>
      <c r="D277" s="778">
        <f t="shared" si="94"/>
        <v>725.35863026376683</v>
      </c>
      <c r="E277" s="778">
        <f t="shared" si="94"/>
        <v>191.34544192503472</v>
      </c>
      <c r="F277" s="778">
        <f t="shared" si="94"/>
        <v>406.09706154558074</v>
      </c>
      <c r="G277" s="778">
        <f t="shared" si="94"/>
        <v>73.789912077741789</v>
      </c>
      <c r="H277" s="778">
        <f t="shared" si="94"/>
        <v>703.76368964985352</v>
      </c>
      <c r="I277" s="778">
        <f t="shared" si="94"/>
        <v>122.04399969150084</v>
      </c>
      <c r="J277" s="365"/>
      <c r="K277" s="25">
        <f t="shared" si="88"/>
        <v>9490.3987351534779</v>
      </c>
      <c r="L277" s="778">
        <v>1</v>
      </c>
      <c r="M277" s="778">
        <f t="shared" si="81"/>
        <v>9490.3987351534779</v>
      </c>
      <c r="N277" s="678">
        <v>10033</v>
      </c>
      <c r="O277" s="678"/>
      <c r="P277" s="189" t="s">
        <v>523</v>
      </c>
      <c r="Q277" s="794">
        <v>40781</v>
      </c>
      <c r="R277" s="793"/>
      <c r="S277" s="306">
        <f>L277</f>
        <v>1</v>
      </c>
      <c r="T277" s="256">
        <v>7268</v>
      </c>
      <c r="U277" s="25">
        <f t="shared" si="73"/>
        <v>7268</v>
      </c>
      <c r="V277" s="456"/>
      <c r="W277" s="794"/>
      <c r="X277" s="822"/>
      <c r="Y277" s="822"/>
      <c r="Z277" s="25"/>
    </row>
    <row r="278" spans="1:26" ht="13.5" customHeight="1">
      <c r="A278" s="777">
        <f t="shared" si="89"/>
        <v>94</v>
      </c>
      <c r="B278" s="298" t="s">
        <v>1064</v>
      </c>
      <c r="C278" s="25">
        <f t="shared" si="84"/>
        <v>8087</v>
      </c>
      <c r="D278" s="778">
        <f t="shared" si="94"/>
        <v>725.35863026376683</v>
      </c>
      <c r="E278" s="778">
        <f t="shared" si="94"/>
        <v>191.34544192503472</v>
      </c>
      <c r="F278" s="778">
        <f t="shared" si="94"/>
        <v>406.09706154558074</v>
      </c>
      <c r="G278" s="778">
        <f t="shared" si="94"/>
        <v>73.789912077741789</v>
      </c>
      <c r="H278" s="778">
        <f t="shared" si="94"/>
        <v>703.76368964985352</v>
      </c>
      <c r="I278" s="778">
        <f t="shared" si="94"/>
        <v>122.04399969150084</v>
      </c>
      <c r="J278" s="365"/>
      <c r="K278" s="25">
        <f t="shared" si="88"/>
        <v>10309.398735153478</v>
      </c>
      <c r="L278" s="778">
        <v>1</v>
      </c>
      <c r="M278" s="778">
        <f t="shared" si="81"/>
        <v>10309.398735153478</v>
      </c>
      <c r="N278" s="678">
        <v>12495</v>
      </c>
      <c r="O278" s="678"/>
      <c r="P278" s="189" t="s">
        <v>488</v>
      </c>
      <c r="Q278" s="794">
        <v>40781</v>
      </c>
      <c r="R278" s="793"/>
      <c r="S278" s="306">
        <f>L278/2</f>
        <v>0.5</v>
      </c>
      <c r="T278" s="822">
        <v>16173</v>
      </c>
      <c r="U278" s="25">
        <f t="shared" si="73"/>
        <v>8087</v>
      </c>
      <c r="V278" s="456"/>
      <c r="W278" s="794"/>
      <c r="X278" s="822"/>
      <c r="Y278" s="822"/>
      <c r="Z278" s="25"/>
    </row>
    <row r="279" spans="1:26" ht="13.5" customHeight="1">
      <c r="A279" s="777">
        <f t="shared" si="89"/>
        <v>95</v>
      </c>
      <c r="B279" s="298" t="s">
        <v>1065</v>
      </c>
      <c r="C279" s="25">
        <f t="shared" si="84"/>
        <v>8839460</v>
      </c>
      <c r="D279" s="778">
        <f t="shared" si="94"/>
        <v>597695.51133734384</v>
      </c>
      <c r="E279" s="778">
        <f t="shared" si="94"/>
        <v>157668.64414622862</v>
      </c>
      <c r="F279" s="778">
        <f t="shared" si="94"/>
        <v>334623.97871355852</v>
      </c>
      <c r="G279" s="778">
        <f t="shared" si="94"/>
        <v>60802.887552059234</v>
      </c>
      <c r="H279" s="778">
        <f t="shared" si="94"/>
        <v>579901.28027147928</v>
      </c>
      <c r="I279" s="778">
        <f t="shared" si="94"/>
        <v>100564.25574579669</v>
      </c>
      <c r="J279" s="365"/>
      <c r="K279" s="25">
        <f t="shared" si="88"/>
        <v>10670716.557766465</v>
      </c>
      <c r="L279" s="778">
        <v>824</v>
      </c>
      <c r="M279" s="778">
        <f t="shared" si="81"/>
        <v>12949.898735153478</v>
      </c>
      <c r="N279" s="678">
        <v>14369</v>
      </c>
      <c r="O279" s="678"/>
      <c r="P279" s="189" t="s">
        <v>631</v>
      </c>
      <c r="Q279" s="794">
        <v>40781</v>
      </c>
      <c r="R279" s="793"/>
      <c r="S279" s="306">
        <f>L279/2</f>
        <v>412</v>
      </c>
      <c r="T279" s="847">
        <v>21455</v>
      </c>
      <c r="U279" s="25">
        <f t="shared" si="73"/>
        <v>8839460</v>
      </c>
      <c r="V279" s="456"/>
      <c r="W279" s="794"/>
      <c r="X279" s="822"/>
      <c r="Y279" s="822"/>
      <c r="Z279" s="25"/>
    </row>
    <row r="280" spans="1:26" ht="13.5" customHeight="1">
      <c r="A280" s="777">
        <f t="shared" si="89"/>
        <v>96</v>
      </c>
      <c r="B280" s="298" t="s">
        <v>1066</v>
      </c>
      <c r="C280" s="25">
        <f t="shared" si="84"/>
        <v>12248</v>
      </c>
      <c r="D280" s="778">
        <f t="shared" si="94"/>
        <v>1450.7172605275337</v>
      </c>
      <c r="E280" s="778">
        <f t="shared" si="94"/>
        <v>382.69088385006944</v>
      </c>
      <c r="F280" s="778">
        <f t="shared" si="94"/>
        <v>812.19412309116149</v>
      </c>
      <c r="G280" s="778">
        <f t="shared" si="94"/>
        <v>147.57982415548358</v>
      </c>
      <c r="H280" s="778">
        <f t="shared" si="94"/>
        <v>1407.527379299707</v>
      </c>
      <c r="I280" s="778">
        <f t="shared" si="94"/>
        <v>244.08799938300169</v>
      </c>
      <c r="J280" s="365"/>
      <c r="K280" s="25">
        <f t="shared" si="88"/>
        <v>16692.797470306959</v>
      </c>
      <c r="L280" s="778">
        <v>2</v>
      </c>
      <c r="M280" s="778">
        <f t="shared" si="81"/>
        <v>8346.3987351534797</v>
      </c>
      <c r="N280" s="678">
        <v>9960</v>
      </c>
      <c r="O280" s="678"/>
      <c r="P280" s="189" t="s">
        <v>385</v>
      </c>
      <c r="Q280" s="794">
        <v>40781</v>
      </c>
      <c r="R280" s="793"/>
      <c r="S280" s="306">
        <f>L280</f>
        <v>2</v>
      </c>
      <c r="T280" s="822">
        <v>6124</v>
      </c>
      <c r="U280" s="25">
        <f t="shared" si="73"/>
        <v>12248</v>
      </c>
      <c r="V280" s="456"/>
      <c r="W280" s="794"/>
      <c r="X280" s="822"/>
      <c r="Y280" s="822"/>
      <c r="Z280" s="25"/>
    </row>
    <row r="281" spans="1:26" ht="13.5" customHeight="1">
      <c r="A281" s="777">
        <f t="shared" si="89"/>
        <v>97</v>
      </c>
      <c r="B281" s="298" t="s">
        <v>1067</v>
      </c>
      <c r="C281" s="25">
        <f t="shared" ref="C281:C337" si="95">U281</f>
        <v>8152</v>
      </c>
      <c r="D281" s="778">
        <f t="shared" si="94"/>
        <v>725.35863026376683</v>
      </c>
      <c r="E281" s="778">
        <f t="shared" si="94"/>
        <v>191.34544192503472</v>
      </c>
      <c r="F281" s="778">
        <f t="shared" si="94"/>
        <v>406.09706154558074</v>
      </c>
      <c r="G281" s="778">
        <f t="shared" si="94"/>
        <v>73.789912077741789</v>
      </c>
      <c r="H281" s="778">
        <f t="shared" si="94"/>
        <v>703.76368964985352</v>
      </c>
      <c r="I281" s="778">
        <f t="shared" si="94"/>
        <v>122.04399969150084</v>
      </c>
      <c r="J281" s="365"/>
      <c r="K281" s="25">
        <f t="shared" si="88"/>
        <v>10374.398735153478</v>
      </c>
      <c r="L281" s="778">
        <v>1</v>
      </c>
      <c r="M281" s="778">
        <f t="shared" ref="M281:M337" si="96">IF(L281&lt;&gt;"",K281/L281,"")</f>
        <v>10374.398735153478</v>
      </c>
      <c r="N281" s="678">
        <v>10656</v>
      </c>
      <c r="O281" s="678"/>
      <c r="P281" s="40" t="s">
        <v>601</v>
      </c>
      <c r="Q281" s="794">
        <v>40781</v>
      </c>
      <c r="R281" s="793"/>
      <c r="S281" s="306">
        <f>L281/2</f>
        <v>0.5</v>
      </c>
      <c r="T281" s="822">
        <v>16303</v>
      </c>
      <c r="U281" s="25">
        <f t="shared" si="73"/>
        <v>8152</v>
      </c>
      <c r="V281" s="456"/>
      <c r="W281" s="794"/>
      <c r="X281" s="822"/>
      <c r="Y281" s="822"/>
      <c r="Z281" s="25"/>
    </row>
    <row r="282" spans="1:26" ht="13.5" customHeight="1">
      <c r="A282" s="777">
        <f t="shared" si="89"/>
        <v>98</v>
      </c>
      <c r="B282" s="298" t="s">
        <v>1068</v>
      </c>
      <c r="C282" s="25">
        <f t="shared" si="95"/>
        <v>7192500</v>
      </c>
      <c r="D282" s="778">
        <f t="shared" si="94"/>
        <v>541842.8968070338</v>
      </c>
      <c r="E282" s="778">
        <f t="shared" si="94"/>
        <v>142935.04511800094</v>
      </c>
      <c r="F282" s="778">
        <f t="shared" si="94"/>
        <v>303354.50497454882</v>
      </c>
      <c r="G282" s="778">
        <f t="shared" si="94"/>
        <v>55121.064322073114</v>
      </c>
      <c r="H282" s="778">
        <f t="shared" si="94"/>
        <v>525711.47616844054</v>
      </c>
      <c r="I282" s="778">
        <f t="shared" si="94"/>
        <v>91166.867769551129</v>
      </c>
      <c r="J282" s="365"/>
      <c r="K282" s="25">
        <f t="shared" si="88"/>
        <v>8852631.8551596478</v>
      </c>
      <c r="L282" s="778">
        <v>747</v>
      </c>
      <c r="M282" s="778">
        <f t="shared" si="96"/>
        <v>11850.912791378378</v>
      </c>
      <c r="N282" s="678">
        <v>13939</v>
      </c>
      <c r="O282" s="678"/>
      <c r="P282" s="40" t="s">
        <v>613</v>
      </c>
      <c r="Q282" s="794">
        <v>40781</v>
      </c>
      <c r="R282" s="793"/>
      <c r="S282" s="306">
        <v>375</v>
      </c>
      <c r="T282" s="822">
        <v>19180</v>
      </c>
      <c r="U282" s="25">
        <f t="shared" si="73"/>
        <v>7192500</v>
      </c>
      <c r="V282" s="456"/>
      <c r="W282" s="794"/>
      <c r="X282" s="822"/>
      <c r="Y282" s="822"/>
      <c r="Z282" s="25"/>
    </row>
    <row r="283" spans="1:26" ht="13.5" customHeight="1">
      <c r="A283" s="777">
        <f t="shared" si="89"/>
        <v>99</v>
      </c>
      <c r="B283" s="298" t="s">
        <v>1069</v>
      </c>
      <c r="C283" s="25">
        <f t="shared" si="95"/>
        <v>798210</v>
      </c>
      <c r="D283" s="778">
        <f t="shared" si="94"/>
        <v>50775.104118463678</v>
      </c>
      <c r="E283" s="778">
        <f t="shared" si="94"/>
        <v>13394.18093475243</v>
      </c>
      <c r="F283" s="778">
        <f t="shared" si="94"/>
        <v>28426.794308190652</v>
      </c>
      <c r="G283" s="778">
        <f t="shared" si="94"/>
        <v>5165.2938454419254</v>
      </c>
      <c r="H283" s="778">
        <f t="shared" si="94"/>
        <v>49263.458275489749</v>
      </c>
      <c r="I283" s="778">
        <f t="shared" si="94"/>
        <v>8543.0799784050596</v>
      </c>
      <c r="J283" s="365"/>
      <c r="K283" s="25">
        <f t="shared" si="88"/>
        <v>953777.91146074352</v>
      </c>
      <c r="L283" s="778">
        <v>70</v>
      </c>
      <c r="M283" s="778">
        <f t="shared" si="96"/>
        <v>13625.39873515348</v>
      </c>
      <c r="N283" s="678">
        <v>15066</v>
      </c>
      <c r="O283" s="678"/>
      <c r="P283" s="189" t="s">
        <v>493</v>
      </c>
      <c r="Q283" s="794">
        <v>40781</v>
      </c>
      <c r="R283" s="793"/>
      <c r="S283" s="306">
        <f t="shared" ref="S283:S285" si="97">L283/2</f>
        <v>35</v>
      </c>
      <c r="T283" s="256">
        <v>22806</v>
      </c>
      <c r="U283" s="25">
        <f t="shared" si="73"/>
        <v>798210</v>
      </c>
      <c r="V283" s="456"/>
      <c r="W283" s="794"/>
      <c r="X283" s="822"/>
      <c r="Y283" s="822"/>
      <c r="Z283" s="25"/>
    </row>
    <row r="284" spans="1:26" ht="13.5" customHeight="1">
      <c r="A284" s="777">
        <f t="shared" si="89"/>
        <v>100</v>
      </c>
      <c r="B284" s="298" t="s">
        <v>1070</v>
      </c>
      <c r="C284" s="25">
        <f t="shared" si="95"/>
        <v>1660288</v>
      </c>
      <c r="D284" s="778">
        <f t="shared" si="94"/>
        <v>91395.187413234613</v>
      </c>
      <c r="E284" s="778">
        <f t="shared" si="94"/>
        <v>24109.525682554377</v>
      </c>
      <c r="F284" s="778">
        <f t="shared" si="94"/>
        <v>51168.229754743174</v>
      </c>
      <c r="G284" s="778">
        <f t="shared" si="94"/>
        <v>9297.5289217954651</v>
      </c>
      <c r="H284" s="778">
        <f t="shared" si="94"/>
        <v>88674.224895881547</v>
      </c>
      <c r="I284" s="778">
        <f t="shared" si="94"/>
        <v>15377.543961129106</v>
      </c>
      <c r="J284" s="365"/>
      <c r="K284" s="25">
        <f t="shared" si="88"/>
        <v>1940310.2406293384</v>
      </c>
      <c r="L284" s="778">
        <v>126</v>
      </c>
      <c r="M284" s="778">
        <f t="shared" si="96"/>
        <v>15399.287624042368</v>
      </c>
      <c r="N284" s="678">
        <v>16910</v>
      </c>
      <c r="O284" s="678"/>
      <c r="P284" s="40" t="s">
        <v>597</v>
      </c>
      <c r="Q284" s="794">
        <v>40782</v>
      </c>
      <c r="R284" s="793"/>
      <c r="S284" s="306">
        <v>64</v>
      </c>
      <c r="T284" s="822">
        <v>25942</v>
      </c>
      <c r="U284" s="25">
        <f t="shared" si="73"/>
        <v>1660288</v>
      </c>
      <c r="V284" s="456"/>
      <c r="W284" s="794"/>
      <c r="X284" s="822"/>
      <c r="Y284" s="822"/>
      <c r="Z284" s="25"/>
    </row>
    <row r="285" spans="1:26" ht="13.5" customHeight="1">
      <c r="A285" s="777">
        <f t="shared" si="89"/>
        <v>101</v>
      </c>
      <c r="B285" s="298" t="s">
        <v>1071</v>
      </c>
      <c r="C285" s="25">
        <f t="shared" si="95"/>
        <v>1994490</v>
      </c>
      <c r="D285" s="778">
        <f t="shared" ref="D285:I294" si="98">IF($L$339&lt;&gt;0,D$339/$L$339*$L285,0)</f>
        <v>120409.53262378529</v>
      </c>
      <c r="E285" s="778">
        <f t="shared" si="98"/>
        <v>31763.343359555765</v>
      </c>
      <c r="F285" s="778">
        <f t="shared" si="98"/>
        <v>67412.112216566398</v>
      </c>
      <c r="G285" s="778">
        <f t="shared" si="98"/>
        <v>12249.125404905137</v>
      </c>
      <c r="H285" s="778">
        <f t="shared" si="98"/>
        <v>116824.77248187568</v>
      </c>
      <c r="I285" s="778">
        <f t="shared" si="98"/>
        <v>20259.30394878914</v>
      </c>
      <c r="J285" s="365"/>
      <c r="K285" s="25">
        <f t="shared" si="88"/>
        <v>2363408.1900354768</v>
      </c>
      <c r="L285" s="778">
        <v>166</v>
      </c>
      <c r="M285" s="778">
        <f t="shared" si="96"/>
        <v>14237.398735153474</v>
      </c>
      <c r="N285" s="678">
        <v>15549</v>
      </c>
      <c r="O285" s="678"/>
      <c r="P285" s="189" t="s">
        <v>568</v>
      </c>
      <c r="Q285" s="794">
        <v>40782</v>
      </c>
      <c r="R285" s="793"/>
      <c r="S285" s="306">
        <f t="shared" si="97"/>
        <v>83</v>
      </c>
      <c r="T285" s="256">
        <v>24030</v>
      </c>
      <c r="U285" s="25">
        <f t="shared" si="73"/>
        <v>1994490</v>
      </c>
      <c r="V285" s="456"/>
      <c r="W285" s="794"/>
      <c r="X285" s="822"/>
      <c r="Y285" s="822"/>
      <c r="Z285" s="25"/>
    </row>
    <row r="286" spans="1:26" ht="13.5" customHeight="1">
      <c r="A286" s="777">
        <f t="shared" si="89"/>
        <v>102</v>
      </c>
      <c r="B286" s="298" t="s">
        <v>1072</v>
      </c>
      <c r="C286" s="25">
        <f t="shared" si="95"/>
        <v>95427</v>
      </c>
      <c r="D286" s="778">
        <f t="shared" si="98"/>
        <v>6528.2276723739014</v>
      </c>
      <c r="E286" s="778">
        <f t="shared" si="98"/>
        <v>1722.1089773253125</v>
      </c>
      <c r="F286" s="778">
        <f t="shared" si="98"/>
        <v>3654.8735539102267</v>
      </c>
      <c r="G286" s="778">
        <f t="shared" si="98"/>
        <v>664.10920869967606</v>
      </c>
      <c r="H286" s="778">
        <f t="shared" si="98"/>
        <v>6333.8732068486815</v>
      </c>
      <c r="I286" s="778">
        <f t="shared" si="98"/>
        <v>1098.3959972235075</v>
      </c>
      <c r="J286" s="365"/>
      <c r="K286" s="25">
        <f t="shared" si="88"/>
        <v>115428.58861638131</v>
      </c>
      <c r="L286" s="778">
        <v>9</v>
      </c>
      <c r="M286" s="778">
        <f t="shared" si="96"/>
        <v>12825.39873515348</v>
      </c>
      <c r="N286" s="678">
        <v>14981</v>
      </c>
      <c r="O286" s="678"/>
      <c r="P286" s="189" t="s">
        <v>519</v>
      </c>
      <c r="Q286" s="794">
        <v>40782</v>
      </c>
      <c r="R286" s="793"/>
      <c r="S286" s="306">
        <f>L286</f>
        <v>9</v>
      </c>
      <c r="T286" s="822">
        <v>10603</v>
      </c>
      <c r="U286" s="25">
        <f t="shared" si="73"/>
        <v>95427</v>
      </c>
      <c r="V286" s="456"/>
      <c r="W286" s="794"/>
      <c r="X286" s="822"/>
      <c r="Y286" s="822"/>
      <c r="Z286" s="25"/>
    </row>
    <row r="287" spans="1:26" ht="13.5" customHeight="1">
      <c r="A287" s="777">
        <f t="shared" si="89"/>
        <v>103</v>
      </c>
      <c r="B287" s="298" t="s">
        <v>1055</v>
      </c>
      <c r="C287" s="25">
        <f t="shared" si="95"/>
        <v>1272360</v>
      </c>
      <c r="D287" s="778">
        <f t="shared" si="98"/>
        <v>174086.07126330404</v>
      </c>
      <c r="E287" s="778">
        <f t="shared" si="98"/>
        <v>45922.906062008333</v>
      </c>
      <c r="F287" s="778">
        <f t="shared" si="98"/>
        <v>97463.294770939377</v>
      </c>
      <c r="G287" s="778">
        <f t="shared" si="98"/>
        <v>17709.57889865803</v>
      </c>
      <c r="H287" s="778">
        <f t="shared" si="98"/>
        <v>168903.28551596485</v>
      </c>
      <c r="I287" s="778">
        <f t="shared" si="98"/>
        <v>29290.559925960202</v>
      </c>
      <c r="J287" s="365"/>
      <c r="K287" s="25">
        <f t="shared" si="88"/>
        <v>1805735.6964368348</v>
      </c>
      <c r="L287" s="778">
        <v>240</v>
      </c>
      <c r="M287" s="778">
        <f t="shared" si="96"/>
        <v>7523.8987351534779</v>
      </c>
      <c r="N287" s="678">
        <v>9263</v>
      </c>
      <c r="O287" s="678"/>
      <c r="P287" s="189" t="s">
        <v>519</v>
      </c>
      <c r="Q287" s="794">
        <v>40782</v>
      </c>
      <c r="R287" s="793"/>
      <c r="S287" s="306">
        <f>L287/2</f>
        <v>120</v>
      </c>
      <c r="T287" s="294">
        <v>10603</v>
      </c>
      <c r="U287" s="25">
        <f t="shared" si="73"/>
        <v>1272360</v>
      </c>
      <c r="V287" s="456"/>
      <c r="W287" s="794"/>
      <c r="X287" s="822"/>
      <c r="Y287" s="822"/>
      <c r="Z287" s="25"/>
    </row>
    <row r="288" spans="1:26" ht="13.5" customHeight="1">
      <c r="A288" s="777">
        <f t="shared" si="89"/>
        <v>104</v>
      </c>
      <c r="B288" s="298" t="s">
        <v>1073</v>
      </c>
      <c r="C288" s="25">
        <f t="shared" si="95"/>
        <v>382614</v>
      </c>
      <c r="D288" s="778">
        <f t="shared" si="98"/>
        <v>62380.842202683947</v>
      </c>
      <c r="E288" s="778">
        <f t="shared" si="98"/>
        <v>16455.708005552988</v>
      </c>
      <c r="F288" s="778">
        <f t="shared" si="98"/>
        <v>34924.347292919942</v>
      </c>
      <c r="G288" s="778">
        <f t="shared" si="98"/>
        <v>6345.9324386857943</v>
      </c>
      <c r="H288" s="778">
        <f t="shared" si="98"/>
        <v>60523.677309887404</v>
      </c>
      <c r="I288" s="778">
        <f t="shared" si="98"/>
        <v>10495.783973469073</v>
      </c>
      <c r="J288" s="365"/>
      <c r="K288" s="25">
        <f t="shared" si="88"/>
        <v>573740.29122319911</v>
      </c>
      <c r="L288" s="778">
        <v>86</v>
      </c>
      <c r="M288" s="778">
        <f t="shared" si="96"/>
        <v>6671.3987351534779</v>
      </c>
      <c r="N288" s="678">
        <v>7806</v>
      </c>
      <c r="O288" s="678"/>
      <c r="P288" s="189" t="s">
        <v>387</v>
      </c>
      <c r="Q288" s="794">
        <v>40782</v>
      </c>
      <c r="R288" s="793"/>
      <c r="S288" s="306">
        <f>L288</f>
        <v>86</v>
      </c>
      <c r="T288" s="822">
        <f>4449</f>
        <v>4449</v>
      </c>
      <c r="U288" s="25">
        <f t="shared" si="73"/>
        <v>382614</v>
      </c>
      <c r="V288" s="456"/>
      <c r="W288" s="794"/>
      <c r="X288" s="822"/>
      <c r="Y288" s="822"/>
      <c r="Z288" s="25"/>
    </row>
    <row r="289" spans="1:26" ht="13.5" customHeight="1">
      <c r="A289" s="777">
        <f t="shared" si="89"/>
        <v>105</v>
      </c>
      <c r="B289" s="298" t="s">
        <v>1074</v>
      </c>
      <c r="C289" s="25">
        <f t="shared" si="95"/>
        <v>110208</v>
      </c>
      <c r="D289" s="778">
        <f t="shared" si="98"/>
        <v>174086.07126330404</v>
      </c>
      <c r="E289" s="778">
        <f t="shared" si="98"/>
        <v>45922.906062008333</v>
      </c>
      <c r="F289" s="778">
        <f t="shared" si="98"/>
        <v>97463.294770939377</v>
      </c>
      <c r="G289" s="778">
        <f t="shared" si="98"/>
        <v>17709.57889865803</v>
      </c>
      <c r="H289" s="778">
        <f t="shared" si="98"/>
        <v>168903.28551596485</v>
      </c>
      <c r="I289" s="778">
        <f t="shared" si="98"/>
        <v>29290.559925960202</v>
      </c>
      <c r="J289" s="365"/>
      <c r="K289" s="25">
        <f t="shared" si="88"/>
        <v>643583.69643683475</v>
      </c>
      <c r="L289" s="778">
        <v>240</v>
      </c>
      <c r="M289" s="778">
        <f t="shared" si="96"/>
        <v>2681.5987351534782</v>
      </c>
      <c r="N289" s="678">
        <v>2588</v>
      </c>
      <c r="O289" s="678"/>
      <c r="P289" s="298" t="s">
        <v>478</v>
      </c>
      <c r="Q289" s="794">
        <v>40782</v>
      </c>
      <c r="R289" s="793"/>
      <c r="S289" s="306">
        <f t="shared" ref="S289" si="99">L289/10</f>
        <v>24</v>
      </c>
      <c r="T289" s="822">
        <v>4592</v>
      </c>
      <c r="U289" s="25">
        <f t="shared" si="73"/>
        <v>110208</v>
      </c>
      <c r="V289" s="456"/>
      <c r="W289" s="794"/>
      <c r="X289" s="822"/>
      <c r="Y289" s="822"/>
      <c r="Z289" s="25"/>
    </row>
    <row r="290" spans="1:26" ht="13.5" customHeight="1">
      <c r="A290" s="777">
        <f t="shared" si="89"/>
        <v>106</v>
      </c>
      <c r="B290" s="298" t="s">
        <v>1075</v>
      </c>
      <c r="C290" s="25">
        <f t="shared" si="95"/>
        <v>41328</v>
      </c>
      <c r="D290" s="778">
        <f t="shared" si="98"/>
        <v>62380.842202683947</v>
      </c>
      <c r="E290" s="778">
        <f t="shared" si="98"/>
        <v>16455.708005552988</v>
      </c>
      <c r="F290" s="778">
        <f t="shared" si="98"/>
        <v>34924.347292919942</v>
      </c>
      <c r="G290" s="778">
        <f t="shared" si="98"/>
        <v>6345.9324386857943</v>
      </c>
      <c r="H290" s="778">
        <f t="shared" si="98"/>
        <v>60523.677309887404</v>
      </c>
      <c r="I290" s="778">
        <f t="shared" si="98"/>
        <v>10495.783973469073</v>
      </c>
      <c r="J290" s="365"/>
      <c r="K290" s="25">
        <f t="shared" si="88"/>
        <v>232454.29122319914</v>
      </c>
      <c r="L290" s="778">
        <v>86</v>
      </c>
      <c r="M290" s="778">
        <f t="shared" si="96"/>
        <v>2702.9568746883619</v>
      </c>
      <c r="N290" s="678">
        <v>2334</v>
      </c>
      <c r="O290" s="678"/>
      <c r="P290" s="298" t="s">
        <v>478</v>
      </c>
      <c r="Q290" s="794">
        <v>40782</v>
      </c>
      <c r="R290" s="793"/>
      <c r="S290" s="306">
        <v>9</v>
      </c>
      <c r="T290" s="822">
        <v>4592</v>
      </c>
      <c r="U290" s="25">
        <f t="shared" si="73"/>
        <v>41328</v>
      </c>
      <c r="V290" s="456"/>
      <c r="W290" s="794"/>
      <c r="X290" s="822"/>
      <c r="Y290" s="822"/>
      <c r="Z290" s="25"/>
    </row>
    <row r="291" spans="1:26" ht="13.5" customHeight="1">
      <c r="A291" s="777">
        <f t="shared" si="89"/>
        <v>107</v>
      </c>
      <c r="B291" s="298" t="s">
        <v>1019</v>
      </c>
      <c r="C291" s="25">
        <f t="shared" si="95"/>
        <v>3994146</v>
      </c>
      <c r="D291" s="778">
        <f t="shared" si="98"/>
        <v>427961.59185562242</v>
      </c>
      <c r="E291" s="778">
        <f t="shared" si="98"/>
        <v>112893.81073577049</v>
      </c>
      <c r="F291" s="778">
        <f t="shared" si="98"/>
        <v>239597.26631189263</v>
      </c>
      <c r="G291" s="778">
        <f t="shared" si="98"/>
        <v>43536.048125867659</v>
      </c>
      <c r="H291" s="778">
        <f t="shared" si="98"/>
        <v>415220.57689341356</v>
      </c>
      <c r="I291" s="778">
        <f t="shared" si="98"/>
        <v>72005.959817985495</v>
      </c>
      <c r="J291" s="365"/>
      <c r="K291" s="25">
        <f t="shared" si="88"/>
        <v>5305361.2537405519</v>
      </c>
      <c r="L291" s="778">
        <v>590</v>
      </c>
      <c r="M291" s="778">
        <f t="shared" si="96"/>
        <v>8992.1377182043252</v>
      </c>
      <c r="N291" s="678">
        <v>11000</v>
      </c>
      <c r="O291" s="678"/>
      <c r="P291" s="189" t="s">
        <v>494</v>
      </c>
      <c r="Q291" s="794">
        <v>40801</v>
      </c>
      <c r="R291" s="793"/>
      <c r="S291" s="306">
        <v>202</v>
      </c>
      <c r="T291" s="822">
        <v>19773</v>
      </c>
      <c r="U291" s="25">
        <f t="shared" si="73"/>
        <v>3994146</v>
      </c>
      <c r="V291" s="456"/>
      <c r="W291" s="794"/>
      <c r="X291" s="822"/>
      <c r="Y291" s="822"/>
      <c r="Z291" s="25"/>
    </row>
    <row r="292" spans="1:26" ht="13.5" customHeight="1">
      <c r="A292" s="777">
        <f t="shared" si="89"/>
        <v>108</v>
      </c>
      <c r="B292" s="298" t="s">
        <v>1020</v>
      </c>
      <c r="C292" s="25">
        <f t="shared" si="95"/>
        <v>2028578</v>
      </c>
      <c r="D292" s="778">
        <f t="shared" si="98"/>
        <v>89219.111522443316</v>
      </c>
      <c r="E292" s="778">
        <f t="shared" si="98"/>
        <v>23535.489356779271</v>
      </c>
      <c r="F292" s="778">
        <f t="shared" si="98"/>
        <v>49949.938570106431</v>
      </c>
      <c r="G292" s="778">
        <f t="shared" si="98"/>
        <v>9076.159185562241</v>
      </c>
      <c r="H292" s="778">
        <f t="shared" si="98"/>
        <v>86562.933826931985</v>
      </c>
      <c r="I292" s="778">
        <f t="shared" si="98"/>
        <v>15011.411962054604</v>
      </c>
      <c r="J292" s="365"/>
      <c r="K292" s="25">
        <f t="shared" si="88"/>
        <v>2301933.0444238782</v>
      </c>
      <c r="L292" s="778">
        <v>123</v>
      </c>
      <c r="M292" s="778">
        <f t="shared" si="96"/>
        <v>18714.902800194133</v>
      </c>
      <c r="N292" s="678">
        <v>19061</v>
      </c>
      <c r="O292" s="678"/>
      <c r="P292" s="40" t="s">
        <v>628</v>
      </c>
      <c r="Q292" s="794">
        <v>40804</v>
      </c>
      <c r="R292" s="793"/>
      <c r="S292" s="306">
        <f>L292/2</f>
        <v>61.5</v>
      </c>
      <c r="T292" s="822">
        <v>32985</v>
      </c>
      <c r="U292" s="25">
        <f t="shared" si="73"/>
        <v>2028578</v>
      </c>
      <c r="V292" s="456"/>
      <c r="W292" s="794"/>
      <c r="X292" s="822"/>
      <c r="Y292" s="822"/>
      <c r="Z292" s="25"/>
    </row>
    <row r="293" spans="1:26" ht="13.5" customHeight="1">
      <c r="A293" s="777">
        <f t="shared" si="89"/>
        <v>109</v>
      </c>
      <c r="B293" s="298" t="s">
        <v>1021</v>
      </c>
      <c r="C293" s="25">
        <f t="shared" si="95"/>
        <v>1197918</v>
      </c>
      <c r="D293" s="778">
        <f t="shared" si="98"/>
        <v>88493.75289217956</v>
      </c>
      <c r="E293" s="778">
        <f t="shared" si="98"/>
        <v>23344.143914854234</v>
      </c>
      <c r="F293" s="778">
        <f t="shared" si="98"/>
        <v>49543.84150856085</v>
      </c>
      <c r="G293" s="778">
        <f t="shared" si="98"/>
        <v>9002.369273484499</v>
      </c>
      <c r="H293" s="778">
        <f t="shared" si="98"/>
        <v>85859.170137282126</v>
      </c>
      <c r="I293" s="778">
        <f t="shared" si="98"/>
        <v>14889.367962363103</v>
      </c>
      <c r="J293" s="365"/>
      <c r="K293" s="25">
        <f t="shared" si="88"/>
        <v>1469050.6456887245</v>
      </c>
      <c r="L293" s="778">
        <v>122</v>
      </c>
      <c r="M293" s="778">
        <f t="shared" si="96"/>
        <v>12041.39873515348</v>
      </c>
      <c r="N293" s="678">
        <v>13090</v>
      </c>
      <c r="O293" s="678"/>
      <c r="P293" s="189" t="s">
        <v>542</v>
      </c>
      <c r="Q293" s="794">
        <v>40804</v>
      </c>
      <c r="R293" s="793"/>
      <c r="S293" s="306">
        <f t="shared" ref="S293" si="100">L293/2</f>
        <v>61</v>
      </c>
      <c r="T293" s="822">
        <v>19638</v>
      </c>
      <c r="U293" s="25">
        <f t="shared" si="73"/>
        <v>1197918</v>
      </c>
      <c r="V293" s="456"/>
      <c r="W293" s="794"/>
      <c r="X293" s="822"/>
      <c r="Y293" s="822"/>
      <c r="Z293" s="25"/>
    </row>
    <row r="294" spans="1:26" ht="13.5" customHeight="1">
      <c r="A294" s="777">
        <f t="shared" si="89"/>
        <v>110</v>
      </c>
      <c r="B294" s="298" t="s">
        <v>756</v>
      </c>
      <c r="C294" s="25">
        <f t="shared" si="95"/>
        <v>55104</v>
      </c>
      <c r="D294" s="778">
        <f t="shared" si="98"/>
        <v>87043.035631652019</v>
      </c>
      <c r="E294" s="778">
        <f t="shared" si="98"/>
        <v>22961.453031004166</v>
      </c>
      <c r="F294" s="778">
        <f t="shared" si="98"/>
        <v>48731.647385469689</v>
      </c>
      <c r="G294" s="778">
        <f t="shared" si="98"/>
        <v>8854.789449329015</v>
      </c>
      <c r="H294" s="778">
        <f t="shared" si="98"/>
        <v>84451.642757982423</v>
      </c>
      <c r="I294" s="778">
        <f t="shared" si="98"/>
        <v>14645.279962980101</v>
      </c>
      <c r="J294" s="365"/>
      <c r="K294" s="25">
        <f t="shared" si="88"/>
        <v>321791.84821841738</v>
      </c>
      <c r="L294" s="778">
        <v>120</v>
      </c>
      <c r="M294" s="778">
        <f t="shared" si="96"/>
        <v>2681.5987351534782</v>
      </c>
      <c r="N294" s="678">
        <v>2528</v>
      </c>
      <c r="O294" s="678"/>
      <c r="P294" s="298" t="s">
        <v>478</v>
      </c>
      <c r="Q294" s="794">
        <v>40804</v>
      </c>
      <c r="R294" s="793"/>
      <c r="S294" s="306">
        <f>L294/10</f>
        <v>12</v>
      </c>
      <c r="T294" s="822">
        <v>4592</v>
      </c>
      <c r="U294" s="25">
        <f t="shared" si="73"/>
        <v>55104</v>
      </c>
      <c r="V294" s="456"/>
      <c r="W294" s="794"/>
      <c r="X294" s="822"/>
      <c r="Y294" s="822"/>
      <c r="Z294" s="25"/>
    </row>
    <row r="295" spans="1:26" ht="13.5" customHeight="1">
      <c r="A295" s="777">
        <f t="shared" si="89"/>
        <v>111</v>
      </c>
      <c r="B295" s="298" t="s">
        <v>1022</v>
      </c>
      <c r="C295" s="25">
        <f t="shared" si="95"/>
        <v>371280</v>
      </c>
      <c r="D295" s="778">
        <f t="shared" ref="D295:I305" si="101">IF($L$339&lt;&gt;0,D$339/$L$339*$L295,0)</f>
        <v>37718.648773715875</v>
      </c>
      <c r="E295" s="778">
        <f t="shared" si="101"/>
        <v>9949.9629801018054</v>
      </c>
      <c r="F295" s="778">
        <f t="shared" si="101"/>
        <v>21117.047200370198</v>
      </c>
      <c r="G295" s="778">
        <f t="shared" si="101"/>
        <v>3837.0754280425731</v>
      </c>
      <c r="H295" s="778">
        <f t="shared" si="101"/>
        <v>36595.711861792384</v>
      </c>
      <c r="I295" s="778">
        <f t="shared" si="101"/>
        <v>6346.2879839580437</v>
      </c>
      <c r="J295" s="365"/>
      <c r="K295" s="25">
        <f t="shared" si="88"/>
        <v>486844.73422798084</v>
      </c>
      <c r="L295" s="778">
        <v>52</v>
      </c>
      <c r="M295" s="778">
        <f t="shared" si="96"/>
        <v>9362.3987351534779</v>
      </c>
      <c r="N295" s="678">
        <v>10535</v>
      </c>
      <c r="O295" s="678"/>
      <c r="P295" s="40" t="s">
        <v>604</v>
      </c>
      <c r="Q295" s="794">
        <v>40804</v>
      </c>
      <c r="R295" s="793"/>
      <c r="S295" s="306">
        <f>L295/2</f>
        <v>26</v>
      </c>
      <c r="T295" s="256">
        <v>14280</v>
      </c>
      <c r="U295" s="25">
        <f t="shared" si="73"/>
        <v>371280</v>
      </c>
      <c r="V295" s="456"/>
      <c r="W295" s="794"/>
      <c r="X295" s="822"/>
      <c r="Y295" s="822"/>
      <c r="Z295" s="25"/>
    </row>
    <row r="296" spans="1:26" ht="13.5" customHeight="1">
      <c r="A296" s="777">
        <f t="shared" si="89"/>
        <v>112</v>
      </c>
      <c r="B296" s="298" t="s">
        <v>756</v>
      </c>
      <c r="C296" s="25">
        <f t="shared" si="95"/>
        <v>22245</v>
      </c>
      <c r="D296" s="778">
        <f t="shared" si="101"/>
        <v>34817.214252660808</v>
      </c>
      <c r="E296" s="778">
        <f t="shared" si="101"/>
        <v>9184.5812124016666</v>
      </c>
      <c r="F296" s="778">
        <f t="shared" si="101"/>
        <v>19492.658954187875</v>
      </c>
      <c r="G296" s="778">
        <f t="shared" si="101"/>
        <v>3541.9157797316057</v>
      </c>
      <c r="H296" s="778">
        <f t="shared" si="101"/>
        <v>33780.657103192971</v>
      </c>
      <c r="I296" s="778">
        <f t="shared" si="101"/>
        <v>5858.1119851920403</v>
      </c>
      <c r="J296" s="365"/>
      <c r="K296" s="25">
        <f t="shared" si="88"/>
        <v>128920.13928736695</v>
      </c>
      <c r="L296" s="778">
        <v>48</v>
      </c>
      <c r="M296" s="778">
        <f t="shared" si="96"/>
        <v>2685.8362351534784</v>
      </c>
      <c r="N296" s="678">
        <v>1981</v>
      </c>
      <c r="O296" s="678"/>
      <c r="P296" s="189" t="s">
        <v>387</v>
      </c>
      <c r="Q296" s="794">
        <v>40804</v>
      </c>
      <c r="R296" s="793"/>
      <c r="S296" s="306">
        <v>5</v>
      </c>
      <c r="T296" s="822">
        <f>4449</f>
        <v>4449</v>
      </c>
      <c r="U296" s="25">
        <f t="shared" si="73"/>
        <v>22245</v>
      </c>
      <c r="V296" s="456"/>
      <c r="W296" s="794"/>
      <c r="X296" s="822"/>
      <c r="Y296" s="822"/>
      <c r="Z296" s="25"/>
    </row>
    <row r="297" spans="1:26" ht="13.5" customHeight="1">
      <c r="A297" s="777">
        <f t="shared" si="89"/>
        <v>113</v>
      </c>
      <c r="B297" s="298" t="s">
        <v>1023</v>
      </c>
      <c r="C297" s="25">
        <f t="shared" si="95"/>
        <v>2341934</v>
      </c>
      <c r="D297" s="778">
        <f t="shared" si="101"/>
        <v>103000.92549745488</v>
      </c>
      <c r="E297" s="778">
        <f t="shared" si="101"/>
        <v>27171.052753354932</v>
      </c>
      <c r="F297" s="778">
        <f t="shared" si="101"/>
        <v>57665.782739472466</v>
      </c>
      <c r="G297" s="778">
        <f t="shared" si="101"/>
        <v>10478.167515039335</v>
      </c>
      <c r="H297" s="778">
        <f t="shared" si="101"/>
        <v>99934.443930279202</v>
      </c>
      <c r="I297" s="778">
        <f t="shared" si="101"/>
        <v>17330.247956193121</v>
      </c>
      <c r="J297" s="365"/>
      <c r="K297" s="25">
        <f t="shared" si="88"/>
        <v>2657514.620391794</v>
      </c>
      <c r="L297" s="778">
        <v>142</v>
      </c>
      <c r="M297" s="778">
        <f t="shared" si="96"/>
        <v>18714.891692899957</v>
      </c>
      <c r="N297" s="678">
        <v>19465</v>
      </c>
      <c r="O297" s="678"/>
      <c r="P297" s="40" t="s">
        <v>628</v>
      </c>
      <c r="Q297" s="794">
        <v>40804</v>
      </c>
      <c r="R297" s="793"/>
      <c r="S297" s="306">
        <f>L297/2</f>
        <v>71</v>
      </c>
      <c r="T297" s="822">
        <v>32984.985915492958</v>
      </c>
      <c r="U297" s="25">
        <f t="shared" si="73"/>
        <v>2341934</v>
      </c>
      <c r="V297" s="456"/>
      <c r="W297" s="794"/>
      <c r="X297" s="822"/>
      <c r="Y297" s="822"/>
      <c r="Z297" s="25"/>
    </row>
    <row r="298" spans="1:26" ht="13.5" customHeight="1">
      <c r="A298" s="777">
        <f t="shared" si="89"/>
        <v>114</v>
      </c>
      <c r="B298" s="298" t="s">
        <v>1024</v>
      </c>
      <c r="C298" s="25">
        <f t="shared" si="95"/>
        <v>1106808</v>
      </c>
      <c r="D298" s="778">
        <f t="shared" si="101"/>
        <v>155226.74687644609</v>
      </c>
      <c r="E298" s="778">
        <f t="shared" si="101"/>
        <v>40947.924571957432</v>
      </c>
      <c r="F298" s="778">
        <f t="shared" si="101"/>
        <v>86904.771170754277</v>
      </c>
      <c r="G298" s="778">
        <f t="shared" si="101"/>
        <v>15791.041184636742</v>
      </c>
      <c r="H298" s="778">
        <f t="shared" si="101"/>
        <v>150605.42958506866</v>
      </c>
      <c r="I298" s="778">
        <f t="shared" si="101"/>
        <v>26117.415933981181</v>
      </c>
      <c r="J298" s="365"/>
      <c r="K298" s="25">
        <f t="shared" si="88"/>
        <v>1582401.3293228443</v>
      </c>
      <c r="L298" s="778">
        <v>214</v>
      </c>
      <c r="M298" s="778">
        <f t="shared" si="96"/>
        <v>7394.3987351534779</v>
      </c>
      <c r="N298" s="678">
        <v>8398</v>
      </c>
      <c r="O298" s="678"/>
      <c r="P298" s="189" t="s">
        <v>578</v>
      </c>
      <c r="Q298" s="794">
        <v>40804</v>
      </c>
      <c r="R298" s="793"/>
      <c r="S298" s="306">
        <f>L298/2</f>
        <v>107</v>
      </c>
      <c r="T298" s="822">
        <v>10344</v>
      </c>
      <c r="U298" s="25">
        <f t="shared" si="73"/>
        <v>1106808</v>
      </c>
      <c r="V298" s="456"/>
      <c r="W298" s="794"/>
      <c r="X298" s="822"/>
      <c r="Y298" s="822"/>
      <c r="Z298" s="25"/>
    </row>
    <row r="299" spans="1:26" ht="13.5" customHeight="1">
      <c r="A299" s="777">
        <f t="shared" si="89"/>
        <v>115</v>
      </c>
      <c r="B299" s="298" t="s">
        <v>1025</v>
      </c>
      <c r="C299" s="25">
        <f t="shared" si="95"/>
        <v>1833860</v>
      </c>
      <c r="D299" s="778">
        <f t="shared" si="101"/>
        <v>203825.77510411848</v>
      </c>
      <c r="E299" s="778">
        <f t="shared" si="101"/>
        <v>53768.069180934755</v>
      </c>
      <c r="F299" s="778">
        <f t="shared" si="101"/>
        <v>114113.27429430818</v>
      </c>
      <c r="G299" s="778">
        <f t="shared" si="101"/>
        <v>20734.965293845442</v>
      </c>
      <c r="H299" s="778">
        <f t="shared" si="101"/>
        <v>197757.59679160884</v>
      </c>
      <c r="I299" s="778">
        <f t="shared" si="101"/>
        <v>34294.363913311739</v>
      </c>
      <c r="J299" s="365"/>
      <c r="K299" s="25">
        <f t="shared" si="88"/>
        <v>2458354.0445781276</v>
      </c>
      <c r="L299" s="778">
        <v>281</v>
      </c>
      <c r="M299" s="778">
        <f t="shared" si="96"/>
        <v>8748.5909059719834</v>
      </c>
      <c r="N299" s="678">
        <v>10534</v>
      </c>
      <c r="O299" s="678"/>
      <c r="P299" s="189" t="s">
        <v>580</v>
      </c>
      <c r="Q299" s="794">
        <v>40804</v>
      </c>
      <c r="R299" s="793"/>
      <c r="S299" s="306">
        <v>70</v>
      </c>
      <c r="T299" s="821">
        <v>26198</v>
      </c>
      <c r="U299" s="25">
        <f t="shared" si="73"/>
        <v>1833860</v>
      </c>
      <c r="V299" s="456"/>
      <c r="W299" s="794"/>
      <c r="X299" s="822"/>
      <c r="Y299" s="822"/>
      <c r="Z299" s="25"/>
    </row>
    <row r="300" spans="1:26" ht="13.5" customHeight="1">
      <c r="A300" s="777">
        <f t="shared" si="89"/>
        <v>116</v>
      </c>
      <c r="B300" s="298" t="s">
        <v>1026</v>
      </c>
      <c r="C300" s="25">
        <f t="shared" si="95"/>
        <v>875840</v>
      </c>
      <c r="D300" s="778">
        <f t="shared" si="101"/>
        <v>75437.29754743175</v>
      </c>
      <c r="E300" s="778">
        <f t="shared" si="101"/>
        <v>19899.925960203611</v>
      </c>
      <c r="F300" s="778">
        <f t="shared" si="101"/>
        <v>42234.094400740396</v>
      </c>
      <c r="G300" s="778">
        <f t="shared" si="101"/>
        <v>7674.1508560851462</v>
      </c>
      <c r="H300" s="778">
        <f t="shared" si="101"/>
        <v>73191.423723584769</v>
      </c>
      <c r="I300" s="778">
        <f t="shared" si="101"/>
        <v>12692.575967916087</v>
      </c>
      <c r="J300" s="365"/>
      <c r="K300" s="25">
        <f t="shared" si="88"/>
        <v>1106969.4684559617</v>
      </c>
      <c r="L300" s="778">
        <v>104</v>
      </c>
      <c r="M300" s="778">
        <f t="shared" si="96"/>
        <v>10643.937196691939</v>
      </c>
      <c r="N300" s="678">
        <v>14076</v>
      </c>
      <c r="O300" s="678"/>
      <c r="P300" s="40" t="s">
        <v>605</v>
      </c>
      <c r="Q300" s="794">
        <v>40809</v>
      </c>
      <c r="R300" s="793"/>
      <c r="S300" s="306">
        <v>32</v>
      </c>
      <c r="T300" s="822">
        <v>27370</v>
      </c>
      <c r="U300" s="25">
        <f t="shared" si="73"/>
        <v>875840</v>
      </c>
      <c r="V300" s="456"/>
      <c r="W300" s="794"/>
      <c r="X300" s="822"/>
      <c r="Y300" s="822"/>
      <c r="Z300" s="25"/>
    </row>
    <row r="301" spans="1:26" ht="13.5" customHeight="1">
      <c r="A301" s="777">
        <f t="shared" si="89"/>
        <v>117</v>
      </c>
      <c r="B301" s="298" t="s">
        <v>1027</v>
      </c>
      <c r="C301" s="25">
        <f t="shared" si="95"/>
        <v>1034400</v>
      </c>
      <c r="D301" s="778">
        <f t="shared" si="101"/>
        <v>145071.72605275337</v>
      </c>
      <c r="E301" s="778">
        <f t="shared" si="101"/>
        <v>38269.088385006944</v>
      </c>
      <c r="F301" s="778">
        <f t="shared" si="101"/>
        <v>81219.412309116145</v>
      </c>
      <c r="G301" s="778">
        <f t="shared" si="101"/>
        <v>14757.982415548358</v>
      </c>
      <c r="H301" s="778">
        <f t="shared" si="101"/>
        <v>140752.7379299707</v>
      </c>
      <c r="I301" s="778">
        <f t="shared" si="101"/>
        <v>24408.79993830017</v>
      </c>
      <c r="J301" s="365"/>
      <c r="K301" s="25">
        <f t="shared" si="88"/>
        <v>1478879.7470306957</v>
      </c>
      <c r="L301" s="778">
        <v>200</v>
      </c>
      <c r="M301" s="778">
        <f t="shared" si="96"/>
        <v>7394.3987351534779</v>
      </c>
      <c r="N301" s="678">
        <v>7340</v>
      </c>
      <c r="O301" s="678"/>
      <c r="P301" s="189" t="s">
        <v>578</v>
      </c>
      <c r="Q301" s="794">
        <v>40810</v>
      </c>
      <c r="R301" s="793"/>
      <c r="S301" s="306">
        <f t="shared" ref="S301" si="102">L301/2</f>
        <v>100</v>
      </c>
      <c r="T301" s="822">
        <v>10344</v>
      </c>
      <c r="U301" s="25">
        <f t="shared" si="73"/>
        <v>1034400</v>
      </c>
      <c r="V301" s="456"/>
      <c r="W301" s="794"/>
      <c r="X301" s="822"/>
      <c r="Y301" s="822"/>
      <c r="Z301" s="25"/>
    </row>
    <row r="302" spans="1:26" ht="13.5" customHeight="1">
      <c r="A302" s="777">
        <f t="shared" si="89"/>
        <v>118</v>
      </c>
      <c r="B302" s="298" t="s">
        <v>1028</v>
      </c>
      <c r="C302" s="25">
        <f t="shared" si="95"/>
        <v>2046379</v>
      </c>
      <c r="D302" s="778">
        <f t="shared" si="101"/>
        <v>279263.07265155023</v>
      </c>
      <c r="E302" s="778">
        <f t="shared" si="101"/>
        <v>73667.995141138366</v>
      </c>
      <c r="F302" s="778">
        <f t="shared" si="101"/>
        <v>156347.36869504859</v>
      </c>
      <c r="G302" s="778">
        <f t="shared" si="101"/>
        <v>28409.116149930589</v>
      </c>
      <c r="H302" s="778">
        <f t="shared" si="101"/>
        <v>270949.02051519358</v>
      </c>
      <c r="I302" s="778">
        <f t="shared" si="101"/>
        <v>46986.939881227823</v>
      </c>
      <c r="J302" s="365"/>
      <c r="K302" s="25">
        <f t="shared" si="88"/>
        <v>2902002.5130340895</v>
      </c>
      <c r="L302" s="778">
        <v>385</v>
      </c>
      <c r="M302" s="778">
        <f t="shared" si="96"/>
        <v>7537.6688650236092</v>
      </c>
      <c r="N302" s="678">
        <v>7340</v>
      </c>
      <c r="O302" s="678"/>
      <c r="P302" s="189" t="s">
        <v>519</v>
      </c>
      <c r="Q302" s="794">
        <v>40810</v>
      </c>
      <c r="R302" s="793"/>
      <c r="S302" s="306">
        <v>193</v>
      </c>
      <c r="T302" s="822">
        <v>10603</v>
      </c>
      <c r="U302" s="25">
        <f t="shared" si="73"/>
        <v>2046379</v>
      </c>
      <c r="V302" s="456"/>
      <c r="W302" s="794"/>
      <c r="X302" s="822"/>
      <c r="Y302" s="822"/>
      <c r="Z302" s="25"/>
    </row>
    <row r="303" spans="1:26" ht="13.5" customHeight="1">
      <c r="A303" s="777">
        <f t="shared" si="89"/>
        <v>119</v>
      </c>
      <c r="B303" s="298" t="s">
        <v>1029</v>
      </c>
      <c r="C303" s="25">
        <f t="shared" si="95"/>
        <v>195756</v>
      </c>
      <c r="D303" s="778">
        <f t="shared" si="101"/>
        <v>31915.77973160574</v>
      </c>
      <c r="E303" s="778">
        <f t="shared" si="101"/>
        <v>8419.1994447015277</v>
      </c>
      <c r="F303" s="778">
        <f t="shared" si="101"/>
        <v>17868.270708005552</v>
      </c>
      <c r="G303" s="778">
        <f t="shared" si="101"/>
        <v>3246.7561314206387</v>
      </c>
      <c r="H303" s="778">
        <f t="shared" si="101"/>
        <v>30965.602344593553</v>
      </c>
      <c r="I303" s="778">
        <f t="shared" si="101"/>
        <v>5369.9359864260368</v>
      </c>
      <c r="J303" s="365"/>
      <c r="K303" s="25">
        <f t="shared" si="88"/>
        <v>293541.54434675298</v>
      </c>
      <c r="L303" s="778">
        <v>44</v>
      </c>
      <c r="M303" s="778">
        <f t="shared" si="96"/>
        <v>6671.398735153477</v>
      </c>
      <c r="N303" s="678">
        <v>7340</v>
      </c>
      <c r="O303" s="678"/>
      <c r="P303" s="189" t="s">
        <v>387</v>
      </c>
      <c r="Q303" s="794">
        <v>40810</v>
      </c>
      <c r="R303" s="793"/>
      <c r="S303" s="306">
        <f t="shared" ref="S303" si="103">L303</f>
        <v>44</v>
      </c>
      <c r="T303" s="822">
        <f>4449</f>
        <v>4449</v>
      </c>
      <c r="U303" s="25">
        <f t="shared" si="73"/>
        <v>195756</v>
      </c>
      <c r="V303" s="456"/>
      <c r="W303" s="794"/>
      <c r="X303" s="822"/>
      <c r="Y303" s="822"/>
      <c r="Z303" s="25"/>
    </row>
    <row r="304" spans="1:26" ht="13.5" customHeight="1">
      <c r="A304" s="777">
        <f t="shared" si="89"/>
        <v>120</v>
      </c>
      <c r="B304" s="298" t="s">
        <v>1002</v>
      </c>
      <c r="C304" s="25">
        <f t="shared" si="95"/>
        <v>7809620</v>
      </c>
      <c r="D304" s="778">
        <f t="shared" si="101"/>
        <v>527335.72420175851</v>
      </c>
      <c r="E304" s="778">
        <f t="shared" si="101"/>
        <v>139108.13627950024</v>
      </c>
      <c r="F304" s="778">
        <f t="shared" si="101"/>
        <v>295232.56374363718</v>
      </c>
      <c r="G304" s="778">
        <f t="shared" si="101"/>
        <v>53645.266080518282</v>
      </c>
      <c r="H304" s="778">
        <f t="shared" si="101"/>
        <v>511636.20237544354</v>
      </c>
      <c r="I304" s="778">
        <f t="shared" si="101"/>
        <v>88725.987775721107</v>
      </c>
      <c r="J304" s="365"/>
      <c r="K304" s="25">
        <f t="shared" si="88"/>
        <v>9425303.8804565798</v>
      </c>
      <c r="L304" s="778">
        <v>727</v>
      </c>
      <c r="M304" s="778">
        <f t="shared" si="96"/>
        <v>12964.654581095709</v>
      </c>
      <c r="N304" s="678">
        <v>14369</v>
      </c>
      <c r="O304" s="678"/>
      <c r="P304" s="189" t="s">
        <v>631</v>
      </c>
      <c r="Q304" s="794">
        <v>40810</v>
      </c>
      <c r="R304" s="793"/>
      <c r="S304" s="306">
        <v>364</v>
      </c>
      <c r="T304" s="847">
        <v>21455</v>
      </c>
      <c r="U304" s="25">
        <f t="shared" si="73"/>
        <v>7809620</v>
      </c>
      <c r="V304" s="456"/>
      <c r="W304" s="794"/>
      <c r="X304" s="822"/>
      <c r="Y304" s="822"/>
      <c r="Z304" s="25"/>
    </row>
    <row r="305" spans="1:26" ht="13.5" customHeight="1">
      <c r="A305" s="777">
        <f t="shared" si="89"/>
        <v>121</v>
      </c>
      <c r="B305" s="298" t="s">
        <v>751</v>
      </c>
      <c r="C305" s="25">
        <f>SUM(U305:U306)</f>
        <v>12141300</v>
      </c>
      <c r="D305" s="778">
        <f t="shared" si="101"/>
        <v>1514548.819990745</v>
      </c>
      <c r="E305" s="778">
        <f t="shared" si="101"/>
        <v>399529.28273947252</v>
      </c>
      <c r="F305" s="778">
        <f t="shared" si="101"/>
        <v>847930.66450717254</v>
      </c>
      <c r="G305" s="778">
        <f t="shared" si="101"/>
        <v>154073.33641832485</v>
      </c>
      <c r="H305" s="778">
        <f t="shared" si="101"/>
        <v>1469458.5839888942</v>
      </c>
      <c r="I305" s="778">
        <f t="shared" si="101"/>
        <v>254827.87135585377</v>
      </c>
      <c r="J305" s="365"/>
      <c r="K305" s="25">
        <f t="shared" si="88"/>
        <v>16781668.559000462</v>
      </c>
      <c r="L305" s="778">
        <v>2088</v>
      </c>
      <c r="M305" s="778">
        <f t="shared" si="96"/>
        <v>8037.1975857281905</v>
      </c>
      <c r="N305" s="678">
        <v>13939</v>
      </c>
      <c r="O305" s="678"/>
      <c r="P305" s="189" t="s">
        <v>518</v>
      </c>
      <c r="Q305" s="794">
        <v>40810</v>
      </c>
      <c r="R305" s="793"/>
      <c r="S305" s="306">
        <v>840</v>
      </c>
      <c r="T305" s="822">
        <v>10930</v>
      </c>
      <c r="U305" s="25">
        <f t="shared" si="73"/>
        <v>9181200</v>
      </c>
      <c r="V305" s="456"/>
      <c r="W305" s="794"/>
      <c r="X305" s="822"/>
      <c r="Y305" s="822"/>
      <c r="Z305" s="25"/>
    </row>
    <row r="306" spans="1:26" ht="13.5" hidden="1" customHeight="1">
      <c r="A306" s="777"/>
      <c r="B306" s="298"/>
      <c r="C306" s="25"/>
      <c r="D306" s="778"/>
      <c r="E306" s="778">
        <f t="shared" ref="E306:E337" si="104">IF($L$339&lt;&gt;0,E$339/$L$339*$L306,0)</f>
        <v>0</v>
      </c>
      <c r="F306" s="778"/>
      <c r="G306" s="778"/>
      <c r="H306" s="778"/>
      <c r="I306" s="778"/>
      <c r="J306" s="365"/>
      <c r="K306" s="25">
        <f t="shared" si="88"/>
        <v>0</v>
      </c>
      <c r="L306" s="778"/>
      <c r="M306" s="778"/>
      <c r="N306" s="678"/>
      <c r="O306" s="678"/>
      <c r="P306" s="189" t="s">
        <v>632</v>
      </c>
      <c r="Q306" s="794">
        <v>40810</v>
      </c>
      <c r="R306" s="793"/>
      <c r="S306" s="306">
        <v>260</v>
      </c>
      <c r="T306" s="847">
        <v>11385</v>
      </c>
      <c r="U306" s="25">
        <f t="shared" si="73"/>
        <v>2960100</v>
      </c>
      <c r="V306" s="456"/>
      <c r="W306" s="794"/>
      <c r="X306" s="822"/>
      <c r="Y306" s="822"/>
      <c r="Z306" s="25"/>
    </row>
    <row r="307" spans="1:26" ht="13.5" customHeight="1">
      <c r="A307" s="777">
        <f>IF(B307&lt;&gt;"",A305+1,"")</f>
        <v>122</v>
      </c>
      <c r="B307" s="298" t="s">
        <v>1002</v>
      </c>
      <c r="C307" s="25">
        <f t="shared" si="95"/>
        <v>16241435</v>
      </c>
      <c r="D307" s="778">
        <f t="shared" ref="D307:D315" si="105">IF($L$339&lt;&gt;0,D$339/$L$339*$L307,0)</f>
        <v>1098192.966219343</v>
      </c>
      <c r="E307" s="778">
        <f t="shared" si="104"/>
        <v>289696.99907450256</v>
      </c>
      <c r="F307" s="778">
        <f t="shared" ref="F307:I315" si="106">IF($L$339&lt;&gt;0,F$339/$L$339*$L307,0)</f>
        <v>614830.95118000929</v>
      </c>
      <c r="G307" s="778">
        <f t="shared" si="106"/>
        <v>111717.92688570108</v>
      </c>
      <c r="H307" s="778">
        <f t="shared" si="106"/>
        <v>1065498.2261298783</v>
      </c>
      <c r="I307" s="778">
        <f t="shared" si="106"/>
        <v>184774.61553293228</v>
      </c>
      <c r="J307" s="365"/>
      <c r="K307" s="25">
        <f t="shared" si="88"/>
        <v>19606146.685022369</v>
      </c>
      <c r="L307" s="778">
        <v>1514</v>
      </c>
      <c r="M307" s="778">
        <f t="shared" si="96"/>
        <v>12949.89873515348</v>
      </c>
      <c r="N307" s="678">
        <v>14369</v>
      </c>
      <c r="O307" s="678"/>
      <c r="P307" s="189" t="s">
        <v>631</v>
      </c>
      <c r="Q307" s="794">
        <v>40810</v>
      </c>
      <c r="R307" s="793"/>
      <c r="S307" s="306">
        <f>L307/2</f>
        <v>757</v>
      </c>
      <c r="T307" s="847">
        <v>21455</v>
      </c>
      <c r="U307" s="25">
        <f t="shared" si="73"/>
        <v>16241435</v>
      </c>
      <c r="V307" s="456"/>
      <c r="W307" s="794"/>
      <c r="X307" s="822"/>
      <c r="Y307" s="822"/>
      <c r="Z307" s="25"/>
    </row>
    <row r="308" spans="1:26" ht="13.5" customHeight="1">
      <c r="A308" s="777">
        <f t="shared" si="89"/>
        <v>123</v>
      </c>
      <c r="B308" s="298" t="s">
        <v>746</v>
      </c>
      <c r="C308" s="25">
        <f t="shared" si="95"/>
        <v>3647670</v>
      </c>
      <c r="D308" s="778">
        <f t="shared" si="105"/>
        <v>397496.52938454424</v>
      </c>
      <c r="E308" s="778">
        <f t="shared" si="104"/>
        <v>104857.30217491902</v>
      </c>
      <c r="F308" s="778">
        <f t="shared" si="106"/>
        <v>222541.18972697825</v>
      </c>
      <c r="G308" s="778">
        <f t="shared" si="106"/>
        <v>40436.8718186025</v>
      </c>
      <c r="H308" s="778">
        <f t="shared" si="106"/>
        <v>385662.50192811975</v>
      </c>
      <c r="I308" s="778">
        <f t="shared" si="106"/>
        <v>66880.111830942464</v>
      </c>
      <c r="J308" s="365"/>
      <c r="K308" s="25">
        <f t="shared" si="88"/>
        <v>4865544.5068641054</v>
      </c>
      <c r="L308" s="778">
        <v>548</v>
      </c>
      <c r="M308" s="778">
        <f t="shared" si="96"/>
        <v>8878.7308519417984</v>
      </c>
      <c r="N308" s="678">
        <v>10534</v>
      </c>
      <c r="O308" s="678"/>
      <c r="P308" s="189" t="s">
        <v>543</v>
      </c>
      <c r="Q308" s="794">
        <v>40810</v>
      </c>
      <c r="R308" s="793"/>
      <c r="S308" s="306">
        <v>130</v>
      </c>
      <c r="T308" s="821">
        <v>28059</v>
      </c>
      <c r="U308" s="25">
        <f t="shared" si="73"/>
        <v>3647670</v>
      </c>
      <c r="V308" s="456"/>
      <c r="W308" s="794"/>
      <c r="X308" s="822"/>
      <c r="Y308" s="822"/>
      <c r="Z308" s="25"/>
    </row>
    <row r="309" spans="1:26" ht="13.5" customHeight="1">
      <c r="A309" s="777">
        <f>IF(B309&lt;&gt;"",A308+1,"")</f>
        <v>124</v>
      </c>
      <c r="B309" s="298" t="s">
        <v>750</v>
      </c>
      <c r="C309" s="25">
        <f t="shared" si="95"/>
        <v>504630</v>
      </c>
      <c r="D309" s="778">
        <f t="shared" si="105"/>
        <v>29739.70384081444</v>
      </c>
      <c r="E309" s="778">
        <f t="shared" si="104"/>
        <v>7845.1631189264235</v>
      </c>
      <c r="F309" s="778">
        <f t="shared" si="106"/>
        <v>16649.979523368809</v>
      </c>
      <c r="G309" s="778">
        <f t="shared" si="106"/>
        <v>3025.3863951874132</v>
      </c>
      <c r="H309" s="778">
        <f t="shared" si="106"/>
        <v>28854.311275643995</v>
      </c>
      <c r="I309" s="778">
        <f t="shared" si="106"/>
        <v>5003.8039873515345</v>
      </c>
      <c r="J309" s="365"/>
      <c r="K309" s="25">
        <f t="shared" si="88"/>
        <v>595748.34814129258</v>
      </c>
      <c r="L309" s="778">
        <v>41</v>
      </c>
      <c r="M309" s="778">
        <f t="shared" si="96"/>
        <v>14530.447515641283</v>
      </c>
      <c r="N309" s="678">
        <v>15549</v>
      </c>
      <c r="O309" s="678"/>
      <c r="P309" s="189" t="s">
        <v>568</v>
      </c>
      <c r="Q309" s="794">
        <v>40810</v>
      </c>
      <c r="R309" s="793"/>
      <c r="S309" s="306">
        <v>21</v>
      </c>
      <c r="T309" s="256">
        <v>24030</v>
      </c>
      <c r="U309" s="25">
        <f t="shared" si="73"/>
        <v>504630</v>
      </c>
      <c r="V309" s="456"/>
      <c r="W309" s="794"/>
      <c r="X309" s="822"/>
      <c r="Y309" s="822"/>
      <c r="Z309" s="25"/>
    </row>
    <row r="310" spans="1:26" ht="13.5" customHeight="1">
      <c r="A310" s="777">
        <f t="shared" si="89"/>
        <v>125</v>
      </c>
      <c r="B310" s="298" t="s">
        <v>747</v>
      </c>
      <c r="C310" s="25">
        <f t="shared" si="95"/>
        <v>169730</v>
      </c>
      <c r="D310" s="778">
        <f t="shared" si="105"/>
        <v>14507.172605275337</v>
      </c>
      <c r="E310" s="778">
        <f t="shared" si="104"/>
        <v>3826.9088385006944</v>
      </c>
      <c r="F310" s="778">
        <f t="shared" si="106"/>
        <v>8121.9412309116151</v>
      </c>
      <c r="G310" s="778">
        <f t="shared" si="106"/>
        <v>1475.7982415548358</v>
      </c>
      <c r="H310" s="778">
        <f t="shared" si="106"/>
        <v>14075.27379299707</v>
      </c>
      <c r="I310" s="778">
        <f t="shared" si="106"/>
        <v>2440.8799938300167</v>
      </c>
      <c r="J310" s="365"/>
      <c r="K310" s="25">
        <f t="shared" si="88"/>
        <v>214177.9747030696</v>
      </c>
      <c r="L310" s="778">
        <v>20</v>
      </c>
      <c r="M310" s="778">
        <f t="shared" si="96"/>
        <v>10708.89873515348</v>
      </c>
      <c r="N310" s="678">
        <v>11621</v>
      </c>
      <c r="O310" s="678"/>
      <c r="P310" s="189" t="s">
        <v>551</v>
      </c>
      <c r="Q310" s="794">
        <v>40810</v>
      </c>
      <c r="R310" s="793"/>
      <c r="S310" s="306">
        <f>L310/2</f>
        <v>10</v>
      </c>
      <c r="T310" s="822">
        <v>16973</v>
      </c>
      <c r="U310" s="25">
        <f t="shared" si="73"/>
        <v>169730</v>
      </c>
      <c r="V310" s="456"/>
      <c r="W310" s="794"/>
      <c r="X310" s="822"/>
      <c r="Y310" s="822"/>
      <c r="Z310" s="25"/>
    </row>
    <row r="311" spans="1:26" ht="13.5" customHeight="1">
      <c r="A311" s="777">
        <f t="shared" si="89"/>
        <v>126</v>
      </c>
      <c r="B311" s="298" t="s">
        <v>997</v>
      </c>
      <c r="C311" s="25">
        <f t="shared" si="95"/>
        <v>548232</v>
      </c>
      <c r="D311" s="778">
        <f t="shared" si="105"/>
        <v>76888.014807959291</v>
      </c>
      <c r="E311" s="778">
        <f t="shared" si="104"/>
        <v>20282.616844053679</v>
      </c>
      <c r="F311" s="778">
        <f t="shared" si="106"/>
        <v>43046.288523831558</v>
      </c>
      <c r="G311" s="778">
        <f t="shared" si="106"/>
        <v>7821.7306802406292</v>
      </c>
      <c r="H311" s="778">
        <f t="shared" si="106"/>
        <v>74598.951102884472</v>
      </c>
      <c r="I311" s="778">
        <f t="shared" si="106"/>
        <v>12936.66396729909</v>
      </c>
      <c r="J311" s="365"/>
      <c r="K311" s="25">
        <f t="shared" si="88"/>
        <v>783806.26592626877</v>
      </c>
      <c r="L311" s="778">
        <v>106</v>
      </c>
      <c r="M311" s="778">
        <f t="shared" si="96"/>
        <v>7394.3987351534788</v>
      </c>
      <c r="N311" s="678">
        <v>8398</v>
      </c>
      <c r="O311" s="678"/>
      <c r="P311" s="189" t="s">
        <v>578</v>
      </c>
      <c r="Q311" s="794">
        <v>40811</v>
      </c>
      <c r="R311" s="793"/>
      <c r="S311" s="306">
        <f>L311/2</f>
        <v>53</v>
      </c>
      <c r="T311" s="822">
        <v>10344</v>
      </c>
      <c r="U311" s="25">
        <f t="shared" si="73"/>
        <v>548232</v>
      </c>
      <c r="V311" s="456"/>
      <c r="W311" s="794"/>
      <c r="X311" s="822"/>
      <c r="Y311" s="822"/>
      <c r="Z311" s="25"/>
    </row>
    <row r="312" spans="1:26" ht="13.5" customHeight="1">
      <c r="A312" s="777">
        <f t="shared" si="89"/>
        <v>127</v>
      </c>
      <c r="B312" s="298" t="s">
        <v>1000</v>
      </c>
      <c r="C312" s="25">
        <f t="shared" si="95"/>
        <v>3006974</v>
      </c>
      <c r="D312" s="778">
        <f t="shared" si="105"/>
        <v>361953.95650161966</v>
      </c>
      <c r="E312" s="778">
        <f t="shared" si="104"/>
        <v>95481.375520592323</v>
      </c>
      <c r="F312" s="778">
        <f t="shared" si="106"/>
        <v>202642.43371124478</v>
      </c>
      <c r="G312" s="778">
        <f t="shared" si="106"/>
        <v>36821.166126793156</v>
      </c>
      <c r="H312" s="778">
        <f t="shared" si="106"/>
        <v>351178.08113527688</v>
      </c>
      <c r="I312" s="778">
        <f t="shared" si="106"/>
        <v>60899.955846058918</v>
      </c>
      <c r="J312" s="365"/>
      <c r="K312" s="25">
        <f t="shared" si="88"/>
        <v>4115950.9688415863</v>
      </c>
      <c r="L312" s="778">
        <v>499</v>
      </c>
      <c r="M312" s="778">
        <f t="shared" si="96"/>
        <v>8248.3987351534797</v>
      </c>
      <c r="N312" s="678">
        <v>9538</v>
      </c>
      <c r="O312" s="678"/>
      <c r="P312" s="298" t="s">
        <v>479</v>
      </c>
      <c r="Q312" s="794">
        <v>40811</v>
      </c>
      <c r="R312" s="793"/>
      <c r="S312" s="306">
        <f>L312</f>
        <v>499</v>
      </c>
      <c r="T312" s="822">
        <v>6026</v>
      </c>
      <c r="U312" s="25">
        <f t="shared" si="73"/>
        <v>3006974</v>
      </c>
      <c r="V312" s="456"/>
      <c r="W312" s="794"/>
      <c r="X312" s="822"/>
      <c r="Y312" s="822"/>
      <c r="Z312" s="25"/>
    </row>
    <row r="313" spans="1:26" ht="13.5" customHeight="1">
      <c r="A313" s="777">
        <f t="shared" si="89"/>
        <v>128</v>
      </c>
      <c r="B313" s="298" t="s">
        <v>757</v>
      </c>
      <c r="C313" s="25">
        <f t="shared" si="95"/>
        <v>8898</v>
      </c>
      <c r="D313" s="778">
        <f t="shared" si="105"/>
        <v>2176.0758907913005</v>
      </c>
      <c r="E313" s="778">
        <f t="shared" si="104"/>
        <v>574.03632577510416</v>
      </c>
      <c r="F313" s="778">
        <f t="shared" si="106"/>
        <v>1218.2911846367422</v>
      </c>
      <c r="G313" s="778">
        <f t="shared" si="106"/>
        <v>221.36973623322535</v>
      </c>
      <c r="H313" s="778">
        <f t="shared" si="106"/>
        <v>2111.2910689495607</v>
      </c>
      <c r="I313" s="778">
        <f t="shared" si="106"/>
        <v>366.13199907450252</v>
      </c>
      <c r="J313" s="365"/>
      <c r="K313" s="25">
        <f t="shared" si="88"/>
        <v>15565.196205460437</v>
      </c>
      <c r="L313" s="778">
        <v>3</v>
      </c>
      <c r="M313" s="778">
        <f t="shared" si="96"/>
        <v>5188.3987351534788</v>
      </c>
      <c r="N313" s="678">
        <v>5166</v>
      </c>
      <c r="O313" s="678"/>
      <c r="P313" s="189" t="s">
        <v>387</v>
      </c>
      <c r="Q313" s="794">
        <v>40811</v>
      </c>
      <c r="R313" s="793"/>
      <c r="S313" s="306">
        <v>2</v>
      </c>
      <c r="T313" s="822">
        <f>4449</f>
        <v>4449</v>
      </c>
      <c r="U313" s="25">
        <f t="shared" si="73"/>
        <v>8898</v>
      </c>
      <c r="V313" s="456"/>
      <c r="W313" s="794"/>
      <c r="X313" s="822"/>
      <c r="Y313" s="822"/>
      <c r="Z313" s="25"/>
    </row>
    <row r="314" spans="1:26" ht="13.5" customHeight="1">
      <c r="A314" s="777">
        <f t="shared" si="89"/>
        <v>129</v>
      </c>
      <c r="B314" s="298" t="s">
        <v>748</v>
      </c>
      <c r="C314" s="25">
        <f t="shared" si="95"/>
        <v>78540</v>
      </c>
      <c r="D314" s="778">
        <f t="shared" si="105"/>
        <v>9429.6621934289687</v>
      </c>
      <c r="E314" s="778">
        <f t="shared" si="104"/>
        <v>2487.4907450254514</v>
      </c>
      <c r="F314" s="778">
        <f t="shared" si="106"/>
        <v>5279.2618000925495</v>
      </c>
      <c r="G314" s="778">
        <f t="shared" si="106"/>
        <v>959.26885701064327</v>
      </c>
      <c r="H314" s="778">
        <f t="shared" si="106"/>
        <v>9148.9279654480961</v>
      </c>
      <c r="I314" s="778">
        <f t="shared" si="106"/>
        <v>1586.5719959895109</v>
      </c>
      <c r="J314" s="365"/>
      <c r="K314" s="25">
        <f t="shared" ref="K314:K337" si="107">SUM(C314:I314)</f>
        <v>107431.18355699521</v>
      </c>
      <c r="L314" s="778">
        <v>13</v>
      </c>
      <c r="M314" s="778">
        <f t="shared" si="96"/>
        <v>8263.9371966919389</v>
      </c>
      <c r="N314" s="678">
        <v>10189</v>
      </c>
      <c r="O314" s="678"/>
      <c r="P314" s="40" t="s">
        <v>602</v>
      </c>
      <c r="Q314" s="794">
        <v>40811</v>
      </c>
      <c r="R314" s="793"/>
      <c r="S314" s="306">
        <v>6</v>
      </c>
      <c r="T314" s="256">
        <v>13090</v>
      </c>
      <c r="U314" s="25">
        <f t="shared" si="73"/>
        <v>78540</v>
      </c>
      <c r="V314" s="456"/>
      <c r="W314" s="794"/>
      <c r="X314" s="822"/>
      <c r="Y314" s="822"/>
      <c r="Z314" s="25"/>
    </row>
    <row r="315" spans="1:26" ht="13.5" customHeight="1">
      <c r="A315" s="777">
        <f t="shared" si="89"/>
        <v>130</v>
      </c>
      <c r="B315" s="298" t="s">
        <v>1030</v>
      </c>
      <c r="C315" s="25">
        <f t="shared" si="95"/>
        <v>7268</v>
      </c>
      <c r="D315" s="778">
        <f t="shared" si="105"/>
        <v>725.35863026376683</v>
      </c>
      <c r="E315" s="778">
        <f t="shared" si="104"/>
        <v>191.34544192503472</v>
      </c>
      <c r="F315" s="778">
        <f t="shared" si="106"/>
        <v>406.09706154558074</v>
      </c>
      <c r="G315" s="778">
        <f t="shared" si="106"/>
        <v>73.789912077741789</v>
      </c>
      <c r="H315" s="778">
        <f t="shared" si="106"/>
        <v>703.76368964985352</v>
      </c>
      <c r="I315" s="778">
        <f t="shared" si="106"/>
        <v>122.04399969150084</v>
      </c>
      <c r="J315" s="365"/>
      <c r="K315" s="25">
        <f t="shared" si="107"/>
        <v>9490.3987351534779</v>
      </c>
      <c r="L315" s="778">
        <v>1</v>
      </c>
      <c r="M315" s="778">
        <f t="shared" si="96"/>
        <v>9490.3987351534779</v>
      </c>
      <c r="N315" s="678">
        <v>10211</v>
      </c>
      <c r="O315" s="678"/>
      <c r="P315" s="189" t="s">
        <v>523</v>
      </c>
      <c r="Q315" s="794">
        <v>40811</v>
      </c>
      <c r="R315" s="793"/>
      <c r="S315" s="306">
        <f>L315</f>
        <v>1</v>
      </c>
      <c r="T315" s="256">
        <v>7268</v>
      </c>
      <c r="U315" s="25">
        <f t="shared" si="73"/>
        <v>7268</v>
      </c>
      <c r="V315" s="456"/>
      <c r="W315" s="794"/>
      <c r="X315" s="822"/>
      <c r="Y315" s="822"/>
      <c r="Z315" s="25"/>
    </row>
    <row r="316" spans="1:26" ht="13.5" customHeight="1">
      <c r="A316" s="777">
        <f t="shared" ref="A316:A337" si="108">IF(B316&lt;&gt;"",A315+1,"")</f>
        <v>131</v>
      </c>
      <c r="B316" s="298" t="s">
        <v>1001</v>
      </c>
      <c r="C316" s="25">
        <f t="shared" si="95"/>
        <v>26694</v>
      </c>
      <c r="D316" s="778">
        <f t="shared" ref="D316:I330" si="109">IF($L$339&lt;&gt;0,D$339/$L$339*$L316,0)</f>
        <v>4352.151781582601</v>
      </c>
      <c r="E316" s="778">
        <f t="shared" si="104"/>
        <v>1148.0726515502083</v>
      </c>
      <c r="F316" s="778">
        <f t="shared" si="109"/>
        <v>2436.5823692734843</v>
      </c>
      <c r="G316" s="778">
        <f t="shared" si="109"/>
        <v>442.73947246645071</v>
      </c>
      <c r="H316" s="778">
        <f t="shared" si="109"/>
        <v>4222.5821378991213</v>
      </c>
      <c r="I316" s="778">
        <f t="shared" si="109"/>
        <v>732.26399814900503</v>
      </c>
      <c r="J316" s="365"/>
      <c r="K316" s="25">
        <f t="shared" si="107"/>
        <v>40028.392410920875</v>
      </c>
      <c r="L316" s="778">
        <v>6</v>
      </c>
      <c r="M316" s="778">
        <f t="shared" si="96"/>
        <v>6671.3987351534788</v>
      </c>
      <c r="N316" s="678">
        <v>7042</v>
      </c>
      <c r="O316" s="678"/>
      <c r="P316" s="189" t="s">
        <v>387</v>
      </c>
      <c r="Q316" s="794">
        <v>40811</v>
      </c>
      <c r="R316" s="793"/>
      <c r="S316" s="306">
        <f>L316</f>
        <v>6</v>
      </c>
      <c r="T316" s="822">
        <f>4449</f>
        <v>4449</v>
      </c>
      <c r="U316" s="25">
        <f t="shared" si="73"/>
        <v>26694</v>
      </c>
      <c r="V316" s="456"/>
      <c r="W316" s="794"/>
      <c r="X316" s="822"/>
      <c r="Y316" s="822"/>
      <c r="Z316" s="25"/>
    </row>
    <row r="317" spans="1:26" ht="13.5" customHeight="1">
      <c r="A317" s="777">
        <f t="shared" si="108"/>
        <v>132</v>
      </c>
      <c r="B317" s="298" t="s">
        <v>999</v>
      </c>
      <c r="C317" s="25">
        <f t="shared" si="95"/>
        <v>8898</v>
      </c>
      <c r="D317" s="778">
        <f t="shared" si="109"/>
        <v>1450.7172605275337</v>
      </c>
      <c r="E317" s="778">
        <f t="shared" si="104"/>
        <v>382.69088385006944</v>
      </c>
      <c r="F317" s="778">
        <f t="shared" si="109"/>
        <v>812.19412309116149</v>
      </c>
      <c r="G317" s="778">
        <f t="shared" si="109"/>
        <v>147.57982415548358</v>
      </c>
      <c r="H317" s="778">
        <f t="shared" si="109"/>
        <v>1407.527379299707</v>
      </c>
      <c r="I317" s="778">
        <f t="shared" si="109"/>
        <v>244.08799938300169</v>
      </c>
      <c r="J317" s="365"/>
      <c r="K317" s="25">
        <f t="shared" si="107"/>
        <v>13342.797470306958</v>
      </c>
      <c r="L317" s="778">
        <v>2</v>
      </c>
      <c r="M317" s="778">
        <f t="shared" si="96"/>
        <v>6671.3987351534788</v>
      </c>
      <c r="N317" s="678">
        <v>6510</v>
      </c>
      <c r="O317" s="678"/>
      <c r="P317" s="189" t="s">
        <v>387</v>
      </c>
      <c r="Q317" s="794">
        <v>40811</v>
      </c>
      <c r="R317" s="793"/>
      <c r="S317" s="306">
        <f>L317</f>
        <v>2</v>
      </c>
      <c r="T317" s="822">
        <f>4449</f>
        <v>4449</v>
      </c>
      <c r="U317" s="25">
        <f t="shared" si="73"/>
        <v>8898</v>
      </c>
      <c r="V317" s="456"/>
      <c r="W317" s="794"/>
      <c r="X317" s="822"/>
      <c r="Y317" s="822"/>
      <c r="Z317" s="25"/>
    </row>
    <row r="318" spans="1:26" ht="13.5" customHeight="1">
      <c r="A318" s="777">
        <f t="shared" si="108"/>
        <v>133</v>
      </c>
      <c r="B318" s="298" t="s">
        <v>1031</v>
      </c>
      <c r="C318" s="25">
        <f t="shared" si="95"/>
        <v>8898</v>
      </c>
      <c r="D318" s="778">
        <f t="shared" si="109"/>
        <v>1450.7172605275337</v>
      </c>
      <c r="E318" s="778">
        <f t="shared" si="104"/>
        <v>382.69088385006944</v>
      </c>
      <c r="F318" s="778">
        <f t="shared" si="109"/>
        <v>812.19412309116149</v>
      </c>
      <c r="G318" s="778">
        <f t="shared" si="109"/>
        <v>147.57982415548358</v>
      </c>
      <c r="H318" s="778">
        <f t="shared" si="109"/>
        <v>1407.527379299707</v>
      </c>
      <c r="I318" s="778">
        <f t="shared" si="109"/>
        <v>244.08799938300169</v>
      </c>
      <c r="J318" s="365"/>
      <c r="K318" s="25">
        <f t="shared" si="107"/>
        <v>13342.797470306958</v>
      </c>
      <c r="L318" s="778">
        <v>2</v>
      </c>
      <c r="M318" s="778">
        <f t="shared" si="96"/>
        <v>6671.3987351534788</v>
      </c>
      <c r="N318" s="678">
        <v>7229</v>
      </c>
      <c r="O318" s="678"/>
      <c r="P318" s="189" t="s">
        <v>387</v>
      </c>
      <c r="Q318" s="794">
        <v>40811</v>
      </c>
      <c r="R318" s="793"/>
      <c r="S318" s="306">
        <f>L318</f>
        <v>2</v>
      </c>
      <c r="T318" s="822">
        <f>4449</f>
        <v>4449</v>
      </c>
      <c r="U318" s="25">
        <f t="shared" si="73"/>
        <v>8898</v>
      </c>
      <c r="V318" s="456"/>
      <c r="W318" s="794"/>
      <c r="X318" s="822"/>
      <c r="Y318" s="822"/>
      <c r="Z318" s="25"/>
    </row>
    <row r="319" spans="1:26" ht="13.5" customHeight="1">
      <c r="A319" s="777">
        <f t="shared" si="108"/>
        <v>134</v>
      </c>
      <c r="B319" s="298" t="s">
        <v>755</v>
      </c>
      <c r="C319" s="25">
        <f t="shared" si="95"/>
        <v>40433</v>
      </c>
      <c r="D319" s="778">
        <f t="shared" si="109"/>
        <v>3626.7931513188341</v>
      </c>
      <c r="E319" s="778">
        <f t="shared" si="104"/>
        <v>956.7272096251736</v>
      </c>
      <c r="F319" s="778">
        <f t="shared" si="109"/>
        <v>2030.4853077279038</v>
      </c>
      <c r="G319" s="778">
        <f t="shared" si="109"/>
        <v>368.94956038870896</v>
      </c>
      <c r="H319" s="778">
        <f t="shared" si="109"/>
        <v>3518.8184482492675</v>
      </c>
      <c r="I319" s="778">
        <f t="shared" si="109"/>
        <v>610.21999845750418</v>
      </c>
      <c r="J319" s="365"/>
      <c r="K319" s="25">
        <f t="shared" si="107"/>
        <v>51544.9936757674</v>
      </c>
      <c r="L319" s="778">
        <v>5</v>
      </c>
      <c r="M319" s="778">
        <f t="shared" si="96"/>
        <v>10308.99873515348</v>
      </c>
      <c r="N319" s="678">
        <v>12109</v>
      </c>
      <c r="O319" s="678"/>
      <c r="P319" s="189" t="s">
        <v>488</v>
      </c>
      <c r="Q319" s="794">
        <v>40812</v>
      </c>
      <c r="R319" s="793"/>
      <c r="S319" s="306">
        <f>L319/2</f>
        <v>2.5</v>
      </c>
      <c r="T319" s="822">
        <v>16173</v>
      </c>
      <c r="U319" s="25">
        <f t="shared" si="73"/>
        <v>40433</v>
      </c>
      <c r="V319" s="456"/>
      <c r="W319" s="794"/>
      <c r="X319" s="822"/>
      <c r="Y319" s="822"/>
      <c r="Z319" s="25"/>
    </row>
    <row r="320" spans="1:26" ht="13.5" customHeight="1">
      <c r="A320" s="777">
        <f t="shared" si="108"/>
        <v>135</v>
      </c>
      <c r="B320" s="298" t="s">
        <v>1032</v>
      </c>
      <c r="C320" s="25">
        <f t="shared" si="95"/>
        <v>8152</v>
      </c>
      <c r="D320" s="778">
        <f t="shared" si="109"/>
        <v>725.35863026376683</v>
      </c>
      <c r="E320" s="778">
        <f t="shared" si="104"/>
        <v>191.34544192503472</v>
      </c>
      <c r="F320" s="778">
        <f t="shared" si="109"/>
        <v>406.09706154558074</v>
      </c>
      <c r="G320" s="778">
        <f t="shared" si="109"/>
        <v>73.789912077741789</v>
      </c>
      <c r="H320" s="778">
        <f t="shared" si="109"/>
        <v>703.76368964985352</v>
      </c>
      <c r="I320" s="778">
        <f t="shared" si="109"/>
        <v>122.04399969150084</v>
      </c>
      <c r="J320" s="365"/>
      <c r="K320" s="25">
        <f t="shared" si="107"/>
        <v>10374.398735153478</v>
      </c>
      <c r="L320" s="778">
        <v>1</v>
      </c>
      <c r="M320" s="778">
        <f t="shared" si="96"/>
        <v>10374.398735153478</v>
      </c>
      <c r="N320" s="678">
        <v>11245</v>
      </c>
      <c r="O320" s="678"/>
      <c r="P320" s="40" t="s">
        <v>601</v>
      </c>
      <c r="Q320" s="794">
        <v>40812</v>
      </c>
      <c r="R320" s="793"/>
      <c r="S320" s="306">
        <f>L320/2</f>
        <v>0.5</v>
      </c>
      <c r="T320" s="822">
        <v>16303</v>
      </c>
      <c r="U320" s="25">
        <f t="shared" si="73"/>
        <v>8152</v>
      </c>
      <c r="V320" s="456"/>
      <c r="W320" s="794"/>
      <c r="X320" s="822"/>
      <c r="Y320" s="822"/>
      <c r="Z320" s="25"/>
    </row>
    <row r="321" spans="1:26" ht="13.5" customHeight="1">
      <c r="A321" s="777">
        <f t="shared" si="108"/>
        <v>136</v>
      </c>
      <c r="B321" s="298" t="s">
        <v>1010</v>
      </c>
      <c r="C321" s="25">
        <f t="shared" si="95"/>
        <v>10603</v>
      </c>
      <c r="D321" s="778">
        <f t="shared" si="109"/>
        <v>725.35863026376683</v>
      </c>
      <c r="E321" s="778">
        <f t="shared" si="104"/>
        <v>191.34544192503472</v>
      </c>
      <c r="F321" s="778">
        <f t="shared" si="109"/>
        <v>406.09706154558074</v>
      </c>
      <c r="G321" s="778">
        <f t="shared" si="109"/>
        <v>73.789912077741789</v>
      </c>
      <c r="H321" s="778">
        <f t="shared" si="109"/>
        <v>703.76368964985352</v>
      </c>
      <c r="I321" s="778">
        <f t="shared" si="109"/>
        <v>122.04399969150084</v>
      </c>
      <c r="J321" s="365"/>
      <c r="K321" s="25">
        <f t="shared" si="107"/>
        <v>12825.398735153478</v>
      </c>
      <c r="L321" s="778">
        <v>1</v>
      </c>
      <c r="M321" s="778">
        <f t="shared" si="96"/>
        <v>12825.398735153478</v>
      </c>
      <c r="N321" s="678">
        <v>13027</v>
      </c>
      <c r="O321" s="678"/>
      <c r="P321" s="189" t="s">
        <v>519</v>
      </c>
      <c r="Q321" s="794">
        <v>40812</v>
      </c>
      <c r="R321" s="793"/>
      <c r="S321" s="306">
        <f>L321</f>
        <v>1</v>
      </c>
      <c r="T321" s="822">
        <v>10603</v>
      </c>
      <c r="U321" s="25">
        <f t="shared" si="73"/>
        <v>10603</v>
      </c>
      <c r="V321" s="456"/>
      <c r="W321" s="794"/>
      <c r="X321" s="822"/>
      <c r="Y321" s="822"/>
      <c r="Z321" s="25"/>
    </row>
    <row r="322" spans="1:26" ht="13.5" customHeight="1">
      <c r="A322" s="777">
        <f t="shared" si="108"/>
        <v>137</v>
      </c>
      <c r="B322" s="298" t="s">
        <v>1003</v>
      </c>
      <c r="C322" s="25">
        <f t="shared" si="95"/>
        <v>18078</v>
      </c>
      <c r="D322" s="778">
        <f t="shared" si="109"/>
        <v>2176.0758907913005</v>
      </c>
      <c r="E322" s="778">
        <f t="shared" si="104"/>
        <v>574.03632577510416</v>
      </c>
      <c r="F322" s="778">
        <f t="shared" si="109"/>
        <v>1218.2911846367422</v>
      </c>
      <c r="G322" s="778">
        <f t="shared" si="109"/>
        <v>221.36973623322535</v>
      </c>
      <c r="H322" s="778">
        <f t="shared" si="109"/>
        <v>2111.2910689495607</v>
      </c>
      <c r="I322" s="778">
        <f t="shared" si="109"/>
        <v>366.13199907450252</v>
      </c>
      <c r="J322" s="365"/>
      <c r="K322" s="25">
        <f t="shared" si="107"/>
        <v>24745.196205460437</v>
      </c>
      <c r="L322" s="778">
        <v>3</v>
      </c>
      <c r="M322" s="778">
        <f t="shared" si="96"/>
        <v>8248.3987351534797</v>
      </c>
      <c r="N322" s="678">
        <v>9960</v>
      </c>
      <c r="O322" s="678"/>
      <c r="P322" s="298" t="s">
        <v>479</v>
      </c>
      <c r="Q322" s="794">
        <v>40812</v>
      </c>
      <c r="R322" s="793"/>
      <c r="S322" s="306">
        <f t="shared" ref="S322:S323" si="110">L322</f>
        <v>3</v>
      </c>
      <c r="T322" s="822">
        <v>6026</v>
      </c>
      <c r="U322" s="25">
        <f t="shared" si="73"/>
        <v>18078</v>
      </c>
      <c r="V322" s="456"/>
      <c r="W322" s="794"/>
      <c r="X322" s="822"/>
      <c r="Y322" s="822"/>
      <c r="Z322" s="25"/>
    </row>
    <row r="323" spans="1:26" ht="13.5" customHeight="1">
      <c r="A323" s="777">
        <f t="shared" si="108"/>
        <v>138</v>
      </c>
      <c r="B323" s="298" t="s">
        <v>745</v>
      </c>
      <c r="C323" s="25">
        <f t="shared" si="95"/>
        <v>18078</v>
      </c>
      <c r="D323" s="778">
        <f t="shared" si="109"/>
        <v>2176.0758907913005</v>
      </c>
      <c r="E323" s="778">
        <f t="shared" si="104"/>
        <v>574.03632577510416</v>
      </c>
      <c r="F323" s="778">
        <f t="shared" si="109"/>
        <v>1218.2911846367422</v>
      </c>
      <c r="G323" s="778">
        <f t="shared" si="109"/>
        <v>221.36973623322535</v>
      </c>
      <c r="H323" s="778">
        <f t="shared" si="109"/>
        <v>2111.2910689495607</v>
      </c>
      <c r="I323" s="778">
        <f t="shared" si="109"/>
        <v>366.13199907450252</v>
      </c>
      <c r="J323" s="365"/>
      <c r="K323" s="25">
        <f t="shared" si="107"/>
        <v>24745.196205460437</v>
      </c>
      <c r="L323" s="778">
        <v>3</v>
      </c>
      <c r="M323" s="778">
        <f t="shared" si="96"/>
        <v>8248.3987351534797</v>
      </c>
      <c r="N323" s="678">
        <v>9202</v>
      </c>
      <c r="O323" s="678"/>
      <c r="P323" s="298" t="s">
        <v>479</v>
      </c>
      <c r="Q323" s="794">
        <v>40812</v>
      </c>
      <c r="R323" s="793"/>
      <c r="S323" s="306">
        <f t="shared" si="110"/>
        <v>3</v>
      </c>
      <c r="T323" s="822">
        <v>6026</v>
      </c>
      <c r="U323" s="25">
        <f t="shared" si="73"/>
        <v>18078</v>
      </c>
      <c r="V323" s="456"/>
      <c r="W323" s="794"/>
      <c r="X323" s="822"/>
      <c r="Y323" s="822"/>
      <c r="Z323" s="25"/>
    </row>
    <row r="324" spans="1:26" ht="13.5" customHeight="1">
      <c r="A324" s="777">
        <f t="shared" si="108"/>
        <v>139</v>
      </c>
      <c r="B324" s="298" t="s">
        <v>1033</v>
      </c>
      <c r="C324" s="25">
        <f t="shared" si="95"/>
        <v>4449</v>
      </c>
      <c r="D324" s="778">
        <f t="shared" si="109"/>
        <v>725.35863026376683</v>
      </c>
      <c r="E324" s="778">
        <f t="shared" si="104"/>
        <v>191.34544192503472</v>
      </c>
      <c r="F324" s="778">
        <f t="shared" si="109"/>
        <v>406.09706154558074</v>
      </c>
      <c r="G324" s="778">
        <f t="shared" si="109"/>
        <v>73.789912077741789</v>
      </c>
      <c r="H324" s="778">
        <f t="shared" si="109"/>
        <v>703.76368964985352</v>
      </c>
      <c r="I324" s="778">
        <f t="shared" si="109"/>
        <v>122.04399969150084</v>
      </c>
      <c r="J324" s="365"/>
      <c r="K324" s="25">
        <f t="shared" si="107"/>
        <v>6671.3987351534788</v>
      </c>
      <c r="L324" s="778">
        <v>1</v>
      </c>
      <c r="M324" s="778">
        <f t="shared" si="96"/>
        <v>6671.3987351534788</v>
      </c>
      <c r="N324" s="678">
        <v>7302</v>
      </c>
      <c r="O324" s="678"/>
      <c r="P324" s="189" t="s">
        <v>387</v>
      </c>
      <c r="Q324" s="794">
        <v>40812</v>
      </c>
      <c r="R324" s="793"/>
      <c r="S324" s="306">
        <f>L324</f>
        <v>1</v>
      </c>
      <c r="T324" s="822">
        <f>4449</f>
        <v>4449</v>
      </c>
      <c r="U324" s="25">
        <f t="shared" si="73"/>
        <v>4449</v>
      </c>
      <c r="V324" s="456"/>
      <c r="W324" s="794"/>
      <c r="X324" s="822"/>
      <c r="Y324" s="822"/>
      <c r="Z324" s="25"/>
    </row>
    <row r="325" spans="1:26" ht="13.5" customHeight="1">
      <c r="A325" s="777">
        <f t="shared" si="108"/>
        <v>140</v>
      </c>
      <c r="B325" s="298" t="s">
        <v>749</v>
      </c>
      <c r="C325" s="25">
        <f t="shared" si="95"/>
        <v>8087</v>
      </c>
      <c r="D325" s="778">
        <f t="shared" si="109"/>
        <v>725.35863026376683</v>
      </c>
      <c r="E325" s="778">
        <f t="shared" si="104"/>
        <v>191.34544192503472</v>
      </c>
      <c r="F325" s="778">
        <f t="shared" si="109"/>
        <v>406.09706154558074</v>
      </c>
      <c r="G325" s="778">
        <f t="shared" si="109"/>
        <v>73.789912077741789</v>
      </c>
      <c r="H325" s="778">
        <f t="shared" si="109"/>
        <v>703.76368964985352</v>
      </c>
      <c r="I325" s="778">
        <f t="shared" si="109"/>
        <v>122.04399969150084</v>
      </c>
      <c r="J325" s="365"/>
      <c r="K325" s="25">
        <f t="shared" si="107"/>
        <v>10309.398735153478</v>
      </c>
      <c r="L325" s="778">
        <v>1</v>
      </c>
      <c r="M325" s="778">
        <f t="shared" si="96"/>
        <v>10309.398735153478</v>
      </c>
      <c r="N325" s="678">
        <v>12495</v>
      </c>
      <c r="O325" s="678"/>
      <c r="P325" s="189" t="s">
        <v>488</v>
      </c>
      <c r="Q325" s="794">
        <v>40812</v>
      </c>
      <c r="R325" s="793"/>
      <c r="S325" s="306">
        <f>L325/2</f>
        <v>0.5</v>
      </c>
      <c r="T325" s="822">
        <v>16173</v>
      </c>
      <c r="U325" s="25">
        <f t="shared" si="73"/>
        <v>8087</v>
      </c>
      <c r="V325" s="456"/>
      <c r="W325" s="794"/>
      <c r="X325" s="822"/>
      <c r="Y325" s="822"/>
      <c r="Z325" s="25"/>
    </row>
    <row r="326" spans="1:26" ht="13.5" customHeight="1">
      <c r="A326" s="777">
        <f t="shared" si="108"/>
        <v>141</v>
      </c>
      <c r="B326" s="298" t="s">
        <v>758</v>
      </c>
      <c r="C326" s="25">
        <f t="shared" si="95"/>
        <v>22245</v>
      </c>
      <c r="D326" s="778">
        <f t="shared" si="109"/>
        <v>3626.7931513188341</v>
      </c>
      <c r="E326" s="778">
        <f t="shared" si="104"/>
        <v>956.7272096251736</v>
      </c>
      <c r="F326" s="778">
        <f t="shared" si="109"/>
        <v>2030.4853077279038</v>
      </c>
      <c r="G326" s="778">
        <f t="shared" si="109"/>
        <v>368.94956038870896</v>
      </c>
      <c r="H326" s="778">
        <f t="shared" si="109"/>
        <v>3518.8184482492675</v>
      </c>
      <c r="I326" s="778">
        <f t="shared" si="109"/>
        <v>610.21999845750418</v>
      </c>
      <c r="J326" s="365"/>
      <c r="K326" s="25">
        <f t="shared" si="107"/>
        <v>33356.993675767393</v>
      </c>
      <c r="L326" s="778">
        <v>5</v>
      </c>
      <c r="M326" s="778">
        <f t="shared" si="96"/>
        <v>6671.3987351534788</v>
      </c>
      <c r="N326" s="678">
        <v>7295</v>
      </c>
      <c r="O326" s="678"/>
      <c r="P326" s="189" t="s">
        <v>387</v>
      </c>
      <c r="Q326" s="794">
        <v>40812</v>
      </c>
      <c r="R326" s="793"/>
      <c r="S326" s="306">
        <f>L326</f>
        <v>5</v>
      </c>
      <c r="T326" s="822">
        <f>4449</f>
        <v>4449</v>
      </c>
      <c r="U326" s="25">
        <f t="shared" si="73"/>
        <v>22245</v>
      </c>
      <c r="V326" s="456"/>
      <c r="W326" s="794"/>
      <c r="X326" s="822"/>
      <c r="Y326" s="822"/>
      <c r="Z326" s="25"/>
    </row>
    <row r="327" spans="1:26" ht="13.5" customHeight="1">
      <c r="A327" s="777">
        <f t="shared" si="108"/>
        <v>142</v>
      </c>
      <c r="B327" s="298" t="s">
        <v>1034</v>
      </c>
      <c r="C327" s="25">
        <f t="shared" si="95"/>
        <v>3924480</v>
      </c>
      <c r="D327" s="778">
        <f t="shared" si="109"/>
        <v>275636.27950023138</v>
      </c>
      <c r="E327" s="778">
        <f t="shared" si="104"/>
        <v>72711.267931513197</v>
      </c>
      <c r="F327" s="778">
        <f t="shared" si="109"/>
        <v>154316.88338732067</v>
      </c>
      <c r="G327" s="778">
        <f t="shared" si="109"/>
        <v>28040.166589541881</v>
      </c>
      <c r="H327" s="778">
        <f t="shared" si="109"/>
        <v>267430.20206694433</v>
      </c>
      <c r="I327" s="778">
        <f t="shared" si="109"/>
        <v>46376.719882770318</v>
      </c>
      <c r="J327" s="365"/>
      <c r="K327" s="25">
        <f t="shared" si="107"/>
        <v>4768991.519358322</v>
      </c>
      <c r="L327" s="778">
        <v>380</v>
      </c>
      <c r="M327" s="778">
        <f t="shared" si="96"/>
        <v>12549.9776825219</v>
      </c>
      <c r="N327" s="678">
        <v>14892</v>
      </c>
      <c r="O327" s="678"/>
      <c r="P327" s="40" t="s">
        <v>620</v>
      </c>
      <c r="Q327" s="794">
        <v>40813</v>
      </c>
      <c r="R327" s="793"/>
      <c r="S327" s="306">
        <v>192</v>
      </c>
      <c r="T327" s="822">
        <v>20440</v>
      </c>
      <c r="U327" s="25">
        <f t="shared" si="73"/>
        <v>3924480</v>
      </c>
      <c r="V327" s="456"/>
      <c r="W327" s="794"/>
      <c r="X327" s="822"/>
      <c r="Y327" s="822"/>
      <c r="Z327" s="25"/>
    </row>
    <row r="328" spans="1:26" ht="13.5" customHeight="1">
      <c r="A328" s="777">
        <f t="shared" si="108"/>
        <v>143</v>
      </c>
      <c r="B328" s="298" t="s">
        <v>1035</v>
      </c>
      <c r="C328" s="25">
        <f t="shared" si="95"/>
        <v>1227438</v>
      </c>
      <c r="D328" s="778">
        <f t="shared" si="109"/>
        <v>90669.828782970857</v>
      </c>
      <c r="E328" s="778">
        <f t="shared" si="104"/>
        <v>23918.180240629339</v>
      </c>
      <c r="F328" s="778">
        <f t="shared" si="109"/>
        <v>50762.132693197593</v>
      </c>
      <c r="G328" s="778">
        <f t="shared" si="109"/>
        <v>9223.7390097177231</v>
      </c>
      <c r="H328" s="778">
        <f t="shared" si="109"/>
        <v>87970.461206231688</v>
      </c>
      <c r="I328" s="778">
        <f t="shared" si="109"/>
        <v>15255.499961437605</v>
      </c>
      <c r="J328" s="365"/>
      <c r="K328" s="25">
        <f t="shared" si="107"/>
        <v>1505237.8418941847</v>
      </c>
      <c r="L328" s="778">
        <v>125</v>
      </c>
      <c r="M328" s="778">
        <f t="shared" si="96"/>
        <v>12041.902735153477</v>
      </c>
      <c r="N328" s="678">
        <v>13169</v>
      </c>
      <c r="O328" s="678"/>
      <c r="P328" s="189" t="s">
        <v>582</v>
      </c>
      <c r="Q328" s="794">
        <v>40813</v>
      </c>
      <c r="R328" s="793"/>
      <c r="S328" s="306">
        <f t="shared" ref="S328" si="111">L328/2</f>
        <v>62.5</v>
      </c>
      <c r="T328" s="822">
        <v>19639</v>
      </c>
      <c r="U328" s="25">
        <f t="shared" si="73"/>
        <v>1227438</v>
      </c>
      <c r="V328" s="456"/>
      <c r="W328" s="794"/>
      <c r="X328" s="822"/>
      <c r="Y328" s="822"/>
      <c r="Z328" s="25"/>
    </row>
    <row r="329" spans="1:26" ht="13.5" customHeight="1">
      <c r="A329" s="777">
        <f t="shared" si="108"/>
        <v>144</v>
      </c>
      <c r="B329" s="298" t="s">
        <v>1036</v>
      </c>
      <c r="C329" s="25">
        <f t="shared" si="95"/>
        <v>6904800</v>
      </c>
      <c r="D329" s="778">
        <f t="shared" si="109"/>
        <v>417081.21240166592</v>
      </c>
      <c r="E329" s="778">
        <f t="shared" si="104"/>
        <v>110023.62910689496</v>
      </c>
      <c r="F329" s="778">
        <f t="shared" si="109"/>
        <v>233505.81038870892</v>
      </c>
      <c r="G329" s="778">
        <f t="shared" si="109"/>
        <v>42429.199444701531</v>
      </c>
      <c r="H329" s="778">
        <f t="shared" si="109"/>
        <v>404664.12154866575</v>
      </c>
      <c r="I329" s="778">
        <f t="shared" si="109"/>
        <v>70175.299822612986</v>
      </c>
      <c r="J329" s="365"/>
      <c r="K329" s="25">
        <f t="shared" si="107"/>
        <v>8182679.2727132495</v>
      </c>
      <c r="L329" s="778">
        <v>575</v>
      </c>
      <c r="M329" s="778">
        <f t="shared" si="96"/>
        <v>14230.746561240434</v>
      </c>
      <c r="N329" s="678">
        <v>17333</v>
      </c>
      <c r="O329" s="678"/>
      <c r="P329" s="40" t="s">
        <v>626</v>
      </c>
      <c r="Q329" s="794">
        <v>40813</v>
      </c>
      <c r="R329" s="793"/>
      <c r="S329" s="306">
        <v>288</v>
      </c>
      <c r="T329" s="822">
        <v>23975</v>
      </c>
      <c r="U329" s="25">
        <f t="shared" si="73"/>
        <v>6904800</v>
      </c>
      <c r="V329" s="456"/>
      <c r="W329" s="794"/>
      <c r="X329" s="822"/>
      <c r="Y329" s="822"/>
      <c r="Z329" s="25"/>
    </row>
    <row r="330" spans="1:26" ht="13.5" customHeight="1">
      <c r="A330" s="777">
        <f>IF(B330&lt;&gt;"",A329+1,"")</f>
        <v>145</v>
      </c>
      <c r="B330" s="298" t="s">
        <v>1036</v>
      </c>
      <c r="C330" s="25">
        <f t="shared" si="95"/>
        <v>7192500</v>
      </c>
      <c r="D330" s="778">
        <f t="shared" si="109"/>
        <v>435215.17815826007</v>
      </c>
      <c r="E330" s="778">
        <f t="shared" si="104"/>
        <v>114807.26515502084</v>
      </c>
      <c r="F330" s="778">
        <f t="shared" si="109"/>
        <v>243658.23692734845</v>
      </c>
      <c r="G330" s="778">
        <f t="shared" si="109"/>
        <v>44273.947246645075</v>
      </c>
      <c r="H330" s="778">
        <f t="shared" si="109"/>
        <v>422258.21378991212</v>
      </c>
      <c r="I330" s="778">
        <f t="shared" si="109"/>
        <v>73226.399814900506</v>
      </c>
      <c r="J330" s="365"/>
      <c r="K330" s="25">
        <f t="shared" si="107"/>
        <v>8525939.2410920858</v>
      </c>
      <c r="L330" s="778">
        <v>600</v>
      </c>
      <c r="M330" s="778">
        <f t="shared" si="96"/>
        <v>14209.898735153476</v>
      </c>
      <c r="N330" s="678">
        <v>17333</v>
      </c>
      <c r="O330" s="678"/>
      <c r="P330" s="40" t="s">
        <v>626</v>
      </c>
      <c r="Q330" s="794">
        <v>40813</v>
      </c>
      <c r="R330" s="793"/>
      <c r="S330" s="306">
        <f>L330/2</f>
        <v>300</v>
      </c>
      <c r="T330" s="822">
        <v>23975</v>
      </c>
      <c r="U330" s="25">
        <f t="shared" si="73"/>
        <v>7192500</v>
      </c>
      <c r="V330" s="456"/>
      <c r="W330" s="794"/>
      <c r="X330" s="822"/>
      <c r="Y330" s="822"/>
      <c r="Z330" s="25"/>
    </row>
    <row r="331" spans="1:26" ht="13.5" customHeight="1">
      <c r="A331" s="777">
        <f>IF(B331&lt;&gt;"",A330+1,"")</f>
        <v>146</v>
      </c>
      <c r="B331" s="298" t="s">
        <v>1035</v>
      </c>
      <c r="C331" s="25">
        <f t="shared" si="95"/>
        <v>1227437</v>
      </c>
      <c r="D331" s="778">
        <f t="shared" ref="D331:I337" si="112">IF($L$339&lt;&gt;0,D$339/$L$339*$L331,0)</f>
        <v>90669.828782970857</v>
      </c>
      <c r="E331" s="778">
        <f t="shared" si="104"/>
        <v>23918.180240629339</v>
      </c>
      <c r="F331" s="778">
        <f t="shared" si="112"/>
        <v>50762.132693197593</v>
      </c>
      <c r="G331" s="778">
        <f t="shared" si="112"/>
        <v>9223.7390097177231</v>
      </c>
      <c r="H331" s="778">
        <f t="shared" si="112"/>
        <v>87970.461206231688</v>
      </c>
      <c r="I331" s="778">
        <f t="shared" si="112"/>
        <v>15255.499961437605</v>
      </c>
      <c r="J331" s="365"/>
      <c r="K331" s="25">
        <f t="shared" si="107"/>
        <v>1505236.8418941847</v>
      </c>
      <c r="L331" s="778">
        <v>125</v>
      </c>
      <c r="M331" s="778">
        <f t="shared" si="96"/>
        <v>12041.894735153477</v>
      </c>
      <c r="N331" s="678">
        <v>13169</v>
      </c>
      <c r="O331" s="678"/>
      <c r="P331" s="189" t="s">
        <v>582</v>
      </c>
      <c r="Q331" s="794">
        <v>40813</v>
      </c>
      <c r="R331" s="793"/>
      <c r="S331" s="306">
        <f t="shared" ref="S331" si="113">L331/2</f>
        <v>62.5</v>
      </c>
      <c r="T331" s="822">
        <v>19638.991999999998</v>
      </c>
      <c r="U331" s="25">
        <f t="shared" si="73"/>
        <v>1227437</v>
      </c>
      <c r="V331" s="456"/>
      <c r="W331" s="794"/>
      <c r="X331" s="822"/>
      <c r="Y331" s="822"/>
      <c r="Z331" s="25"/>
    </row>
    <row r="332" spans="1:26" ht="13.5" customHeight="1">
      <c r="A332" s="777">
        <f t="shared" si="108"/>
        <v>147</v>
      </c>
      <c r="B332" s="298" t="s">
        <v>1037</v>
      </c>
      <c r="C332" s="25">
        <f t="shared" si="95"/>
        <v>1776600</v>
      </c>
      <c r="D332" s="778">
        <f t="shared" si="112"/>
        <v>108803.79453956502</v>
      </c>
      <c r="E332" s="778">
        <f t="shared" si="104"/>
        <v>28701.81628875521</v>
      </c>
      <c r="F332" s="778">
        <f t="shared" si="112"/>
        <v>60914.559231837113</v>
      </c>
      <c r="G332" s="778">
        <f t="shared" si="112"/>
        <v>11068.486811661269</v>
      </c>
      <c r="H332" s="778">
        <f t="shared" si="112"/>
        <v>105564.55344747803</v>
      </c>
      <c r="I332" s="778">
        <f t="shared" si="112"/>
        <v>18306.599953725126</v>
      </c>
      <c r="J332" s="365"/>
      <c r="K332" s="25">
        <f t="shared" si="107"/>
        <v>2109959.8102730215</v>
      </c>
      <c r="L332" s="778">
        <v>150</v>
      </c>
      <c r="M332" s="778">
        <f t="shared" si="96"/>
        <v>14066.398735153476</v>
      </c>
      <c r="N332" s="678">
        <v>15453</v>
      </c>
      <c r="O332" s="678"/>
      <c r="P332" s="40" t="s">
        <v>624</v>
      </c>
      <c r="Q332" s="794">
        <v>40813</v>
      </c>
      <c r="R332" s="793"/>
      <c r="S332" s="306">
        <f>L332/2</f>
        <v>75</v>
      </c>
      <c r="T332" s="822">
        <v>23688</v>
      </c>
      <c r="U332" s="25">
        <f t="shared" si="73"/>
        <v>1776600</v>
      </c>
      <c r="V332" s="456"/>
      <c r="W332" s="794"/>
      <c r="X332" s="822"/>
      <c r="Y332" s="822"/>
      <c r="Z332" s="25"/>
    </row>
    <row r="333" spans="1:26" ht="13.5" customHeight="1">
      <c r="A333" s="777">
        <f t="shared" si="108"/>
        <v>148</v>
      </c>
      <c r="B333" s="298" t="s">
        <v>1038</v>
      </c>
      <c r="C333" s="25">
        <f t="shared" si="95"/>
        <v>690525</v>
      </c>
      <c r="D333" s="778">
        <f t="shared" si="112"/>
        <v>65282.276723739014</v>
      </c>
      <c r="E333" s="778">
        <f t="shared" si="104"/>
        <v>17221.089773253123</v>
      </c>
      <c r="F333" s="778">
        <f t="shared" si="112"/>
        <v>36548.735539102265</v>
      </c>
      <c r="G333" s="778">
        <f t="shared" si="112"/>
        <v>6641.0920869967613</v>
      </c>
      <c r="H333" s="778">
        <f t="shared" si="112"/>
        <v>63338.732068486817</v>
      </c>
      <c r="I333" s="778">
        <f t="shared" si="112"/>
        <v>10983.959972235076</v>
      </c>
      <c r="J333" s="365"/>
      <c r="K333" s="25">
        <f t="shared" si="107"/>
        <v>890540.88616381295</v>
      </c>
      <c r="L333" s="778">
        <v>90</v>
      </c>
      <c r="M333" s="778">
        <f t="shared" si="96"/>
        <v>9894.8987351534779</v>
      </c>
      <c r="N333" s="678">
        <v>11613</v>
      </c>
      <c r="O333" s="678"/>
      <c r="P333" s="189" t="s">
        <v>555</v>
      </c>
      <c r="Q333" s="794">
        <v>40813</v>
      </c>
      <c r="R333" s="793"/>
      <c r="S333" s="306">
        <f t="shared" ref="S333" si="114">L333/2</f>
        <v>45</v>
      </c>
      <c r="T333" s="822">
        <v>15345</v>
      </c>
      <c r="U333" s="25">
        <f t="shared" si="73"/>
        <v>690525</v>
      </c>
      <c r="V333" s="456"/>
      <c r="W333" s="794"/>
      <c r="X333" s="822"/>
      <c r="Y333" s="822"/>
      <c r="Z333" s="25"/>
    </row>
    <row r="334" spans="1:26" ht="13.5" customHeight="1">
      <c r="A334" s="777">
        <f t="shared" si="108"/>
        <v>149</v>
      </c>
      <c r="B334" s="298" t="s">
        <v>1038</v>
      </c>
      <c r="C334" s="25">
        <f t="shared" si="95"/>
        <v>1678700</v>
      </c>
      <c r="D334" s="778">
        <f t="shared" si="112"/>
        <v>145071.72605275337</v>
      </c>
      <c r="E334" s="778">
        <f t="shared" si="104"/>
        <v>38269.088385006944</v>
      </c>
      <c r="F334" s="778">
        <f t="shared" si="112"/>
        <v>81219.412309116145</v>
      </c>
      <c r="G334" s="778">
        <f t="shared" si="112"/>
        <v>14757.982415548358</v>
      </c>
      <c r="H334" s="778">
        <f t="shared" si="112"/>
        <v>140752.7379299707</v>
      </c>
      <c r="I334" s="778">
        <f t="shared" si="112"/>
        <v>24408.79993830017</v>
      </c>
      <c r="J334" s="365"/>
      <c r="K334" s="25">
        <f t="shared" si="107"/>
        <v>2123179.7470306954</v>
      </c>
      <c r="L334" s="778">
        <v>200</v>
      </c>
      <c r="M334" s="778">
        <f t="shared" si="96"/>
        <v>10615.898735153478</v>
      </c>
      <c r="N334" s="678">
        <v>11613</v>
      </c>
      <c r="O334" s="678"/>
      <c r="P334" s="189" t="s">
        <v>581</v>
      </c>
      <c r="Q334" s="794">
        <v>40813</v>
      </c>
      <c r="R334" s="793"/>
      <c r="S334" s="306">
        <v>100</v>
      </c>
      <c r="T334" s="822">
        <v>16787</v>
      </c>
      <c r="U334" s="25">
        <f t="shared" si="73"/>
        <v>1678700</v>
      </c>
      <c r="V334" s="456"/>
      <c r="W334" s="794"/>
      <c r="X334" s="822"/>
      <c r="Y334" s="822"/>
      <c r="Z334" s="25"/>
    </row>
    <row r="335" spans="1:26" ht="13.5" customHeight="1">
      <c r="A335" s="777">
        <f t="shared" si="108"/>
        <v>150</v>
      </c>
      <c r="B335" s="298" t="s">
        <v>1039</v>
      </c>
      <c r="C335" s="25">
        <f t="shared" si="95"/>
        <v>662860</v>
      </c>
      <c r="D335" s="778">
        <f t="shared" si="112"/>
        <v>79789.449329014344</v>
      </c>
      <c r="E335" s="778">
        <f t="shared" si="104"/>
        <v>21047.998611753821</v>
      </c>
      <c r="F335" s="778">
        <f t="shared" si="112"/>
        <v>44670.676770013881</v>
      </c>
      <c r="G335" s="778">
        <f t="shared" si="112"/>
        <v>8116.8903285515971</v>
      </c>
      <c r="H335" s="778">
        <f t="shared" si="112"/>
        <v>77414.005861483893</v>
      </c>
      <c r="I335" s="778">
        <f t="shared" si="112"/>
        <v>13424.839966065092</v>
      </c>
      <c r="J335" s="365"/>
      <c r="K335" s="25">
        <f t="shared" si="107"/>
        <v>907323.86086688272</v>
      </c>
      <c r="L335" s="778">
        <v>110</v>
      </c>
      <c r="M335" s="778">
        <f t="shared" si="96"/>
        <v>8248.3987351534797</v>
      </c>
      <c r="N335" s="678">
        <v>10580</v>
      </c>
      <c r="O335" s="678"/>
      <c r="P335" s="298" t="s">
        <v>479</v>
      </c>
      <c r="Q335" s="794">
        <v>40813</v>
      </c>
      <c r="R335" s="793"/>
      <c r="S335" s="306">
        <f>L335</f>
        <v>110</v>
      </c>
      <c r="T335" s="822">
        <v>6026</v>
      </c>
      <c r="U335" s="25">
        <f t="shared" si="73"/>
        <v>662860</v>
      </c>
      <c r="V335" s="456"/>
      <c r="W335" s="794"/>
      <c r="X335" s="822"/>
      <c r="Y335" s="822"/>
      <c r="Z335" s="25"/>
    </row>
    <row r="336" spans="1:26" ht="13.5" customHeight="1">
      <c r="A336" s="777">
        <f t="shared" si="108"/>
        <v>151</v>
      </c>
      <c r="B336" s="298" t="s">
        <v>1037</v>
      </c>
      <c r="C336" s="25">
        <f t="shared" si="95"/>
        <v>3579996</v>
      </c>
      <c r="D336" s="778">
        <f t="shared" si="112"/>
        <v>199473.62332253589</v>
      </c>
      <c r="E336" s="778">
        <f t="shared" si="104"/>
        <v>52619.996529384545</v>
      </c>
      <c r="F336" s="778">
        <f t="shared" si="112"/>
        <v>111676.6919250347</v>
      </c>
      <c r="G336" s="778">
        <f t="shared" si="112"/>
        <v>20292.225821378994</v>
      </c>
      <c r="H336" s="778">
        <f t="shared" si="112"/>
        <v>193535.01465370972</v>
      </c>
      <c r="I336" s="778">
        <f t="shared" si="112"/>
        <v>33562.099915162733</v>
      </c>
      <c r="J336" s="365"/>
      <c r="K336" s="25">
        <f t="shared" si="107"/>
        <v>4191155.6521672066</v>
      </c>
      <c r="L336" s="778">
        <v>275</v>
      </c>
      <c r="M336" s="778">
        <f t="shared" si="96"/>
        <v>15240.56600788075</v>
      </c>
      <c r="N336" s="678">
        <v>15453</v>
      </c>
      <c r="O336" s="678"/>
      <c r="P336" s="40" t="s">
        <v>597</v>
      </c>
      <c r="Q336" s="794">
        <v>40813</v>
      </c>
      <c r="R336" s="793"/>
      <c r="S336" s="306">
        <v>138</v>
      </c>
      <c r="T336" s="822">
        <v>25942</v>
      </c>
      <c r="U336" s="25">
        <f t="shared" si="73"/>
        <v>3579996</v>
      </c>
      <c r="V336" s="456"/>
      <c r="W336" s="794"/>
      <c r="X336" s="822"/>
      <c r="Y336" s="822"/>
      <c r="Z336" s="25"/>
    </row>
    <row r="337" spans="1:26" ht="13.5" customHeight="1">
      <c r="A337" s="777">
        <f t="shared" si="108"/>
        <v>152</v>
      </c>
      <c r="B337" s="298" t="s">
        <v>1037</v>
      </c>
      <c r="C337" s="25">
        <f t="shared" si="95"/>
        <v>2258370</v>
      </c>
      <c r="D337" s="778">
        <f t="shared" si="112"/>
        <v>166832.48496066636</v>
      </c>
      <c r="E337" s="778">
        <f t="shared" si="104"/>
        <v>44009.451642757987</v>
      </c>
      <c r="F337" s="778">
        <f t="shared" si="112"/>
        <v>93402.324155483569</v>
      </c>
      <c r="G337" s="778">
        <f t="shared" si="112"/>
        <v>16971.67977788061</v>
      </c>
      <c r="H337" s="778">
        <f t="shared" si="112"/>
        <v>161865.64861946632</v>
      </c>
      <c r="I337" s="778">
        <f t="shared" si="112"/>
        <v>28070.119929045195</v>
      </c>
      <c r="J337" s="365"/>
      <c r="K337" s="25">
        <f t="shared" si="107"/>
        <v>2769521.7090853001</v>
      </c>
      <c r="L337" s="778">
        <v>230</v>
      </c>
      <c r="M337" s="778">
        <f t="shared" si="96"/>
        <v>12041.398735153478</v>
      </c>
      <c r="N337" s="678">
        <v>13169</v>
      </c>
      <c r="O337" s="678"/>
      <c r="P337" s="189" t="s">
        <v>542</v>
      </c>
      <c r="Q337" s="794">
        <v>40813</v>
      </c>
      <c r="R337" s="793"/>
      <c r="S337" s="306">
        <f t="shared" ref="S337" si="115">L337/2</f>
        <v>115</v>
      </c>
      <c r="T337" s="822">
        <v>19638</v>
      </c>
      <c r="U337" s="25">
        <f t="shared" si="73"/>
        <v>2258370</v>
      </c>
      <c r="V337" s="456"/>
      <c r="W337" s="794"/>
      <c r="X337" s="822"/>
      <c r="Y337" s="822"/>
      <c r="Z337" s="25"/>
    </row>
    <row r="338" spans="1:26" s="795" customFormat="1" ht="13.5" customHeight="1">
      <c r="A338" s="777" t="str">
        <f>IF(B338&lt;&gt;"",#REF!+1,"")</f>
        <v/>
      </c>
      <c r="B338" s="807"/>
      <c r="C338" s="25"/>
      <c r="D338" s="778"/>
      <c r="E338" s="778"/>
      <c r="F338" s="778"/>
      <c r="G338" s="778"/>
      <c r="H338" s="778"/>
      <c r="I338" s="778"/>
      <c r="J338" s="365"/>
      <c r="K338" s="25"/>
      <c r="L338" s="258"/>
      <c r="M338" s="778"/>
      <c r="N338" s="678"/>
      <c r="O338" s="678"/>
      <c r="P338" s="456"/>
      <c r="Q338" s="794"/>
      <c r="R338" s="793"/>
      <c r="S338" s="306"/>
      <c r="T338" s="822"/>
      <c r="U338" s="25">
        <f t="shared" si="73"/>
        <v>0</v>
      </c>
      <c r="V338" s="456"/>
      <c r="W338" s="794"/>
      <c r="X338" s="822"/>
      <c r="Y338" s="822"/>
      <c r="Z338" s="25">
        <f t="shared" si="68"/>
        <v>0</v>
      </c>
    </row>
    <row r="339" spans="1:26" s="774" customFormat="1" ht="13.5" customHeight="1">
      <c r="A339" s="779"/>
      <c r="B339" s="780" t="s">
        <v>243</v>
      </c>
      <c r="C339" s="546">
        <f>SUM(C185:C338)</f>
        <v>206807315</v>
      </c>
      <c r="D339" s="546">
        <v>18810000</v>
      </c>
      <c r="E339" s="546">
        <f>$Z$339</f>
        <v>4961970</v>
      </c>
      <c r="F339" s="546">
        <v>10530909</v>
      </c>
      <c r="G339" s="546">
        <v>1913520</v>
      </c>
      <c r="H339" s="546">
        <v>18250000</v>
      </c>
      <c r="I339" s="546">
        <v>3164845</v>
      </c>
      <c r="J339" s="457">
        <f>ROUND(SUM(J185:J338),0)</f>
        <v>0</v>
      </c>
      <c r="K339" s="546">
        <f>ROUND(SUM(K185:K338),0)</f>
        <v>264438569</v>
      </c>
      <c r="L339" s="546">
        <f>ROUND(SUM(L185:L338),0)</f>
        <v>25932</v>
      </c>
      <c r="M339" s="546"/>
      <c r="N339" s="788"/>
      <c r="O339" s="788"/>
      <c r="P339" s="796"/>
      <c r="Q339" s="797"/>
      <c r="R339" s="798"/>
      <c r="S339" s="846"/>
      <c r="T339" s="27"/>
      <c r="U339" s="47">
        <f>SUM(U185:U338)</f>
        <v>206807315</v>
      </c>
      <c r="V339" s="796"/>
      <c r="W339" s="797"/>
      <c r="X339" s="810"/>
      <c r="Y339" s="27"/>
      <c r="Z339" s="47">
        <f>SUM(Z185:Z338)</f>
        <v>4961970</v>
      </c>
    </row>
    <row r="340" spans="1:26" s="774" customFormat="1">
      <c r="A340" s="781"/>
      <c r="B340" s="782"/>
      <c r="C340" s="775"/>
      <c r="D340" s="775"/>
      <c r="E340" s="775"/>
      <c r="F340" s="775"/>
      <c r="G340" s="775"/>
      <c r="H340" s="775"/>
      <c r="I340" s="775"/>
      <c r="J340" s="458"/>
      <c r="K340" s="775"/>
      <c r="L340" s="775"/>
      <c r="M340" s="775"/>
      <c r="N340" s="788"/>
      <c r="O340" s="788"/>
      <c r="P340" s="294"/>
      <c r="Q340" s="767"/>
      <c r="R340" s="787"/>
      <c r="S340" s="840"/>
      <c r="T340" s="294"/>
      <c r="U340" s="773"/>
      <c r="V340" s="294"/>
      <c r="W340" s="767"/>
      <c r="X340" s="294"/>
      <c r="Y340" s="294"/>
      <c r="Z340" s="773"/>
    </row>
    <row r="341" spans="1:26" ht="18" customHeight="1">
      <c r="A341" s="584" t="str">
        <f>TH!$A$1</f>
        <v>Đơn vị: CÔNG TY TNHH SX TM KIM DUNG PHÁT</v>
      </c>
      <c r="B341" s="774"/>
      <c r="C341" s="294"/>
      <c r="D341" s="294"/>
      <c r="E341" s="294"/>
      <c r="F341" s="294"/>
      <c r="G341" s="294"/>
      <c r="H341" s="294"/>
      <c r="I341" s="294"/>
      <c r="J341" s="444"/>
      <c r="K341" s="294"/>
      <c r="L341" s="612"/>
      <c r="M341" s="294"/>
      <c r="N341" s="788"/>
      <c r="O341" s="788"/>
      <c r="P341" s="294"/>
      <c r="Q341" s="767"/>
      <c r="V341" s="294"/>
      <c r="W341" s="767"/>
    </row>
    <row r="342" spans="1:26" ht="18.75" customHeight="1">
      <c r="A342" s="775" t="s">
        <v>774</v>
      </c>
      <c r="B342" s="775"/>
      <c r="C342" s="775"/>
      <c r="D342" s="775"/>
      <c r="E342" s="775"/>
      <c r="F342" s="775"/>
      <c r="G342" s="775"/>
      <c r="H342" s="775"/>
      <c r="I342" s="775"/>
      <c r="J342" s="445"/>
      <c r="K342" s="775"/>
      <c r="L342" s="775"/>
      <c r="M342" s="775"/>
      <c r="N342" s="788"/>
      <c r="O342" s="788"/>
      <c r="P342" s="294"/>
      <c r="Q342" s="767"/>
      <c r="V342" s="294"/>
      <c r="W342" s="767"/>
    </row>
    <row r="343" spans="1:26" ht="18.75" hidden="1" customHeight="1">
      <c r="A343" s="775"/>
      <c r="B343" s="776"/>
      <c r="C343" s="776"/>
      <c r="D343" s="776"/>
      <c r="E343" s="776"/>
      <c r="F343" s="776"/>
      <c r="G343" s="776"/>
      <c r="H343" s="776"/>
      <c r="I343" s="775"/>
      <c r="J343" s="446"/>
      <c r="K343" s="776"/>
      <c r="L343" s="789"/>
      <c r="M343" s="776"/>
      <c r="N343" s="788"/>
      <c r="O343" s="788"/>
      <c r="P343" s="294"/>
      <c r="Q343" s="767"/>
      <c r="V343" s="294"/>
      <c r="W343" s="767"/>
    </row>
    <row r="344" spans="1:26" ht="12.75" customHeight="1">
      <c r="A344" s="826"/>
      <c r="B344" s="819"/>
      <c r="C344" s="819"/>
      <c r="D344" s="819"/>
      <c r="E344" s="819"/>
      <c r="F344" s="819"/>
      <c r="G344" s="819"/>
      <c r="H344" s="819"/>
      <c r="I344" s="819"/>
      <c r="J344" s="447"/>
      <c r="K344" s="819"/>
      <c r="L344" s="790"/>
      <c r="M344" s="819"/>
      <c r="N344" s="788"/>
      <c r="O344" s="788"/>
      <c r="P344" s="294"/>
      <c r="Q344" s="767"/>
      <c r="V344" s="294"/>
      <c r="W344" s="767"/>
    </row>
    <row r="345" spans="1:26" s="453" customFormat="1" ht="30.75" customHeight="1">
      <c r="A345" s="851" t="s">
        <v>34</v>
      </c>
      <c r="B345" s="448" t="s">
        <v>232</v>
      </c>
      <c r="C345" s="449" t="s">
        <v>235</v>
      </c>
      <c r="D345" s="449" t="s">
        <v>786</v>
      </c>
      <c r="E345" s="449" t="s">
        <v>236</v>
      </c>
      <c r="F345" s="449" t="s">
        <v>771</v>
      </c>
      <c r="G345" s="449" t="s">
        <v>237</v>
      </c>
      <c r="H345" s="450" t="s">
        <v>238</v>
      </c>
      <c r="I345" s="449" t="s">
        <v>770</v>
      </c>
      <c r="J345" s="450" t="s">
        <v>239</v>
      </c>
      <c r="K345" s="449" t="s">
        <v>240</v>
      </c>
      <c r="L345" s="451" t="s">
        <v>233</v>
      </c>
      <c r="M345" s="449" t="s">
        <v>241</v>
      </c>
      <c r="N345" s="452"/>
      <c r="O345" s="452"/>
      <c r="P345" s="448" t="s">
        <v>232</v>
      </c>
      <c r="Q345" s="449" t="s">
        <v>226</v>
      </c>
      <c r="R345" s="768"/>
      <c r="S345" s="841" t="s">
        <v>191</v>
      </c>
      <c r="T345" s="449" t="s">
        <v>234</v>
      </c>
      <c r="U345" s="449" t="s">
        <v>242</v>
      </c>
      <c r="V345" s="448" t="s">
        <v>232</v>
      </c>
      <c r="W345" s="449" t="s">
        <v>226</v>
      </c>
      <c r="X345" s="449" t="s">
        <v>191</v>
      </c>
      <c r="Y345" s="449" t="s">
        <v>234</v>
      </c>
      <c r="Z345" s="448" t="s">
        <v>242</v>
      </c>
    </row>
    <row r="346" spans="1:26" ht="16.5" customHeight="1">
      <c r="A346" s="777">
        <v>1</v>
      </c>
      <c r="B346" s="298" t="s">
        <v>1234</v>
      </c>
      <c r="C346" s="25">
        <f>U346</f>
        <v>22794000</v>
      </c>
      <c r="D346" s="778">
        <f t="shared" ref="D346:J361" si="116">IF($L$588&lt;&gt;0,D$588/$L$588*$L346,0)</f>
        <v>951901.33156419208</v>
      </c>
      <c r="E346" s="778">
        <f t="shared" si="116"/>
        <v>301211.71913454746</v>
      </c>
      <c r="F346" s="778">
        <f t="shared" si="116"/>
        <v>649448.92674470867</v>
      </c>
      <c r="G346" s="778">
        <f t="shared" si="116"/>
        <v>51910.338776296361</v>
      </c>
      <c r="H346" s="778">
        <f t="shared" si="116"/>
        <v>945170.88621139817</v>
      </c>
      <c r="I346" s="778">
        <f t="shared" si="116"/>
        <v>242746.6073148287</v>
      </c>
      <c r="J346" s="365">
        <f t="shared" si="116"/>
        <v>0</v>
      </c>
      <c r="K346" s="25">
        <f>SUM(C346:I346)</f>
        <v>25936389.809745971</v>
      </c>
      <c r="L346" s="778">
        <v>2420</v>
      </c>
      <c r="M346" s="778">
        <f>IF(L346&lt;&gt;"",K346/L346,"")</f>
        <v>10717.516450308252</v>
      </c>
      <c r="N346" s="678">
        <v>17447.77438016529</v>
      </c>
      <c r="O346" s="678"/>
      <c r="P346" s="40" t="s">
        <v>652</v>
      </c>
      <c r="Q346" s="792">
        <v>40821</v>
      </c>
      <c r="R346" s="793"/>
      <c r="S346" s="306">
        <v>1200</v>
      </c>
      <c r="T346" s="812">
        <v>18995</v>
      </c>
      <c r="U346" s="25">
        <f t="shared" ref="U346:U587" si="117">ROUND(S346*T346,0)</f>
        <v>22794000</v>
      </c>
      <c r="V346" s="454" t="s">
        <v>388</v>
      </c>
      <c r="W346" s="792">
        <v>40817</v>
      </c>
      <c r="X346" s="822">
        <v>50</v>
      </c>
      <c r="Y346" s="812">
        <v>25000</v>
      </c>
      <c r="Z346" s="25">
        <f t="shared" ref="Z346:Z587" si="118">ROUND(X346*Y346,0)</f>
        <v>1250000</v>
      </c>
    </row>
    <row r="347" spans="1:26" ht="16.5" customHeight="1">
      <c r="A347" s="777">
        <f t="shared" ref="A347:A410" si="119">IF(B347&lt;&gt;"",A346+1,"")</f>
        <v>2</v>
      </c>
      <c r="B347" s="298" t="s">
        <v>1236</v>
      </c>
      <c r="C347" s="25">
        <f t="shared" ref="C347:C410" si="120">U347</f>
        <v>28272900</v>
      </c>
      <c r="D347" s="778">
        <f t="shared" si="116"/>
        <v>1162013.5310317159</v>
      </c>
      <c r="E347" s="778">
        <f t="shared" si="116"/>
        <v>367697.87133769307</v>
      </c>
      <c r="F347" s="778">
        <f t="shared" si="116"/>
        <v>792801.118737048</v>
      </c>
      <c r="G347" s="778">
        <f t="shared" si="116"/>
        <v>63368.454332736677</v>
      </c>
      <c r="H347" s="778">
        <f t="shared" si="116"/>
        <v>1153797.4814155602</v>
      </c>
      <c r="I347" s="778">
        <f t="shared" si="116"/>
        <v>296327.81566589454</v>
      </c>
      <c r="J347" s="365">
        <f t="shared" si="116"/>
        <v>0</v>
      </c>
      <c r="K347" s="25">
        <f t="shared" ref="K347:K410" si="121">SUM(C347:I347)-1</f>
        <v>32108905.272520646</v>
      </c>
      <c r="L347" s="778">
        <v>2954.1641048824595</v>
      </c>
      <c r="M347" s="778">
        <f t="shared" ref="M347" si="122">IF(L347&lt;&gt;"",K347/L347,"")</f>
        <v>10869.032366703337</v>
      </c>
      <c r="N347" s="678">
        <v>19908</v>
      </c>
      <c r="O347" s="678"/>
      <c r="P347" s="40" t="s">
        <v>648</v>
      </c>
      <c r="Q347" s="792">
        <v>40831</v>
      </c>
      <c r="R347" s="793"/>
      <c r="S347" s="306">
        <v>1460</v>
      </c>
      <c r="T347" s="821">
        <v>19365</v>
      </c>
      <c r="U347" s="25">
        <f t="shared" si="117"/>
        <v>28272900</v>
      </c>
      <c r="V347" s="454" t="s">
        <v>388</v>
      </c>
      <c r="W347" s="792">
        <v>40847</v>
      </c>
      <c r="X347" s="822">
        <v>50</v>
      </c>
      <c r="Y347" s="821">
        <v>25000</v>
      </c>
      <c r="Z347" s="25">
        <f t="shared" si="118"/>
        <v>1250000</v>
      </c>
    </row>
    <row r="348" spans="1:26" ht="16.5" customHeight="1">
      <c r="A348" s="777">
        <f t="shared" si="119"/>
        <v>3</v>
      </c>
      <c r="B348" s="298" t="s">
        <v>1255</v>
      </c>
      <c r="C348" s="25">
        <f t="shared" si="120"/>
        <v>1283249</v>
      </c>
      <c r="D348" s="778">
        <f t="shared" si="116"/>
        <v>47201.718920538449</v>
      </c>
      <c r="E348" s="778">
        <f t="shared" si="116"/>
        <v>14936.118304192438</v>
      </c>
      <c r="F348" s="778">
        <f t="shared" si="116"/>
        <v>32204.079012134313</v>
      </c>
      <c r="G348" s="778">
        <f t="shared" si="116"/>
        <v>2574.0663856014726</v>
      </c>
      <c r="H348" s="778">
        <f t="shared" si="116"/>
        <v>46867.97782866437</v>
      </c>
      <c r="I348" s="778">
        <f t="shared" si="116"/>
        <v>12037.021850322084</v>
      </c>
      <c r="J348" s="365">
        <f t="shared" si="116"/>
        <v>0</v>
      </c>
      <c r="K348" s="25">
        <f t="shared" si="121"/>
        <v>1439068.9823014531</v>
      </c>
      <c r="L348" s="778">
        <v>120</v>
      </c>
      <c r="M348" s="778">
        <f t="shared" ref="M348:M411" si="123">IF(L348&lt;&gt;"",K348/L348,"")</f>
        <v>11992.241519178777</v>
      </c>
      <c r="N348" s="678">
        <v>20820</v>
      </c>
      <c r="O348" s="678"/>
      <c r="P348" s="189" t="s">
        <v>563</v>
      </c>
      <c r="Q348" s="792">
        <v>40833</v>
      </c>
      <c r="R348" s="793"/>
      <c r="S348" s="306">
        <v>43</v>
      </c>
      <c r="T348" s="821">
        <v>29843</v>
      </c>
      <c r="U348" s="25">
        <f t="shared" ref="U348:U411" si="124">ROUND(S348*T348,0)</f>
        <v>1283249</v>
      </c>
      <c r="V348" s="456" t="s">
        <v>475</v>
      </c>
      <c r="W348" s="792">
        <v>40817</v>
      </c>
      <c r="X348" s="821">
        <v>1</v>
      </c>
      <c r="Y348" s="821">
        <v>1300000</v>
      </c>
      <c r="Z348" s="25">
        <f t="shared" ref="Z348:Z411" si="125">ROUND(X348*Y348,0)</f>
        <v>1300000</v>
      </c>
    </row>
    <row r="349" spans="1:26" ht="16.5" customHeight="1">
      <c r="A349" s="777">
        <f t="shared" si="119"/>
        <v>4</v>
      </c>
      <c r="B349" s="298" t="s">
        <v>1254</v>
      </c>
      <c r="C349" s="25">
        <f t="shared" si="120"/>
        <v>955600</v>
      </c>
      <c r="D349" s="778">
        <f t="shared" si="116"/>
        <v>39334.765767115372</v>
      </c>
      <c r="E349" s="778">
        <f t="shared" si="116"/>
        <v>12446.765253493697</v>
      </c>
      <c r="F349" s="778">
        <f t="shared" si="116"/>
        <v>26836.732510111928</v>
      </c>
      <c r="G349" s="778">
        <f t="shared" si="116"/>
        <v>2145.0553213345602</v>
      </c>
      <c r="H349" s="778">
        <f t="shared" si="116"/>
        <v>39056.648190553642</v>
      </c>
      <c r="I349" s="778">
        <f t="shared" si="116"/>
        <v>10030.85154193507</v>
      </c>
      <c r="J349" s="365">
        <f t="shared" si="116"/>
        <v>0</v>
      </c>
      <c r="K349" s="25">
        <f t="shared" si="121"/>
        <v>1085449.8185845441</v>
      </c>
      <c r="L349" s="778">
        <v>100</v>
      </c>
      <c r="M349" s="778">
        <f t="shared" si="123"/>
        <v>10854.498185845441</v>
      </c>
      <c r="N349" s="678">
        <v>14880</v>
      </c>
      <c r="O349" s="678"/>
      <c r="P349" s="189" t="s">
        <v>484</v>
      </c>
      <c r="Q349" s="792">
        <v>40833</v>
      </c>
      <c r="R349" s="793"/>
      <c r="S349" s="306">
        <v>50</v>
      </c>
      <c r="T349" s="821">
        <v>19112</v>
      </c>
      <c r="U349" s="25">
        <f t="shared" si="124"/>
        <v>955600</v>
      </c>
      <c r="V349" s="456" t="s">
        <v>340</v>
      </c>
      <c r="W349" s="792">
        <v>40822</v>
      </c>
      <c r="X349" s="772">
        <v>48</v>
      </c>
      <c r="Y349" s="256">
        <v>42000</v>
      </c>
      <c r="Z349" s="25">
        <f t="shared" si="125"/>
        <v>2016000</v>
      </c>
    </row>
    <row r="350" spans="1:26" ht="16.5" customHeight="1">
      <c r="A350" s="777">
        <f t="shared" si="119"/>
        <v>5</v>
      </c>
      <c r="B350" s="298" t="s">
        <v>1256</v>
      </c>
      <c r="C350" s="25">
        <f t="shared" si="120"/>
        <v>3164980</v>
      </c>
      <c r="D350" s="778">
        <f t="shared" si="116"/>
        <v>98336.91441778843</v>
      </c>
      <c r="E350" s="778">
        <f t="shared" si="116"/>
        <v>31116.913133734244</v>
      </c>
      <c r="F350" s="778">
        <f t="shared" si="116"/>
        <v>67091.831275279823</v>
      </c>
      <c r="G350" s="778">
        <f t="shared" si="116"/>
        <v>5362.6383033364009</v>
      </c>
      <c r="H350" s="778">
        <f t="shared" si="116"/>
        <v>97641.620476384109</v>
      </c>
      <c r="I350" s="778">
        <f t="shared" si="116"/>
        <v>25077.128854837676</v>
      </c>
      <c r="J350" s="365">
        <f t="shared" si="116"/>
        <v>0</v>
      </c>
      <c r="K350" s="25">
        <f t="shared" si="121"/>
        <v>3489606.0464613605</v>
      </c>
      <c r="L350" s="778">
        <v>250</v>
      </c>
      <c r="M350" s="778">
        <f t="shared" si="123"/>
        <v>13958.424185845442</v>
      </c>
      <c r="N350" s="678">
        <v>26203</v>
      </c>
      <c r="O350" s="678"/>
      <c r="P350" s="296" t="s">
        <v>379</v>
      </c>
      <c r="Q350" s="792">
        <v>40833</v>
      </c>
      <c r="R350" s="793"/>
      <c r="S350" s="306">
        <v>130</v>
      </c>
      <c r="T350" s="821">
        <v>24346</v>
      </c>
      <c r="U350" s="25">
        <f t="shared" si="124"/>
        <v>3164980</v>
      </c>
      <c r="V350" s="456"/>
      <c r="W350" s="792"/>
      <c r="X350" s="822"/>
      <c r="Y350" s="821"/>
      <c r="Z350" s="25">
        <f t="shared" si="125"/>
        <v>0</v>
      </c>
    </row>
    <row r="351" spans="1:26" ht="16.5" customHeight="1">
      <c r="A351" s="777">
        <f t="shared" si="119"/>
        <v>6</v>
      </c>
      <c r="B351" s="298" t="s">
        <v>1257</v>
      </c>
      <c r="C351" s="25">
        <f t="shared" si="120"/>
        <v>1056020</v>
      </c>
      <c r="D351" s="778">
        <f t="shared" si="116"/>
        <v>55068.672073961527</v>
      </c>
      <c r="E351" s="778">
        <f t="shared" si="116"/>
        <v>17425.471354891175</v>
      </c>
      <c r="F351" s="778">
        <f t="shared" si="116"/>
        <v>37571.425514156697</v>
      </c>
      <c r="G351" s="778">
        <f t="shared" si="116"/>
        <v>3003.0774498683845</v>
      </c>
      <c r="H351" s="778">
        <f t="shared" si="116"/>
        <v>54679.307466775099</v>
      </c>
      <c r="I351" s="778">
        <f t="shared" si="116"/>
        <v>14043.192158709098</v>
      </c>
      <c r="J351" s="365">
        <f t="shared" si="116"/>
        <v>0</v>
      </c>
      <c r="K351" s="25">
        <f t="shared" si="121"/>
        <v>1237810.1460183619</v>
      </c>
      <c r="L351" s="778">
        <v>140</v>
      </c>
      <c r="M351" s="778">
        <f t="shared" si="123"/>
        <v>8841.5010429882987</v>
      </c>
      <c r="N351" s="678">
        <v>11355</v>
      </c>
      <c r="O351" s="678"/>
      <c r="P351" s="189" t="s">
        <v>579</v>
      </c>
      <c r="Q351" s="792">
        <v>40833</v>
      </c>
      <c r="R351" s="793"/>
      <c r="S351" s="306">
        <v>140</v>
      </c>
      <c r="T351" s="821">
        <v>7543</v>
      </c>
      <c r="U351" s="25">
        <f t="shared" si="124"/>
        <v>1056020</v>
      </c>
      <c r="V351" s="456"/>
      <c r="W351" s="792"/>
      <c r="X351" s="822"/>
      <c r="Y351" s="821"/>
      <c r="Z351" s="25">
        <f t="shared" si="125"/>
        <v>0</v>
      </c>
    </row>
    <row r="352" spans="1:26" ht="16.5" customHeight="1">
      <c r="A352" s="777">
        <f t="shared" si="119"/>
        <v>7</v>
      </c>
      <c r="B352" s="298" t="s">
        <v>1258</v>
      </c>
      <c r="C352" s="25">
        <f t="shared" si="120"/>
        <v>328440</v>
      </c>
      <c r="D352" s="778">
        <f t="shared" si="116"/>
        <v>19667.382883557686</v>
      </c>
      <c r="E352" s="778">
        <f t="shared" si="116"/>
        <v>6223.3826267468485</v>
      </c>
      <c r="F352" s="778">
        <f t="shared" si="116"/>
        <v>13418.366255055964</v>
      </c>
      <c r="G352" s="778">
        <f t="shared" si="116"/>
        <v>1072.5276606672801</v>
      </c>
      <c r="H352" s="778">
        <f t="shared" si="116"/>
        <v>19528.324095276821</v>
      </c>
      <c r="I352" s="778">
        <f t="shared" si="116"/>
        <v>5015.4257709675348</v>
      </c>
      <c r="J352" s="365">
        <f t="shared" si="116"/>
        <v>0</v>
      </c>
      <c r="K352" s="25">
        <f t="shared" si="121"/>
        <v>393364.40929227212</v>
      </c>
      <c r="L352" s="778">
        <v>50</v>
      </c>
      <c r="M352" s="778">
        <f t="shared" si="123"/>
        <v>7867.2881858454421</v>
      </c>
      <c r="N352" s="678">
        <v>11420</v>
      </c>
      <c r="O352" s="678"/>
      <c r="P352" s="40" t="s">
        <v>619</v>
      </c>
      <c r="Q352" s="792">
        <v>40833</v>
      </c>
      <c r="R352" s="793"/>
      <c r="S352" s="306">
        <v>10</v>
      </c>
      <c r="T352" s="821">
        <v>32844</v>
      </c>
      <c r="U352" s="25">
        <f t="shared" si="124"/>
        <v>328440</v>
      </c>
      <c r="V352" s="456"/>
      <c r="W352" s="792"/>
      <c r="X352" s="822"/>
      <c r="Y352" s="821"/>
      <c r="Z352" s="25">
        <f t="shared" si="125"/>
        <v>0</v>
      </c>
    </row>
    <row r="353" spans="1:26" ht="16.5" customHeight="1">
      <c r="A353" s="777">
        <f t="shared" si="119"/>
        <v>8</v>
      </c>
      <c r="B353" s="298" t="s">
        <v>1259</v>
      </c>
      <c r="C353" s="25">
        <f t="shared" si="120"/>
        <v>594436</v>
      </c>
      <c r="D353" s="778">
        <f t="shared" si="116"/>
        <v>27534.336036980763</v>
      </c>
      <c r="E353" s="778">
        <f t="shared" si="116"/>
        <v>8712.7356774455875</v>
      </c>
      <c r="F353" s="778">
        <f t="shared" si="116"/>
        <v>18785.712757078349</v>
      </c>
      <c r="G353" s="778">
        <f t="shared" si="116"/>
        <v>1501.5387249341923</v>
      </c>
      <c r="H353" s="778">
        <f t="shared" si="116"/>
        <v>27339.653733387549</v>
      </c>
      <c r="I353" s="778">
        <f t="shared" si="116"/>
        <v>7021.5960793545491</v>
      </c>
      <c r="J353" s="365">
        <f t="shared" si="116"/>
        <v>0</v>
      </c>
      <c r="K353" s="25">
        <f t="shared" si="121"/>
        <v>685330.57300918095</v>
      </c>
      <c r="L353" s="778">
        <v>70</v>
      </c>
      <c r="M353" s="778">
        <f t="shared" si="123"/>
        <v>9790.4367572740139</v>
      </c>
      <c r="N353" s="678">
        <v>14450</v>
      </c>
      <c r="O353" s="678"/>
      <c r="P353" s="40" t="s">
        <v>590</v>
      </c>
      <c r="Q353" s="792">
        <v>40833</v>
      </c>
      <c r="R353" s="793"/>
      <c r="S353" s="306">
        <v>20</v>
      </c>
      <c r="T353" s="821">
        <v>29721.8</v>
      </c>
      <c r="U353" s="25">
        <f t="shared" si="124"/>
        <v>594436</v>
      </c>
      <c r="V353" s="456"/>
      <c r="W353" s="792"/>
      <c r="X353" s="822"/>
      <c r="Y353" s="821"/>
      <c r="Z353" s="25">
        <f t="shared" si="125"/>
        <v>0</v>
      </c>
    </row>
    <row r="354" spans="1:26" ht="16.5" customHeight="1">
      <c r="A354" s="777">
        <f t="shared" si="119"/>
        <v>9</v>
      </c>
      <c r="B354" s="298" t="s">
        <v>1260</v>
      </c>
      <c r="C354" s="25">
        <f t="shared" si="120"/>
        <v>306880</v>
      </c>
      <c r="D354" s="778">
        <f t="shared" si="116"/>
        <v>21240.773514242301</v>
      </c>
      <c r="E354" s="778">
        <f t="shared" si="116"/>
        <v>6721.2532368865968</v>
      </c>
      <c r="F354" s="778">
        <f t="shared" si="116"/>
        <v>14491.83555546044</v>
      </c>
      <c r="G354" s="778">
        <f t="shared" si="116"/>
        <v>1158.3298735206627</v>
      </c>
      <c r="H354" s="778">
        <f t="shared" si="116"/>
        <v>21090.590022898967</v>
      </c>
      <c r="I354" s="778">
        <f t="shared" si="116"/>
        <v>5416.6598326449375</v>
      </c>
      <c r="J354" s="365">
        <f t="shared" si="116"/>
        <v>0</v>
      </c>
      <c r="K354" s="25">
        <f t="shared" si="121"/>
        <v>376998.44203565386</v>
      </c>
      <c r="L354" s="778">
        <v>54</v>
      </c>
      <c r="M354" s="778">
        <f t="shared" si="123"/>
        <v>6981.4526302898867</v>
      </c>
      <c r="N354" s="678">
        <v>13881</v>
      </c>
      <c r="O354" s="678"/>
      <c r="P354" s="40" t="s">
        <v>613</v>
      </c>
      <c r="Q354" s="792">
        <v>40833</v>
      </c>
      <c r="R354" s="793"/>
      <c r="S354" s="306">
        <v>16</v>
      </c>
      <c r="T354" s="821">
        <v>19180</v>
      </c>
      <c r="U354" s="25">
        <f t="shared" si="124"/>
        <v>306880</v>
      </c>
      <c r="V354" s="456"/>
      <c r="W354" s="792"/>
      <c r="X354" s="822"/>
      <c r="Y354" s="821"/>
      <c r="Z354" s="25">
        <f t="shared" si="125"/>
        <v>0</v>
      </c>
    </row>
    <row r="355" spans="1:26" ht="16.5" customHeight="1">
      <c r="A355" s="777">
        <f t="shared" si="119"/>
        <v>10</v>
      </c>
      <c r="B355" s="298" t="s">
        <v>1261</v>
      </c>
      <c r="C355" s="25">
        <f t="shared" si="120"/>
        <v>1340640</v>
      </c>
      <c r="D355" s="778">
        <f t="shared" si="116"/>
        <v>35401.289190403833</v>
      </c>
      <c r="E355" s="778">
        <f t="shared" si="116"/>
        <v>11202.088728144328</v>
      </c>
      <c r="F355" s="778">
        <f t="shared" si="116"/>
        <v>24153.059259100733</v>
      </c>
      <c r="G355" s="778">
        <f t="shared" si="116"/>
        <v>1930.5497892011044</v>
      </c>
      <c r="H355" s="778">
        <f t="shared" si="116"/>
        <v>35150.983371498281</v>
      </c>
      <c r="I355" s="778">
        <f t="shared" si="116"/>
        <v>9027.7663877415634</v>
      </c>
      <c r="J355" s="365">
        <f t="shared" si="116"/>
        <v>0</v>
      </c>
      <c r="K355" s="25">
        <f t="shared" si="121"/>
        <v>1457504.7367260898</v>
      </c>
      <c r="L355" s="778">
        <v>90</v>
      </c>
      <c r="M355" s="778">
        <f t="shared" si="123"/>
        <v>16194.497074734332</v>
      </c>
      <c r="N355" s="678">
        <v>20891</v>
      </c>
      <c r="O355" s="678"/>
      <c r="P355" s="40" t="s">
        <v>612</v>
      </c>
      <c r="Q355" s="792">
        <v>40833</v>
      </c>
      <c r="R355" s="793"/>
      <c r="S355" s="306">
        <v>45</v>
      </c>
      <c r="T355" s="821">
        <v>29792</v>
      </c>
      <c r="U355" s="25">
        <f t="shared" si="124"/>
        <v>1340640</v>
      </c>
      <c r="V355" s="456"/>
      <c r="W355" s="792"/>
      <c r="X355" s="822"/>
      <c r="Y355" s="821"/>
      <c r="Z355" s="25">
        <f t="shared" si="125"/>
        <v>0</v>
      </c>
    </row>
    <row r="356" spans="1:26" ht="16.5" customHeight="1">
      <c r="A356" s="777">
        <f t="shared" si="119"/>
        <v>11</v>
      </c>
      <c r="B356" s="298" t="s">
        <v>1262</v>
      </c>
      <c r="C356" s="25">
        <f t="shared" si="120"/>
        <v>1112146</v>
      </c>
      <c r="D356" s="778">
        <f t="shared" si="116"/>
        <v>39334.765767115372</v>
      </c>
      <c r="E356" s="778">
        <f t="shared" si="116"/>
        <v>12446.765253493697</v>
      </c>
      <c r="F356" s="778">
        <f t="shared" si="116"/>
        <v>26836.732510111928</v>
      </c>
      <c r="G356" s="778">
        <f t="shared" si="116"/>
        <v>2145.0553213345602</v>
      </c>
      <c r="H356" s="778">
        <f t="shared" si="116"/>
        <v>39056.648190553642</v>
      </c>
      <c r="I356" s="778">
        <f t="shared" si="116"/>
        <v>10030.85154193507</v>
      </c>
      <c r="J356" s="365">
        <f t="shared" si="116"/>
        <v>0</v>
      </c>
      <c r="K356" s="25">
        <f t="shared" si="121"/>
        <v>1241995.8185845444</v>
      </c>
      <c r="L356" s="778">
        <v>100</v>
      </c>
      <c r="M356" s="778">
        <f t="shared" si="123"/>
        <v>12419.958185845444</v>
      </c>
      <c r="N356" s="678">
        <v>16534</v>
      </c>
      <c r="O356" s="678"/>
      <c r="P356" s="40" t="s">
        <v>616</v>
      </c>
      <c r="Q356" s="792">
        <v>40833</v>
      </c>
      <c r="R356" s="793"/>
      <c r="S356" s="306">
        <v>37</v>
      </c>
      <c r="T356" s="821">
        <v>30058</v>
      </c>
      <c r="U356" s="25">
        <f t="shared" si="124"/>
        <v>1112146</v>
      </c>
      <c r="V356" s="456"/>
      <c r="W356" s="792"/>
      <c r="X356" s="822"/>
      <c r="Y356" s="821"/>
      <c r="Z356" s="25">
        <f t="shared" si="125"/>
        <v>0</v>
      </c>
    </row>
    <row r="357" spans="1:26" ht="16.5" customHeight="1">
      <c r="A357" s="777">
        <f t="shared" si="119"/>
        <v>12</v>
      </c>
      <c r="B357" s="298" t="s">
        <v>1261</v>
      </c>
      <c r="C357" s="25">
        <f t="shared" si="120"/>
        <v>2724120</v>
      </c>
      <c r="D357" s="778">
        <f t="shared" si="116"/>
        <v>78669.531534230744</v>
      </c>
      <c r="E357" s="778">
        <f t="shared" si="116"/>
        <v>24893.530506987394</v>
      </c>
      <c r="F357" s="778">
        <f t="shared" si="116"/>
        <v>53673.465020223855</v>
      </c>
      <c r="G357" s="778">
        <f t="shared" si="116"/>
        <v>4290.1106426691204</v>
      </c>
      <c r="H357" s="778">
        <f t="shared" si="116"/>
        <v>78113.296381107284</v>
      </c>
      <c r="I357" s="778">
        <f t="shared" si="116"/>
        <v>20061.703083870139</v>
      </c>
      <c r="J357" s="365">
        <f t="shared" si="116"/>
        <v>0</v>
      </c>
      <c r="K357" s="25">
        <f t="shared" si="121"/>
        <v>2983820.6371690887</v>
      </c>
      <c r="L357" s="778">
        <v>200</v>
      </c>
      <c r="M357" s="778">
        <f t="shared" si="123"/>
        <v>14919.103185845444</v>
      </c>
      <c r="N357" s="678">
        <v>20981</v>
      </c>
      <c r="O357" s="678"/>
      <c r="P357" s="40" t="s">
        <v>625</v>
      </c>
      <c r="Q357" s="792">
        <v>40833</v>
      </c>
      <c r="R357" s="793"/>
      <c r="S357" s="306">
        <v>94</v>
      </c>
      <c r="T357" s="821">
        <v>28980</v>
      </c>
      <c r="U357" s="25">
        <f t="shared" si="124"/>
        <v>2724120</v>
      </c>
      <c r="V357" s="456"/>
      <c r="W357" s="792"/>
      <c r="X357" s="822"/>
      <c r="Y357" s="821"/>
      <c r="Z357" s="25">
        <f t="shared" si="125"/>
        <v>0</v>
      </c>
    </row>
    <row r="358" spans="1:26" ht="16.5" customHeight="1">
      <c r="A358" s="777">
        <f t="shared" si="119"/>
        <v>13</v>
      </c>
      <c r="B358" s="298" t="s">
        <v>1263</v>
      </c>
      <c r="C358" s="25">
        <f t="shared" si="120"/>
        <v>571200</v>
      </c>
      <c r="D358" s="778">
        <f t="shared" si="116"/>
        <v>19667.382883557686</v>
      </c>
      <c r="E358" s="778">
        <f t="shared" si="116"/>
        <v>6223.3826267468485</v>
      </c>
      <c r="F358" s="778">
        <f t="shared" si="116"/>
        <v>13418.366255055964</v>
      </c>
      <c r="G358" s="778">
        <f t="shared" si="116"/>
        <v>1072.5276606672801</v>
      </c>
      <c r="H358" s="778">
        <f t="shared" si="116"/>
        <v>19528.324095276821</v>
      </c>
      <c r="I358" s="778">
        <f t="shared" si="116"/>
        <v>5015.4257709675348</v>
      </c>
      <c r="J358" s="365">
        <f t="shared" si="116"/>
        <v>0</v>
      </c>
      <c r="K358" s="25">
        <f t="shared" si="121"/>
        <v>636124.40929227218</v>
      </c>
      <c r="L358" s="778">
        <v>50</v>
      </c>
      <c r="M358" s="778">
        <f t="shared" si="123"/>
        <v>12722.488185845443</v>
      </c>
      <c r="N358" s="678">
        <v>15669</v>
      </c>
      <c r="O358" s="678"/>
      <c r="P358" s="40" t="s">
        <v>618</v>
      </c>
      <c r="Q358" s="792">
        <v>40833</v>
      </c>
      <c r="R358" s="793"/>
      <c r="S358" s="306">
        <v>20</v>
      </c>
      <c r="T358" s="821">
        <v>28560</v>
      </c>
      <c r="U358" s="25">
        <f t="shared" si="124"/>
        <v>571200</v>
      </c>
      <c r="V358" s="456"/>
      <c r="W358" s="792"/>
      <c r="X358" s="822"/>
      <c r="Y358" s="821"/>
      <c r="Z358" s="25">
        <f t="shared" si="125"/>
        <v>0</v>
      </c>
    </row>
    <row r="359" spans="1:26" ht="16.5" customHeight="1">
      <c r="A359" s="777">
        <f t="shared" si="119"/>
        <v>14</v>
      </c>
      <c r="B359" s="298" t="s">
        <v>1264</v>
      </c>
      <c r="C359" s="25">
        <f t="shared" si="120"/>
        <v>502843</v>
      </c>
      <c r="D359" s="778">
        <f t="shared" si="116"/>
        <v>11800.429730134612</v>
      </c>
      <c r="E359" s="778">
        <f t="shared" si="116"/>
        <v>3734.0295760481094</v>
      </c>
      <c r="F359" s="778">
        <f t="shared" si="116"/>
        <v>8051.0197530335781</v>
      </c>
      <c r="G359" s="778">
        <f t="shared" si="116"/>
        <v>643.51659640036814</v>
      </c>
      <c r="H359" s="778">
        <f t="shared" si="116"/>
        <v>11716.994457166093</v>
      </c>
      <c r="I359" s="778">
        <f t="shared" si="116"/>
        <v>3009.255462580521</v>
      </c>
      <c r="J359" s="365">
        <f t="shared" si="116"/>
        <v>0</v>
      </c>
      <c r="K359" s="25">
        <f t="shared" si="121"/>
        <v>541797.24557536317</v>
      </c>
      <c r="L359" s="778">
        <v>30</v>
      </c>
      <c r="M359" s="778">
        <f t="shared" si="123"/>
        <v>18059.908185845437</v>
      </c>
      <c r="N359" s="678">
        <v>20326</v>
      </c>
      <c r="O359" s="678"/>
      <c r="P359" s="189" t="s">
        <v>565</v>
      </c>
      <c r="Q359" s="792">
        <v>40833</v>
      </c>
      <c r="R359" s="793"/>
      <c r="S359" s="306">
        <v>17</v>
      </c>
      <c r="T359" s="821">
        <v>29579</v>
      </c>
      <c r="U359" s="25">
        <f t="shared" si="124"/>
        <v>502843</v>
      </c>
      <c r="V359" s="456"/>
      <c r="W359" s="792"/>
      <c r="X359" s="822"/>
      <c r="Y359" s="821"/>
      <c r="Z359" s="25">
        <f t="shared" si="125"/>
        <v>0</v>
      </c>
    </row>
    <row r="360" spans="1:26" ht="16.5" customHeight="1">
      <c r="A360" s="777">
        <f t="shared" si="119"/>
        <v>15</v>
      </c>
      <c r="B360" s="298" t="s">
        <v>1265</v>
      </c>
      <c r="C360" s="25">
        <f t="shared" si="120"/>
        <v>871350</v>
      </c>
      <c r="D360" s="778">
        <f t="shared" si="116"/>
        <v>59002.148650673058</v>
      </c>
      <c r="E360" s="778">
        <f t="shared" si="116"/>
        <v>18670.147880240547</v>
      </c>
      <c r="F360" s="778">
        <f t="shared" si="116"/>
        <v>40255.098765167888</v>
      </c>
      <c r="G360" s="778">
        <f t="shared" si="116"/>
        <v>3217.5829820018407</v>
      </c>
      <c r="H360" s="778">
        <f t="shared" si="116"/>
        <v>58584.972285830459</v>
      </c>
      <c r="I360" s="778">
        <f t="shared" si="116"/>
        <v>15046.277312902605</v>
      </c>
      <c r="J360" s="365">
        <f t="shared" si="116"/>
        <v>0</v>
      </c>
      <c r="K360" s="25">
        <f t="shared" si="121"/>
        <v>1066125.2278768164</v>
      </c>
      <c r="L360" s="778">
        <v>150</v>
      </c>
      <c r="M360" s="778">
        <f t="shared" si="123"/>
        <v>7107.5015191787761</v>
      </c>
      <c r="N360" s="678">
        <v>10397</v>
      </c>
      <c r="O360" s="678"/>
      <c r="P360" s="189" t="s">
        <v>490</v>
      </c>
      <c r="Q360" s="792">
        <v>40836</v>
      </c>
      <c r="R360" s="793"/>
      <c r="S360" s="306">
        <f>L360/3</f>
        <v>50</v>
      </c>
      <c r="T360" s="821">
        <v>17427</v>
      </c>
      <c r="U360" s="25">
        <f t="shared" si="124"/>
        <v>871350</v>
      </c>
      <c r="V360" s="456"/>
      <c r="W360" s="792"/>
      <c r="X360" s="822"/>
      <c r="Y360" s="821"/>
      <c r="Z360" s="25">
        <f t="shared" si="125"/>
        <v>0</v>
      </c>
    </row>
    <row r="361" spans="1:26" ht="16.5" customHeight="1">
      <c r="A361" s="777">
        <f t="shared" si="119"/>
        <v>16</v>
      </c>
      <c r="B361" s="298" t="s">
        <v>1266</v>
      </c>
      <c r="C361" s="25">
        <f t="shared" si="120"/>
        <v>1911200</v>
      </c>
      <c r="D361" s="778">
        <f t="shared" si="116"/>
        <v>78669.531534230744</v>
      </c>
      <c r="E361" s="778">
        <f t="shared" si="116"/>
        <v>24893.530506987394</v>
      </c>
      <c r="F361" s="778">
        <f t="shared" si="116"/>
        <v>53673.465020223855</v>
      </c>
      <c r="G361" s="778">
        <f t="shared" si="116"/>
        <v>4290.1106426691204</v>
      </c>
      <c r="H361" s="778">
        <f t="shared" si="116"/>
        <v>78113.296381107284</v>
      </c>
      <c r="I361" s="778">
        <f t="shared" si="116"/>
        <v>20061.703083870139</v>
      </c>
      <c r="J361" s="365">
        <f t="shared" si="116"/>
        <v>0</v>
      </c>
      <c r="K361" s="25">
        <f t="shared" si="121"/>
        <v>2170900.6371690882</v>
      </c>
      <c r="L361" s="778">
        <v>200</v>
      </c>
      <c r="M361" s="778">
        <f t="shared" si="123"/>
        <v>10854.50318584544</v>
      </c>
      <c r="N361" s="678">
        <v>12869</v>
      </c>
      <c r="O361" s="678"/>
      <c r="P361" s="189" t="s">
        <v>484</v>
      </c>
      <c r="Q361" s="792">
        <v>40836</v>
      </c>
      <c r="R361" s="793"/>
      <c r="S361" s="8">
        <v>100</v>
      </c>
      <c r="T361" s="294">
        <v>19112</v>
      </c>
      <c r="U361" s="25">
        <f t="shared" si="124"/>
        <v>1911200</v>
      </c>
      <c r="V361" s="456"/>
      <c r="W361" s="792"/>
      <c r="X361" s="822"/>
      <c r="Y361" s="821"/>
      <c r="Z361" s="25">
        <f t="shared" si="125"/>
        <v>0</v>
      </c>
    </row>
    <row r="362" spans="1:26" ht="16.5" customHeight="1">
      <c r="A362" s="777">
        <f t="shared" si="119"/>
        <v>17</v>
      </c>
      <c r="B362" s="298" t="s">
        <v>1259</v>
      </c>
      <c r="C362" s="25">
        <f t="shared" si="120"/>
        <v>1839000</v>
      </c>
      <c r="D362" s="778">
        <f t="shared" ref="D362:J398" si="126">IF($L$588&lt;&gt;0,D$588/$L$588*$L362,0)</f>
        <v>86536.484687653821</v>
      </c>
      <c r="E362" s="778">
        <f t="shared" si="126"/>
        <v>27382.883557686135</v>
      </c>
      <c r="F362" s="778">
        <f t="shared" si="126"/>
        <v>59040.811522246237</v>
      </c>
      <c r="G362" s="778">
        <f t="shared" si="126"/>
        <v>4719.1217069360328</v>
      </c>
      <c r="H362" s="778">
        <f t="shared" si="126"/>
        <v>85924.626019218005</v>
      </c>
      <c r="I362" s="778">
        <f t="shared" si="126"/>
        <v>22067.873392257152</v>
      </c>
      <c r="J362" s="365">
        <f t="shared" si="126"/>
        <v>0</v>
      </c>
      <c r="K362" s="25">
        <f t="shared" si="121"/>
        <v>2124670.8008859977</v>
      </c>
      <c r="L362" s="778">
        <v>220</v>
      </c>
      <c r="M362" s="778">
        <f t="shared" si="123"/>
        <v>9657.5945494818079</v>
      </c>
      <c r="N362" s="678">
        <v>14450</v>
      </c>
      <c r="O362" s="678"/>
      <c r="P362" s="189" t="s">
        <v>562</v>
      </c>
      <c r="Q362" s="792">
        <v>40836</v>
      </c>
      <c r="R362" s="793"/>
      <c r="S362" s="306">
        <v>100</v>
      </c>
      <c r="T362" s="821">
        <v>18390</v>
      </c>
      <c r="U362" s="25">
        <f t="shared" si="124"/>
        <v>1839000</v>
      </c>
      <c r="V362" s="456"/>
      <c r="W362" s="792"/>
      <c r="X362" s="822"/>
      <c r="Y362" s="821"/>
      <c r="Z362" s="25">
        <f t="shared" si="125"/>
        <v>0</v>
      </c>
    </row>
    <row r="363" spans="1:26" ht="16.5" customHeight="1">
      <c r="A363" s="777">
        <f t="shared" si="119"/>
        <v>18</v>
      </c>
      <c r="B363" s="298" t="s">
        <v>1258</v>
      </c>
      <c r="C363" s="25">
        <f t="shared" si="120"/>
        <v>1103760</v>
      </c>
      <c r="D363" s="778">
        <f t="shared" si="126"/>
        <v>70802.578380807667</v>
      </c>
      <c r="E363" s="778">
        <f t="shared" si="126"/>
        <v>22404.177456288657</v>
      </c>
      <c r="F363" s="778">
        <f t="shared" si="126"/>
        <v>48306.118518201467</v>
      </c>
      <c r="G363" s="778">
        <f t="shared" si="126"/>
        <v>3861.0995784022089</v>
      </c>
      <c r="H363" s="778">
        <f t="shared" si="126"/>
        <v>70301.966742996563</v>
      </c>
      <c r="I363" s="778">
        <f t="shared" si="126"/>
        <v>18055.532775483127</v>
      </c>
      <c r="J363" s="365">
        <f t="shared" si="126"/>
        <v>0</v>
      </c>
      <c r="K363" s="25">
        <f t="shared" si="121"/>
        <v>1337490.4734521797</v>
      </c>
      <c r="L363" s="778">
        <v>180</v>
      </c>
      <c r="M363" s="778">
        <f t="shared" si="123"/>
        <v>7430.5026302898868</v>
      </c>
      <c r="N363" s="678">
        <v>11420</v>
      </c>
      <c r="O363" s="678"/>
      <c r="P363" s="40" t="s">
        <v>611</v>
      </c>
      <c r="Q363" s="792">
        <v>40836</v>
      </c>
      <c r="R363" s="793"/>
      <c r="S363" s="306">
        <f>L363/3</f>
        <v>60</v>
      </c>
      <c r="T363" s="821">
        <v>18396</v>
      </c>
      <c r="U363" s="25">
        <f t="shared" si="124"/>
        <v>1103760</v>
      </c>
      <c r="V363" s="456"/>
      <c r="W363" s="792"/>
      <c r="X363" s="822"/>
      <c r="Y363" s="821"/>
      <c r="Z363" s="25">
        <f t="shared" si="125"/>
        <v>0</v>
      </c>
    </row>
    <row r="364" spans="1:26" ht="16.5" customHeight="1">
      <c r="A364" s="777">
        <f t="shared" si="119"/>
        <v>19</v>
      </c>
      <c r="B364" s="298" t="s">
        <v>1260</v>
      </c>
      <c r="C364" s="25">
        <f t="shared" si="120"/>
        <v>2921880</v>
      </c>
      <c r="D364" s="778">
        <f t="shared" si="126"/>
        <v>116824.25432833267</v>
      </c>
      <c r="E364" s="778">
        <f t="shared" si="126"/>
        <v>36966.892802876282</v>
      </c>
      <c r="F364" s="778">
        <f t="shared" si="126"/>
        <v>79705.095555032414</v>
      </c>
      <c r="G364" s="778">
        <f t="shared" si="126"/>
        <v>6370.8143043636446</v>
      </c>
      <c r="H364" s="778">
        <f t="shared" si="126"/>
        <v>115998.24512594432</v>
      </c>
      <c r="I364" s="778">
        <f t="shared" si="126"/>
        <v>29791.629079547158</v>
      </c>
      <c r="J364" s="365">
        <f t="shared" si="126"/>
        <v>0</v>
      </c>
      <c r="K364" s="25">
        <f t="shared" si="121"/>
        <v>3307535.9311960968</v>
      </c>
      <c r="L364" s="778">
        <v>297</v>
      </c>
      <c r="M364" s="778">
        <f t="shared" si="123"/>
        <v>11136.484616821876</v>
      </c>
      <c r="N364" s="678">
        <v>13881</v>
      </c>
      <c r="O364" s="678"/>
      <c r="P364" s="189" t="s">
        <v>550</v>
      </c>
      <c r="Q364" s="792">
        <v>40836</v>
      </c>
      <c r="R364" s="793"/>
      <c r="S364" s="8">
        <v>130</v>
      </c>
      <c r="T364" s="294">
        <v>22476</v>
      </c>
      <c r="U364" s="25">
        <f t="shared" si="124"/>
        <v>2921880</v>
      </c>
      <c r="V364" s="456"/>
      <c r="W364" s="792"/>
      <c r="X364" s="822"/>
      <c r="Y364" s="821"/>
      <c r="Z364" s="25">
        <f t="shared" si="125"/>
        <v>0</v>
      </c>
    </row>
    <row r="365" spans="1:26" ht="16.5" customHeight="1">
      <c r="A365" s="777">
        <f t="shared" si="119"/>
        <v>20</v>
      </c>
      <c r="B365" s="298" t="s">
        <v>1264</v>
      </c>
      <c r="C365" s="25">
        <f t="shared" si="120"/>
        <v>3173700</v>
      </c>
      <c r="D365" s="778">
        <f t="shared" si="126"/>
        <v>125871.25045476919</v>
      </c>
      <c r="E365" s="778">
        <f t="shared" si="126"/>
        <v>39829.648811179832</v>
      </c>
      <c r="F365" s="778">
        <f t="shared" si="126"/>
        <v>85877.544032358157</v>
      </c>
      <c r="G365" s="778">
        <f t="shared" si="126"/>
        <v>6864.1770282705929</v>
      </c>
      <c r="H365" s="778">
        <f t="shared" si="126"/>
        <v>124981.27420977165</v>
      </c>
      <c r="I365" s="778">
        <f t="shared" si="126"/>
        <v>32098.724934192222</v>
      </c>
      <c r="J365" s="365">
        <f t="shared" si="126"/>
        <v>0</v>
      </c>
      <c r="K365" s="25">
        <f t="shared" si="121"/>
        <v>3589221.6194705414</v>
      </c>
      <c r="L365" s="778">
        <v>320</v>
      </c>
      <c r="M365" s="778">
        <f t="shared" si="123"/>
        <v>11216.317560845442</v>
      </c>
      <c r="N365" s="678">
        <v>17372</v>
      </c>
      <c r="O365" s="678"/>
      <c r="P365" s="189" t="s">
        <v>554</v>
      </c>
      <c r="Q365" s="792">
        <v>40836</v>
      </c>
      <c r="R365" s="793"/>
      <c r="S365" s="306">
        <v>150</v>
      </c>
      <c r="T365" s="821">
        <v>21158</v>
      </c>
      <c r="U365" s="25">
        <f t="shared" si="124"/>
        <v>3173700</v>
      </c>
      <c r="V365" s="456"/>
      <c r="W365" s="792"/>
      <c r="X365" s="822"/>
      <c r="Y365" s="821"/>
      <c r="Z365" s="25">
        <f t="shared" si="125"/>
        <v>0</v>
      </c>
    </row>
    <row r="366" spans="1:26" ht="16.5" customHeight="1">
      <c r="A366" s="777">
        <f t="shared" si="119"/>
        <v>21</v>
      </c>
      <c r="B366" s="298" t="s">
        <v>1261</v>
      </c>
      <c r="C366" s="25">
        <f t="shared" si="120"/>
        <v>2160449</v>
      </c>
      <c r="D366" s="778">
        <f t="shared" si="126"/>
        <v>59002.148650673058</v>
      </c>
      <c r="E366" s="778">
        <f t="shared" si="126"/>
        <v>18670.147880240547</v>
      </c>
      <c r="F366" s="778">
        <f t="shared" si="126"/>
        <v>40255.098765167888</v>
      </c>
      <c r="G366" s="778">
        <f t="shared" si="126"/>
        <v>3217.5829820018407</v>
      </c>
      <c r="H366" s="778">
        <f t="shared" si="126"/>
        <v>58584.972285830459</v>
      </c>
      <c r="I366" s="778">
        <f t="shared" si="126"/>
        <v>15046.277312902605</v>
      </c>
      <c r="J366" s="365">
        <f t="shared" si="126"/>
        <v>0</v>
      </c>
      <c r="K366" s="25">
        <f t="shared" si="121"/>
        <v>2355224.2278768164</v>
      </c>
      <c r="L366" s="778">
        <v>150</v>
      </c>
      <c r="M366" s="778">
        <f t="shared" si="123"/>
        <v>15701.494852512109</v>
      </c>
      <c r="N366" s="678">
        <v>20981</v>
      </c>
      <c r="O366" s="678"/>
      <c r="P366" s="40" t="s">
        <v>557</v>
      </c>
      <c r="Q366" s="792">
        <v>40836</v>
      </c>
      <c r="R366" s="793"/>
      <c r="S366" s="306">
        <v>90</v>
      </c>
      <c r="T366" s="821">
        <v>24004.988888888889</v>
      </c>
      <c r="U366" s="25">
        <f t="shared" si="124"/>
        <v>2160449</v>
      </c>
      <c r="V366" s="456"/>
      <c r="W366" s="792"/>
      <c r="X366" s="822"/>
      <c r="Y366" s="821"/>
      <c r="Z366" s="25">
        <f t="shared" si="125"/>
        <v>0</v>
      </c>
    </row>
    <row r="367" spans="1:26" ht="16.5" customHeight="1">
      <c r="A367" s="777">
        <f t="shared" si="119"/>
        <v>22</v>
      </c>
      <c r="B367" s="298" t="s">
        <v>1267</v>
      </c>
      <c r="C367" s="25">
        <f t="shared" si="120"/>
        <v>2554450</v>
      </c>
      <c r="D367" s="778">
        <f t="shared" si="126"/>
        <v>106203.86757121151</v>
      </c>
      <c r="E367" s="778">
        <f t="shared" si="126"/>
        <v>33606.266184432985</v>
      </c>
      <c r="F367" s="778">
        <f t="shared" si="126"/>
        <v>72459.177777302204</v>
      </c>
      <c r="G367" s="778">
        <f t="shared" si="126"/>
        <v>5791.6493676033133</v>
      </c>
      <c r="H367" s="778">
        <f t="shared" si="126"/>
        <v>105452.95011449483</v>
      </c>
      <c r="I367" s="778">
        <f t="shared" si="126"/>
        <v>27083.299163224689</v>
      </c>
      <c r="J367" s="365">
        <f t="shared" si="126"/>
        <v>0</v>
      </c>
      <c r="K367" s="25">
        <f t="shared" si="121"/>
        <v>2905046.2101782691</v>
      </c>
      <c r="L367" s="778">
        <v>270</v>
      </c>
      <c r="M367" s="778">
        <f t="shared" si="123"/>
        <v>10759.430408067663</v>
      </c>
      <c r="N367" s="678">
        <v>16832</v>
      </c>
      <c r="O367" s="678"/>
      <c r="P367" s="189" t="s">
        <v>629</v>
      </c>
      <c r="Q367" s="792">
        <v>40836</v>
      </c>
      <c r="R367" s="793"/>
      <c r="S367" s="306">
        <v>94</v>
      </c>
      <c r="T367" s="821">
        <v>27175</v>
      </c>
      <c r="U367" s="25">
        <f t="shared" si="124"/>
        <v>2554450</v>
      </c>
      <c r="V367" s="456"/>
      <c r="W367" s="792"/>
      <c r="X367" s="822"/>
      <c r="Y367" s="821"/>
      <c r="Z367" s="25">
        <f t="shared" si="125"/>
        <v>0</v>
      </c>
    </row>
    <row r="368" spans="1:26" ht="16.5" customHeight="1">
      <c r="A368" s="777">
        <f t="shared" si="119"/>
        <v>23</v>
      </c>
      <c r="B368" s="298" t="s">
        <v>748</v>
      </c>
      <c r="C368" s="25">
        <f t="shared" si="120"/>
        <v>1115328</v>
      </c>
      <c r="D368" s="778">
        <f t="shared" si="126"/>
        <v>74736.054957519213</v>
      </c>
      <c r="E368" s="778">
        <f t="shared" si="126"/>
        <v>23648.853981638025</v>
      </c>
      <c r="F368" s="778">
        <f t="shared" si="126"/>
        <v>50989.791769212658</v>
      </c>
      <c r="G368" s="778">
        <f t="shared" si="126"/>
        <v>4075.6051105356646</v>
      </c>
      <c r="H368" s="778">
        <f t="shared" si="126"/>
        <v>74207.631562051916</v>
      </c>
      <c r="I368" s="778">
        <f t="shared" si="126"/>
        <v>19058.617929676631</v>
      </c>
      <c r="J368" s="365">
        <f t="shared" si="126"/>
        <v>0</v>
      </c>
      <c r="K368" s="25">
        <f t="shared" si="121"/>
        <v>1362043.555310634</v>
      </c>
      <c r="L368" s="778">
        <v>190</v>
      </c>
      <c r="M368" s="778">
        <f t="shared" si="123"/>
        <v>7168.6502911086</v>
      </c>
      <c r="N368" s="678">
        <v>10253</v>
      </c>
      <c r="O368" s="678"/>
      <c r="P368" s="189" t="s">
        <v>490</v>
      </c>
      <c r="Q368" s="792">
        <v>40836</v>
      </c>
      <c r="R368" s="793"/>
      <c r="S368" s="306">
        <v>64</v>
      </c>
      <c r="T368" s="821">
        <v>17427</v>
      </c>
      <c r="U368" s="25">
        <f t="shared" si="124"/>
        <v>1115328</v>
      </c>
      <c r="V368" s="456"/>
      <c r="W368" s="792"/>
      <c r="X368" s="822"/>
      <c r="Y368" s="821"/>
      <c r="Z368" s="25">
        <f t="shared" si="125"/>
        <v>0</v>
      </c>
    </row>
    <row r="369" spans="1:26" ht="16.5" customHeight="1">
      <c r="A369" s="777">
        <f t="shared" si="119"/>
        <v>24</v>
      </c>
      <c r="B369" s="298" t="s">
        <v>746</v>
      </c>
      <c r="C369" s="25">
        <f t="shared" si="120"/>
        <v>1864689</v>
      </c>
      <c r="D369" s="778">
        <f t="shared" si="126"/>
        <v>125871.25045476919</v>
      </c>
      <c r="E369" s="778">
        <f t="shared" si="126"/>
        <v>39829.648811179832</v>
      </c>
      <c r="F369" s="778">
        <f t="shared" si="126"/>
        <v>85877.544032358157</v>
      </c>
      <c r="G369" s="778">
        <f t="shared" si="126"/>
        <v>6864.1770282705929</v>
      </c>
      <c r="H369" s="778">
        <f t="shared" si="126"/>
        <v>124981.27420977165</v>
      </c>
      <c r="I369" s="778">
        <f t="shared" si="126"/>
        <v>32098.724934192222</v>
      </c>
      <c r="J369" s="365">
        <f t="shared" si="126"/>
        <v>0</v>
      </c>
      <c r="K369" s="25">
        <f t="shared" si="121"/>
        <v>2280210.6194705418</v>
      </c>
      <c r="L369" s="778">
        <v>320</v>
      </c>
      <c r="M369" s="778">
        <f t="shared" si="123"/>
        <v>7125.6581858454429</v>
      </c>
      <c r="N369" s="678">
        <v>10595</v>
      </c>
      <c r="O369" s="678"/>
      <c r="P369" s="189" t="s">
        <v>490</v>
      </c>
      <c r="Q369" s="792">
        <v>40836</v>
      </c>
      <c r="R369" s="793"/>
      <c r="S369" s="306">
        <v>107</v>
      </c>
      <c r="T369" s="821">
        <v>17427</v>
      </c>
      <c r="U369" s="25">
        <f t="shared" si="124"/>
        <v>1864689</v>
      </c>
      <c r="V369" s="456"/>
      <c r="W369" s="792"/>
      <c r="X369" s="822"/>
      <c r="Y369" s="821"/>
      <c r="Z369" s="25">
        <f t="shared" si="125"/>
        <v>0</v>
      </c>
    </row>
    <row r="370" spans="1:26" ht="16.5" customHeight="1">
      <c r="A370" s="777">
        <f t="shared" si="119"/>
        <v>25</v>
      </c>
      <c r="B370" s="298" t="s">
        <v>755</v>
      </c>
      <c r="C370" s="25">
        <f t="shared" si="120"/>
        <v>2427360</v>
      </c>
      <c r="D370" s="778">
        <f t="shared" si="126"/>
        <v>118004.29730134612</v>
      </c>
      <c r="E370" s="778">
        <f t="shared" si="126"/>
        <v>37340.295760481094</v>
      </c>
      <c r="F370" s="778">
        <f t="shared" si="126"/>
        <v>80510.197530335776</v>
      </c>
      <c r="G370" s="778">
        <f t="shared" si="126"/>
        <v>6435.1659640036814</v>
      </c>
      <c r="H370" s="778">
        <f t="shared" si="126"/>
        <v>117169.94457166092</v>
      </c>
      <c r="I370" s="778">
        <f t="shared" si="126"/>
        <v>30092.554625805209</v>
      </c>
      <c r="J370" s="365">
        <f t="shared" si="126"/>
        <v>0</v>
      </c>
      <c r="K370" s="25">
        <f t="shared" si="121"/>
        <v>2816911.4557536324</v>
      </c>
      <c r="L370" s="778">
        <v>300</v>
      </c>
      <c r="M370" s="778">
        <f t="shared" si="123"/>
        <v>9389.7048525121081</v>
      </c>
      <c r="N370" s="678">
        <v>12179</v>
      </c>
      <c r="O370" s="678"/>
      <c r="P370" s="189" t="s">
        <v>571</v>
      </c>
      <c r="Q370" s="792">
        <v>40836</v>
      </c>
      <c r="R370" s="793"/>
      <c r="S370" s="306">
        <v>104</v>
      </c>
      <c r="T370" s="821">
        <v>23340</v>
      </c>
      <c r="U370" s="25">
        <f t="shared" si="124"/>
        <v>2427360</v>
      </c>
      <c r="V370" s="456"/>
      <c r="W370" s="792"/>
      <c r="X370" s="822"/>
      <c r="Y370" s="821"/>
      <c r="Z370" s="25">
        <f t="shared" si="125"/>
        <v>0</v>
      </c>
    </row>
    <row r="371" spans="1:26" ht="16.5" customHeight="1">
      <c r="A371" s="777">
        <f t="shared" si="119"/>
        <v>26</v>
      </c>
      <c r="B371" s="298" t="s">
        <v>750</v>
      </c>
      <c r="C371" s="25">
        <f t="shared" si="120"/>
        <v>3534076</v>
      </c>
      <c r="D371" s="778">
        <f t="shared" si="126"/>
        <v>137671.68018490382</v>
      </c>
      <c r="E371" s="778">
        <f t="shared" si="126"/>
        <v>43563.678387227941</v>
      </c>
      <c r="F371" s="778">
        <f t="shared" si="126"/>
        <v>93928.563785391743</v>
      </c>
      <c r="G371" s="778">
        <f t="shared" si="126"/>
        <v>7507.6936246709611</v>
      </c>
      <c r="H371" s="778">
        <f t="shared" si="126"/>
        <v>136698.26866693774</v>
      </c>
      <c r="I371" s="778">
        <f t="shared" si="126"/>
        <v>35107.980396772742</v>
      </c>
      <c r="J371" s="365">
        <f t="shared" si="126"/>
        <v>0</v>
      </c>
      <c r="K371" s="25">
        <f t="shared" si="121"/>
        <v>3988552.8650459056</v>
      </c>
      <c r="L371" s="778">
        <v>350</v>
      </c>
      <c r="M371" s="778">
        <f t="shared" si="123"/>
        <v>11395.865328702588</v>
      </c>
      <c r="N371" s="678">
        <v>15618</v>
      </c>
      <c r="O371" s="678"/>
      <c r="P371" s="40" t="s">
        <v>609</v>
      </c>
      <c r="Q371" s="792">
        <v>40836</v>
      </c>
      <c r="R371" s="793"/>
      <c r="S371" s="306">
        <v>182</v>
      </c>
      <c r="T371" s="821">
        <v>19418</v>
      </c>
      <c r="U371" s="25">
        <f t="shared" si="124"/>
        <v>3534076</v>
      </c>
      <c r="V371" s="456"/>
      <c r="W371" s="792"/>
      <c r="X371" s="822"/>
      <c r="Y371" s="821"/>
      <c r="Z371" s="25">
        <f t="shared" si="125"/>
        <v>0</v>
      </c>
    </row>
    <row r="372" spans="1:26" ht="16.5" customHeight="1">
      <c r="A372" s="777">
        <f t="shared" si="119"/>
        <v>27</v>
      </c>
      <c r="B372" s="298" t="s">
        <v>1262</v>
      </c>
      <c r="C372" s="25">
        <f t="shared" si="120"/>
        <v>2857816</v>
      </c>
      <c r="D372" s="778">
        <f t="shared" si="126"/>
        <v>114070.82072463458</v>
      </c>
      <c r="E372" s="778">
        <f t="shared" si="126"/>
        <v>36095.619235131722</v>
      </c>
      <c r="F372" s="778">
        <f t="shared" si="126"/>
        <v>77826.524279324585</v>
      </c>
      <c r="G372" s="778">
        <f t="shared" si="126"/>
        <v>6220.6604318702248</v>
      </c>
      <c r="H372" s="778">
        <f t="shared" si="126"/>
        <v>113264.27975260557</v>
      </c>
      <c r="I372" s="778">
        <f t="shared" si="126"/>
        <v>29089.469471611701</v>
      </c>
      <c r="J372" s="365">
        <f t="shared" si="126"/>
        <v>0</v>
      </c>
      <c r="K372" s="25">
        <f t="shared" si="121"/>
        <v>3234382.3738951785</v>
      </c>
      <c r="L372" s="778">
        <v>290</v>
      </c>
      <c r="M372" s="778">
        <f t="shared" si="123"/>
        <v>11153.042668604065</v>
      </c>
      <c r="N372" s="678">
        <v>16534</v>
      </c>
      <c r="O372" s="678"/>
      <c r="P372" s="189" t="s">
        <v>570</v>
      </c>
      <c r="Q372" s="792">
        <v>40836</v>
      </c>
      <c r="R372" s="793"/>
      <c r="S372" s="306">
        <v>104</v>
      </c>
      <c r="T372" s="821">
        <v>27479</v>
      </c>
      <c r="U372" s="25">
        <f t="shared" si="124"/>
        <v>2857816</v>
      </c>
      <c r="V372" s="456"/>
      <c r="W372" s="792"/>
      <c r="X372" s="822"/>
      <c r="Y372" s="821"/>
      <c r="Z372" s="25">
        <f t="shared" si="125"/>
        <v>0</v>
      </c>
    </row>
    <row r="373" spans="1:26" ht="16.5" customHeight="1">
      <c r="A373" s="777">
        <f t="shared" si="119"/>
        <v>28</v>
      </c>
      <c r="B373" s="298" t="s">
        <v>1268</v>
      </c>
      <c r="C373" s="25">
        <f t="shared" si="120"/>
        <v>1840280</v>
      </c>
      <c r="D373" s="778">
        <f t="shared" si="126"/>
        <v>51135.195497249988</v>
      </c>
      <c r="E373" s="778">
        <f t="shared" si="126"/>
        <v>16180.794829541806</v>
      </c>
      <c r="F373" s="778">
        <f t="shared" si="126"/>
        <v>34887.752263145507</v>
      </c>
      <c r="G373" s="778">
        <f t="shared" si="126"/>
        <v>2788.5719177349283</v>
      </c>
      <c r="H373" s="778">
        <f t="shared" si="126"/>
        <v>50773.642647719738</v>
      </c>
      <c r="I373" s="778">
        <f t="shared" si="126"/>
        <v>13040.10700451559</v>
      </c>
      <c r="J373" s="365">
        <f t="shared" si="126"/>
        <v>0</v>
      </c>
      <c r="K373" s="25">
        <f t="shared" si="121"/>
        <v>2009085.0641599076</v>
      </c>
      <c r="L373" s="778">
        <v>130</v>
      </c>
      <c r="M373" s="778">
        <f t="shared" si="123"/>
        <v>15454.500493537751</v>
      </c>
      <c r="N373" s="678">
        <v>20633</v>
      </c>
      <c r="O373" s="678"/>
      <c r="P373" s="298" t="s">
        <v>483</v>
      </c>
      <c r="Q373" s="792">
        <v>40836</v>
      </c>
      <c r="R373" s="793"/>
      <c r="S373" s="306">
        <v>52</v>
      </c>
      <c r="T373" s="821">
        <v>35390</v>
      </c>
      <c r="U373" s="25">
        <f t="shared" si="124"/>
        <v>1840280</v>
      </c>
      <c r="V373" s="456"/>
      <c r="W373" s="792"/>
      <c r="X373" s="822"/>
      <c r="Y373" s="821"/>
      <c r="Z373" s="25">
        <f t="shared" si="125"/>
        <v>0</v>
      </c>
    </row>
    <row r="374" spans="1:26" ht="16.5" customHeight="1">
      <c r="A374" s="777">
        <f t="shared" si="119"/>
        <v>29</v>
      </c>
      <c r="B374" s="298" t="s">
        <v>746</v>
      </c>
      <c r="C374" s="25">
        <f t="shared" si="120"/>
        <v>1219890</v>
      </c>
      <c r="D374" s="778">
        <f t="shared" si="126"/>
        <v>82603.00811094229</v>
      </c>
      <c r="E374" s="778">
        <f t="shared" si="126"/>
        <v>26138.207032336766</v>
      </c>
      <c r="F374" s="778">
        <f t="shared" si="126"/>
        <v>56357.138271235046</v>
      </c>
      <c r="G374" s="778">
        <f t="shared" si="126"/>
        <v>4504.616174802577</v>
      </c>
      <c r="H374" s="778">
        <f t="shared" si="126"/>
        <v>82018.961200162652</v>
      </c>
      <c r="I374" s="778">
        <f t="shared" si="126"/>
        <v>21064.788238063647</v>
      </c>
      <c r="J374" s="365">
        <f t="shared" si="126"/>
        <v>0</v>
      </c>
      <c r="K374" s="25">
        <f t="shared" si="121"/>
        <v>1492575.7190275432</v>
      </c>
      <c r="L374" s="778">
        <v>210</v>
      </c>
      <c r="M374" s="778">
        <f t="shared" si="123"/>
        <v>7107.5034239406823</v>
      </c>
      <c r="N374" s="678">
        <v>10595</v>
      </c>
      <c r="O374" s="678"/>
      <c r="P374" s="189" t="s">
        <v>490</v>
      </c>
      <c r="Q374" s="792">
        <v>40838</v>
      </c>
      <c r="R374" s="793"/>
      <c r="S374" s="306">
        <f>L374/3</f>
        <v>70</v>
      </c>
      <c r="T374" s="821">
        <v>17427</v>
      </c>
      <c r="U374" s="25">
        <f t="shared" si="124"/>
        <v>1219890</v>
      </c>
      <c r="V374" s="456"/>
      <c r="W374" s="792"/>
      <c r="X374" s="822"/>
      <c r="Y374" s="821"/>
      <c r="Z374" s="25">
        <f t="shared" si="125"/>
        <v>0</v>
      </c>
    </row>
    <row r="375" spans="1:26" ht="16.5" customHeight="1">
      <c r="A375" s="777">
        <f t="shared" si="119"/>
        <v>30</v>
      </c>
      <c r="B375" s="298" t="s">
        <v>1269</v>
      </c>
      <c r="C375" s="25">
        <f t="shared" si="120"/>
        <v>1102850</v>
      </c>
      <c r="D375" s="778">
        <f t="shared" si="126"/>
        <v>59002.148650673058</v>
      </c>
      <c r="E375" s="778">
        <f t="shared" si="126"/>
        <v>18670.147880240547</v>
      </c>
      <c r="F375" s="778">
        <f t="shared" si="126"/>
        <v>40255.098765167888</v>
      </c>
      <c r="G375" s="778">
        <f t="shared" si="126"/>
        <v>3217.5829820018407</v>
      </c>
      <c r="H375" s="778">
        <f t="shared" si="126"/>
        <v>58584.972285830459</v>
      </c>
      <c r="I375" s="778">
        <f t="shared" si="126"/>
        <v>15046.277312902605</v>
      </c>
      <c r="J375" s="365">
        <f t="shared" si="126"/>
        <v>0</v>
      </c>
      <c r="K375" s="25">
        <f t="shared" si="121"/>
        <v>1297625.2278768162</v>
      </c>
      <c r="L375" s="778">
        <v>150</v>
      </c>
      <c r="M375" s="778">
        <f t="shared" si="123"/>
        <v>8650.8348525121073</v>
      </c>
      <c r="N375" s="678">
        <v>17966</v>
      </c>
      <c r="O375" s="678"/>
      <c r="P375" s="40" t="s">
        <v>626</v>
      </c>
      <c r="Q375" s="792">
        <v>40838</v>
      </c>
      <c r="R375" s="793"/>
      <c r="S375" s="306">
        <v>46</v>
      </c>
      <c r="T375" s="821">
        <v>23975</v>
      </c>
      <c r="U375" s="25">
        <f t="shared" si="124"/>
        <v>1102850</v>
      </c>
      <c r="V375" s="456"/>
      <c r="W375" s="792"/>
      <c r="X375" s="822"/>
      <c r="Y375" s="821"/>
      <c r="Z375" s="25">
        <f t="shared" si="125"/>
        <v>0</v>
      </c>
    </row>
    <row r="376" spans="1:26" ht="16.5" customHeight="1">
      <c r="A376" s="777">
        <f t="shared" si="119"/>
        <v>31</v>
      </c>
      <c r="B376" s="298" t="s">
        <v>1270</v>
      </c>
      <c r="C376" s="25">
        <f t="shared" si="120"/>
        <v>2784936</v>
      </c>
      <c r="D376" s="778">
        <f t="shared" si="126"/>
        <v>134524.89892353458</v>
      </c>
      <c r="E376" s="778">
        <f t="shared" si="126"/>
        <v>42567.937166948446</v>
      </c>
      <c r="F376" s="778">
        <f t="shared" si="126"/>
        <v>91781.625184582794</v>
      </c>
      <c r="G376" s="778">
        <f t="shared" si="126"/>
        <v>7336.0891989641968</v>
      </c>
      <c r="H376" s="778">
        <f t="shared" si="126"/>
        <v>133573.73681169347</v>
      </c>
      <c r="I376" s="778">
        <f t="shared" si="126"/>
        <v>34305.512273417939</v>
      </c>
      <c r="J376" s="365">
        <f t="shared" si="126"/>
        <v>0</v>
      </c>
      <c r="K376" s="25">
        <f t="shared" si="121"/>
        <v>3229024.799559141</v>
      </c>
      <c r="L376" s="778">
        <v>342</v>
      </c>
      <c r="M376" s="778">
        <f t="shared" si="123"/>
        <v>9441.5929811670794</v>
      </c>
      <c r="N376" s="678">
        <v>14535</v>
      </c>
      <c r="O376" s="678"/>
      <c r="P376" s="40" t="s">
        <v>607</v>
      </c>
      <c r="Q376" s="792">
        <v>40838</v>
      </c>
      <c r="R376" s="793"/>
      <c r="S376" s="306">
        <v>132</v>
      </c>
      <c r="T376" s="821">
        <v>21098</v>
      </c>
      <c r="U376" s="25">
        <f t="shared" si="124"/>
        <v>2784936</v>
      </c>
      <c r="V376" s="456"/>
      <c r="W376" s="792"/>
      <c r="X376" s="822"/>
      <c r="Y376" s="821"/>
      <c r="Z376" s="25">
        <f t="shared" si="125"/>
        <v>0</v>
      </c>
    </row>
    <row r="377" spans="1:26" ht="16.5" customHeight="1">
      <c r="A377" s="777">
        <f t="shared" si="119"/>
        <v>32</v>
      </c>
      <c r="B377" s="298" t="s">
        <v>747</v>
      </c>
      <c r="C377" s="25">
        <f t="shared" si="120"/>
        <v>919800</v>
      </c>
      <c r="D377" s="778">
        <f t="shared" si="126"/>
        <v>59002.148650673058</v>
      </c>
      <c r="E377" s="778">
        <f t="shared" si="126"/>
        <v>18670.147880240547</v>
      </c>
      <c r="F377" s="778">
        <f t="shared" si="126"/>
        <v>40255.098765167888</v>
      </c>
      <c r="G377" s="778">
        <f t="shared" si="126"/>
        <v>3217.5829820018407</v>
      </c>
      <c r="H377" s="778">
        <f t="shared" si="126"/>
        <v>58584.972285830459</v>
      </c>
      <c r="I377" s="778">
        <f t="shared" si="126"/>
        <v>15046.277312902605</v>
      </c>
      <c r="J377" s="365">
        <f t="shared" si="126"/>
        <v>0</v>
      </c>
      <c r="K377" s="25">
        <f t="shared" si="121"/>
        <v>1114575.2278768164</v>
      </c>
      <c r="L377" s="778">
        <v>150</v>
      </c>
      <c r="M377" s="778">
        <f t="shared" si="123"/>
        <v>7430.5015191787761</v>
      </c>
      <c r="N377" s="678">
        <v>11321</v>
      </c>
      <c r="O377" s="678"/>
      <c r="P377" s="40" t="s">
        <v>611</v>
      </c>
      <c r="Q377" s="792">
        <v>40838</v>
      </c>
      <c r="R377" s="793"/>
      <c r="S377" s="306">
        <f>L377/3</f>
        <v>50</v>
      </c>
      <c r="T377" s="821">
        <v>18396</v>
      </c>
      <c r="U377" s="25">
        <f t="shared" si="124"/>
        <v>919800</v>
      </c>
      <c r="V377" s="456"/>
      <c r="W377" s="792"/>
      <c r="X377" s="822"/>
      <c r="Y377" s="821"/>
      <c r="Z377" s="25">
        <f t="shared" si="125"/>
        <v>0</v>
      </c>
    </row>
    <row r="378" spans="1:26" ht="16.5" customHeight="1">
      <c r="A378" s="777">
        <f t="shared" si="119"/>
        <v>33</v>
      </c>
      <c r="B378" s="298" t="s">
        <v>1271</v>
      </c>
      <c r="C378" s="25">
        <f t="shared" si="120"/>
        <v>941058</v>
      </c>
      <c r="D378" s="778">
        <f t="shared" si="126"/>
        <v>62935.625227384597</v>
      </c>
      <c r="E378" s="778">
        <f t="shared" si="126"/>
        <v>19914.824405589916</v>
      </c>
      <c r="F378" s="778">
        <f t="shared" si="126"/>
        <v>42938.772016179078</v>
      </c>
      <c r="G378" s="778">
        <f t="shared" si="126"/>
        <v>3432.0885141352965</v>
      </c>
      <c r="H378" s="778">
        <f t="shared" si="126"/>
        <v>62490.637104885827</v>
      </c>
      <c r="I378" s="778">
        <f t="shared" si="126"/>
        <v>16049.362467096111</v>
      </c>
      <c r="J378" s="365">
        <f t="shared" si="126"/>
        <v>0</v>
      </c>
      <c r="K378" s="25">
        <f t="shared" si="121"/>
        <v>1148818.3097352709</v>
      </c>
      <c r="L378" s="778">
        <v>160</v>
      </c>
      <c r="M378" s="778">
        <f t="shared" si="123"/>
        <v>7180.114435845443</v>
      </c>
      <c r="N378" s="678">
        <v>10267</v>
      </c>
      <c r="O378" s="678"/>
      <c r="P378" s="189" t="s">
        <v>490</v>
      </c>
      <c r="Q378" s="792">
        <v>40838</v>
      </c>
      <c r="R378" s="793"/>
      <c r="S378" s="306">
        <v>54</v>
      </c>
      <c r="T378" s="821">
        <v>17427</v>
      </c>
      <c r="U378" s="25">
        <f t="shared" si="124"/>
        <v>941058</v>
      </c>
      <c r="V378" s="456"/>
      <c r="W378" s="792"/>
      <c r="X378" s="822"/>
      <c r="Y378" s="821"/>
      <c r="Z378" s="25">
        <f t="shared" si="125"/>
        <v>0</v>
      </c>
    </row>
    <row r="379" spans="1:26" ht="16.5" customHeight="1">
      <c r="A379" s="777">
        <f t="shared" si="119"/>
        <v>34</v>
      </c>
      <c r="B379" s="298" t="s">
        <v>1010</v>
      </c>
      <c r="C379" s="25">
        <f t="shared" si="120"/>
        <v>919800</v>
      </c>
      <c r="D379" s="778">
        <f t="shared" si="126"/>
        <v>39334.765767115372</v>
      </c>
      <c r="E379" s="778">
        <f t="shared" si="126"/>
        <v>12446.765253493697</v>
      </c>
      <c r="F379" s="778">
        <f t="shared" si="126"/>
        <v>26836.732510111928</v>
      </c>
      <c r="G379" s="778">
        <f t="shared" si="126"/>
        <v>2145.0553213345602</v>
      </c>
      <c r="H379" s="778">
        <f t="shared" si="126"/>
        <v>39056.648190553642</v>
      </c>
      <c r="I379" s="778">
        <f t="shared" si="126"/>
        <v>10030.85154193507</v>
      </c>
      <c r="J379" s="365">
        <f t="shared" si="126"/>
        <v>0</v>
      </c>
      <c r="K379" s="25">
        <f t="shared" si="121"/>
        <v>1049649.8185845441</v>
      </c>
      <c r="L379" s="778">
        <v>100</v>
      </c>
      <c r="M379" s="778">
        <f t="shared" si="123"/>
        <v>10496.498185845441</v>
      </c>
      <c r="N379" s="678">
        <v>13099</v>
      </c>
      <c r="O379" s="678"/>
      <c r="P379" s="40" t="s">
        <v>611</v>
      </c>
      <c r="Q379" s="792">
        <v>40838</v>
      </c>
      <c r="R379" s="793"/>
      <c r="S379" s="306">
        <v>50</v>
      </c>
      <c r="T379" s="821">
        <v>18396</v>
      </c>
      <c r="U379" s="25">
        <f t="shared" si="124"/>
        <v>919800</v>
      </c>
      <c r="V379" s="456"/>
      <c r="W379" s="792"/>
      <c r="X379" s="822"/>
      <c r="Y379" s="821"/>
      <c r="Z379" s="25">
        <f t="shared" si="125"/>
        <v>0</v>
      </c>
    </row>
    <row r="380" spans="1:26" ht="16.5" customHeight="1">
      <c r="A380" s="777">
        <f t="shared" si="119"/>
        <v>35</v>
      </c>
      <c r="B380" s="298" t="s">
        <v>749</v>
      </c>
      <c r="C380" s="25">
        <f t="shared" si="120"/>
        <v>1528960</v>
      </c>
      <c r="D380" s="778">
        <f t="shared" si="126"/>
        <v>66869.101804096135</v>
      </c>
      <c r="E380" s="778">
        <f t="shared" si="126"/>
        <v>21159.500930939284</v>
      </c>
      <c r="F380" s="778">
        <f t="shared" si="126"/>
        <v>45622.445267190276</v>
      </c>
      <c r="G380" s="778">
        <f t="shared" si="126"/>
        <v>3646.5940462687527</v>
      </c>
      <c r="H380" s="778">
        <f t="shared" si="126"/>
        <v>66396.301923941195</v>
      </c>
      <c r="I380" s="778">
        <f t="shared" si="126"/>
        <v>17052.447621289619</v>
      </c>
      <c r="J380" s="365">
        <f t="shared" si="126"/>
        <v>0</v>
      </c>
      <c r="K380" s="25">
        <f t="shared" si="121"/>
        <v>1749705.3915937254</v>
      </c>
      <c r="L380" s="778">
        <v>170</v>
      </c>
      <c r="M380" s="778">
        <f t="shared" si="123"/>
        <v>10292.384656433678</v>
      </c>
      <c r="N380" s="678">
        <v>12564</v>
      </c>
      <c r="O380" s="678"/>
      <c r="P380" s="189" t="s">
        <v>484</v>
      </c>
      <c r="Q380" s="792">
        <v>40838</v>
      </c>
      <c r="R380" s="793"/>
      <c r="S380" s="8">
        <v>80</v>
      </c>
      <c r="T380" s="294">
        <v>19112</v>
      </c>
      <c r="U380" s="25">
        <f t="shared" si="124"/>
        <v>1528960</v>
      </c>
      <c r="V380" s="456"/>
      <c r="W380" s="792"/>
      <c r="X380" s="822"/>
      <c r="Y380" s="821"/>
      <c r="Z380" s="25">
        <f t="shared" si="125"/>
        <v>0</v>
      </c>
    </row>
    <row r="381" spans="1:26" ht="16.5" customHeight="1">
      <c r="A381" s="777">
        <f t="shared" si="119"/>
        <v>36</v>
      </c>
      <c r="B381" s="298" t="s">
        <v>752</v>
      </c>
      <c r="C381" s="25">
        <f t="shared" si="120"/>
        <v>2124760</v>
      </c>
      <c r="D381" s="778">
        <f t="shared" si="126"/>
        <v>74736.054957519213</v>
      </c>
      <c r="E381" s="778">
        <f t="shared" si="126"/>
        <v>23648.853981638025</v>
      </c>
      <c r="F381" s="778">
        <f t="shared" si="126"/>
        <v>50989.791769212658</v>
      </c>
      <c r="G381" s="778">
        <f t="shared" si="126"/>
        <v>4075.6051105356646</v>
      </c>
      <c r="H381" s="778">
        <f t="shared" si="126"/>
        <v>74207.631562051916</v>
      </c>
      <c r="I381" s="778">
        <f t="shared" si="126"/>
        <v>19058.617929676631</v>
      </c>
      <c r="J381" s="365">
        <f t="shared" si="126"/>
        <v>0</v>
      </c>
      <c r="K381" s="25">
        <f t="shared" si="121"/>
        <v>2371475.555310634</v>
      </c>
      <c r="L381" s="778">
        <v>190</v>
      </c>
      <c r="M381" s="778">
        <f t="shared" si="123"/>
        <v>12481.4502911086</v>
      </c>
      <c r="N381" s="678">
        <v>16284</v>
      </c>
      <c r="O381" s="678"/>
      <c r="P381" s="189" t="s">
        <v>515</v>
      </c>
      <c r="Q381" s="792">
        <v>40838</v>
      </c>
      <c r="R381" s="793"/>
      <c r="S381" s="306">
        <v>110</v>
      </c>
      <c r="T381" s="821">
        <v>19316</v>
      </c>
      <c r="U381" s="25">
        <f t="shared" si="124"/>
        <v>2124760</v>
      </c>
      <c r="V381" s="456"/>
      <c r="W381" s="792"/>
      <c r="X381" s="822"/>
      <c r="Y381" s="821"/>
      <c r="Z381" s="25">
        <f t="shared" si="125"/>
        <v>0</v>
      </c>
    </row>
    <row r="382" spans="1:26" ht="16.5" customHeight="1">
      <c r="A382" s="777">
        <f t="shared" si="119"/>
        <v>37</v>
      </c>
      <c r="B382" s="298" t="s">
        <v>748</v>
      </c>
      <c r="C382" s="25">
        <f t="shared" si="120"/>
        <v>680652</v>
      </c>
      <c r="D382" s="778">
        <f t="shared" si="126"/>
        <v>43268.242343826911</v>
      </c>
      <c r="E382" s="778">
        <f t="shared" si="126"/>
        <v>13691.441778843067</v>
      </c>
      <c r="F382" s="778">
        <f t="shared" si="126"/>
        <v>29520.405761123118</v>
      </c>
      <c r="G382" s="778">
        <f t="shared" si="126"/>
        <v>2359.5608534680164</v>
      </c>
      <c r="H382" s="778">
        <f t="shared" si="126"/>
        <v>42962.313009609003</v>
      </c>
      <c r="I382" s="778">
        <f t="shared" si="126"/>
        <v>11033.936696128576</v>
      </c>
      <c r="J382" s="365">
        <f t="shared" si="126"/>
        <v>0</v>
      </c>
      <c r="K382" s="25">
        <f t="shared" si="121"/>
        <v>823486.90044299874</v>
      </c>
      <c r="L382" s="778">
        <v>110</v>
      </c>
      <c r="M382" s="778">
        <f t="shared" si="123"/>
        <v>7486.2445494818066</v>
      </c>
      <c r="N382" s="678">
        <v>10253</v>
      </c>
      <c r="O382" s="678"/>
      <c r="P382" s="40" t="s">
        <v>611</v>
      </c>
      <c r="Q382" s="792">
        <v>40838</v>
      </c>
      <c r="R382" s="793"/>
      <c r="S382" s="306">
        <v>37</v>
      </c>
      <c r="T382" s="821">
        <v>18396</v>
      </c>
      <c r="U382" s="25">
        <f t="shared" si="124"/>
        <v>680652</v>
      </c>
      <c r="V382" s="456"/>
      <c r="W382" s="792"/>
      <c r="X382" s="822"/>
      <c r="Y382" s="821"/>
      <c r="Z382" s="25">
        <f t="shared" si="125"/>
        <v>0</v>
      </c>
    </row>
    <row r="383" spans="1:26" ht="16.5" customHeight="1">
      <c r="A383" s="777">
        <f t="shared" si="119"/>
        <v>38</v>
      </c>
      <c r="B383" s="298" t="s">
        <v>1272</v>
      </c>
      <c r="C383" s="25">
        <f t="shared" si="120"/>
        <v>2399040</v>
      </c>
      <c r="D383" s="778">
        <f t="shared" si="126"/>
        <v>118004.29730134612</v>
      </c>
      <c r="E383" s="778">
        <f t="shared" si="126"/>
        <v>37340.295760481094</v>
      </c>
      <c r="F383" s="778">
        <f t="shared" si="126"/>
        <v>80510.197530335776</v>
      </c>
      <c r="G383" s="778">
        <f t="shared" si="126"/>
        <v>6435.1659640036814</v>
      </c>
      <c r="H383" s="778">
        <f t="shared" si="126"/>
        <v>117169.94457166092</v>
      </c>
      <c r="I383" s="778">
        <f t="shared" si="126"/>
        <v>30092.554625805209</v>
      </c>
      <c r="J383" s="365">
        <f t="shared" si="126"/>
        <v>0</v>
      </c>
      <c r="K383" s="25">
        <f t="shared" si="121"/>
        <v>2788591.4557536324</v>
      </c>
      <c r="L383" s="778">
        <v>300</v>
      </c>
      <c r="M383" s="778">
        <f t="shared" si="123"/>
        <v>9295.3048525121085</v>
      </c>
      <c r="N383" s="678">
        <v>18620</v>
      </c>
      <c r="O383" s="678"/>
      <c r="P383" s="40" t="s">
        <v>606</v>
      </c>
      <c r="Q383" s="792">
        <v>40838</v>
      </c>
      <c r="R383" s="793"/>
      <c r="S383" s="306">
        <v>90</v>
      </c>
      <c r="T383" s="821">
        <v>26656</v>
      </c>
      <c r="U383" s="25">
        <f t="shared" si="124"/>
        <v>2399040</v>
      </c>
      <c r="V383" s="456"/>
      <c r="W383" s="792"/>
      <c r="X383" s="822"/>
      <c r="Y383" s="821"/>
      <c r="Z383" s="25">
        <f t="shared" si="125"/>
        <v>0</v>
      </c>
    </row>
    <row r="384" spans="1:26" ht="16.5" customHeight="1">
      <c r="A384" s="777">
        <f t="shared" si="119"/>
        <v>39</v>
      </c>
      <c r="B384" s="298" t="s">
        <v>1241</v>
      </c>
      <c r="C384" s="25">
        <f t="shared" si="120"/>
        <v>1651608</v>
      </c>
      <c r="D384" s="778">
        <f t="shared" si="126"/>
        <v>221848.0789265307</v>
      </c>
      <c r="E384" s="778">
        <f t="shared" si="126"/>
        <v>70199.756029704455</v>
      </c>
      <c r="F384" s="778">
        <f t="shared" si="126"/>
        <v>151359.17135703127</v>
      </c>
      <c r="G384" s="778">
        <f t="shared" si="126"/>
        <v>12098.112012326921</v>
      </c>
      <c r="H384" s="778">
        <f t="shared" si="126"/>
        <v>220279.49579472255</v>
      </c>
      <c r="I384" s="778">
        <f t="shared" si="126"/>
        <v>56574.002696513795</v>
      </c>
      <c r="J384" s="365">
        <f t="shared" si="126"/>
        <v>0</v>
      </c>
      <c r="K384" s="25">
        <f t="shared" si="121"/>
        <v>2383965.616816829</v>
      </c>
      <c r="L384" s="778">
        <v>564</v>
      </c>
      <c r="M384" s="778">
        <f t="shared" si="123"/>
        <v>4226.8893915192002</v>
      </c>
      <c r="N384" s="678">
        <v>5080</v>
      </c>
      <c r="O384" s="678"/>
      <c r="P384" s="40" t="s">
        <v>615</v>
      </c>
      <c r="Q384" s="792">
        <v>40839</v>
      </c>
      <c r="R384" s="793"/>
      <c r="S384" s="306">
        <v>58</v>
      </c>
      <c r="T384" s="821">
        <v>28476</v>
      </c>
      <c r="U384" s="25">
        <f t="shared" si="124"/>
        <v>1651608</v>
      </c>
      <c r="V384" s="456"/>
      <c r="W384" s="792"/>
      <c r="X384" s="822"/>
      <c r="Y384" s="821"/>
      <c r="Z384" s="25">
        <f t="shared" si="125"/>
        <v>0</v>
      </c>
    </row>
    <row r="385" spans="1:26" ht="16.5" customHeight="1">
      <c r="A385" s="777">
        <f t="shared" si="119"/>
        <v>40</v>
      </c>
      <c r="B385" s="298" t="s">
        <v>1243</v>
      </c>
      <c r="C385" s="25">
        <f t="shared" si="120"/>
        <v>1441440</v>
      </c>
      <c r="D385" s="778">
        <f t="shared" si="126"/>
        <v>157732.41072613266</v>
      </c>
      <c r="E385" s="778">
        <f t="shared" si="126"/>
        <v>49911.52866650973</v>
      </c>
      <c r="F385" s="778">
        <f t="shared" si="126"/>
        <v>107615.29736554883</v>
      </c>
      <c r="G385" s="778">
        <f t="shared" si="126"/>
        <v>8601.6718385515869</v>
      </c>
      <c r="H385" s="778">
        <f t="shared" si="126"/>
        <v>156617.15924412009</v>
      </c>
      <c r="I385" s="778">
        <f t="shared" si="126"/>
        <v>40223.714683159633</v>
      </c>
      <c r="J385" s="365">
        <f t="shared" si="126"/>
        <v>0</v>
      </c>
      <c r="K385" s="25">
        <f t="shared" si="121"/>
        <v>1962140.7825240225</v>
      </c>
      <c r="L385" s="778">
        <v>401</v>
      </c>
      <c r="M385" s="778">
        <f t="shared" si="123"/>
        <v>4893.1191584140215</v>
      </c>
      <c r="N385" s="678">
        <v>4980</v>
      </c>
      <c r="O385" s="678"/>
      <c r="P385" s="298" t="s">
        <v>482</v>
      </c>
      <c r="Q385" s="792">
        <v>40839</v>
      </c>
      <c r="R385" s="793"/>
      <c r="S385" s="306">
        <v>52</v>
      </c>
      <c r="T385" s="821">
        <v>27720</v>
      </c>
      <c r="U385" s="25">
        <f t="shared" si="124"/>
        <v>1441440</v>
      </c>
      <c r="V385" s="456"/>
      <c r="W385" s="792"/>
      <c r="X385" s="822"/>
      <c r="Y385" s="821"/>
      <c r="Z385" s="25">
        <f t="shared" si="125"/>
        <v>0</v>
      </c>
    </row>
    <row r="386" spans="1:26" ht="16.5" customHeight="1">
      <c r="A386" s="777">
        <f t="shared" si="119"/>
        <v>41</v>
      </c>
      <c r="B386" s="298" t="s">
        <v>1244</v>
      </c>
      <c r="C386" s="25">
        <f t="shared" si="120"/>
        <v>1708200</v>
      </c>
      <c r="D386" s="778">
        <f t="shared" si="126"/>
        <v>199033.91478160379</v>
      </c>
      <c r="E386" s="778">
        <f t="shared" si="126"/>
        <v>62980.632182678106</v>
      </c>
      <c r="F386" s="778">
        <f t="shared" si="126"/>
        <v>135793.86650116634</v>
      </c>
      <c r="G386" s="778">
        <f t="shared" si="126"/>
        <v>10853.979925952875</v>
      </c>
      <c r="H386" s="778">
        <f t="shared" si="126"/>
        <v>197626.63984420142</v>
      </c>
      <c r="I386" s="778">
        <f t="shared" si="126"/>
        <v>50756.108802191455</v>
      </c>
      <c r="J386" s="365">
        <f t="shared" si="126"/>
        <v>0</v>
      </c>
      <c r="K386" s="25">
        <f t="shared" si="121"/>
        <v>2365244.142037794</v>
      </c>
      <c r="L386" s="778">
        <v>506</v>
      </c>
      <c r="M386" s="778">
        <f t="shared" si="123"/>
        <v>4674.3955376240992</v>
      </c>
      <c r="N386" s="678">
        <v>5180</v>
      </c>
      <c r="O386" s="678"/>
      <c r="P386" s="189" t="s">
        <v>545</v>
      </c>
      <c r="Q386" s="792">
        <v>40839</v>
      </c>
      <c r="R386" s="793"/>
      <c r="S386" s="306">
        <v>52</v>
      </c>
      <c r="T386" s="821">
        <v>32850</v>
      </c>
      <c r="U386" s="25">
        <f t="shared" si="124"/>
        <v>1708200</v>
      </c>
      <c r="V386" s="456"/>
      <c r="W386" s="792"/>
      <c r="X386" s="822"/>
      <c r="Y386" s="821"/>
      <c r="Z386" s="25">
        <f t="shared" si="125"/>
        <v>0</v>
      </c>
    </row>
    <row r="387" spans="1:26" ht="16.5" customHeight="1">
      <c r="A387" s="777">
        <f t="shared" si="119"/>
        <v>42</v>
      </c>
      <c r="B387" s="298" t="s">
        <v>1245</v>
      </c>
      <c r="C387" s="25">
        <f t="shared" si="120"/>
        <v>1559040</v>
      </c>
      <c r="D387" s="778">
        <f t="shared" si="126"/>
        <v>118397.64495901727</v>
      </c>
      <c r="E387" s="778">
        <f t="shared" si="126"/>
        <v>37464.76341301603</v>
      </c>
      <c r="F387" s="778">
        <f t="shared" si="126"/>
        <v>80778.564855436896</v>
      </c>
      <c r="G387" s="778">
        <f t="shared" si="126"/>
        <v>6456.6165172170267</v>
      </c>
      <c r="H387" s="778">
        <f t="shared" si="126"/>
        <v>117560.51105356646</v>
      </c>
      <c r="I387" s="778">
        <f t="shared" si="126"/>
        <v>30192.86314122456</v>
      </c>
      <c r="J387" s="365">
        <f t="shared" si="126"/>
        <v>0</v>
      </c>
      <c r="K387" s="25">
        <f t="shared" si="121"/>
        <v>1949889.9639394779</v>
      </c>
      <c r="L387" s="778">
        <v>301</v>
      </c>
      <c r="M387" s="778">
        <f t="shared" si="123"/>
        <v>6478.0397473072353</v>
      </c>
      <c r="N387" s="678">
        <v>6740</v>
      </c>
      <c r="O387" s="678"/>
      <c r="P387" s="189" t="s">
        <v>521</v>
      </c>
      <c r="Q387" s="792">
        <v>40839</v>
      </c>
      <c r="R387" s="793"/>
      <c r="S387" s="306">
        <v>58</v>
      </c>
      <c r="T387" s="821">
        <v>26880</v>
      </c>
      <c r="U387" s="25">
        <f t="shared" si="124"/>
        <v>1559040</v>
      </c>
      <c r="V387" s="456"/>
      <c r="W387" s="792"/>
      <c r="X387" s="822"/>
      <c r="Y387" s="821"/>
      <c r="Z387" s="25">
        <f t="shared" si="125"/>
        <v>0</v>
      </c>
    </row>
    <row r="388" spans="1:26" ht="16.5" customHeight="1">
      <c r="A388" s="777">
        <f t="shared" si="119"/>
        <v>43</v>
      </c>
      <c r="B388" s="298" t="s">
        <v>1246</v>
      </c>
      <c r="C388" s="25">
        <f t="shared" si="120"/>
        <v>787864</v>
      </c>
      <c r="D388" s="778">
        <f t="shared" si="126"/>
        <v>121151.07856271535</v>
      </c>
      <c r="E388" s="778">
        <f t="shared" si="126"/>
        <v>38336.036980760589</v>
      </c>
      <c r="F388" s="778">
        <f t="shared" si="126"/>
        <v>82657.13613114474</v>
      </c>
      <c r="G388" s="778">
        <f t="shared" si="126"/>
        <v>6606.7703897104457</v>
      </c>
      <c r="H388" s="778">
        <f t="shared" si="126"/>
        <v>120294.47642690522</v>
      </c>
      <c r="I388" s="778">
        <f t="shared" si="126"/>
        <v>30895.022749160016</v>
      </c>
      <c r="J388" s="365">
        <f t="shared" si="126"/>
        <v>0</v>
      </c>
      <c r="K388" s="25">
        <f t="shared" si="121"/>
        <v>1187803.5212403962</v>
      </c>
      <c r="L388" s="778">
        <v>308</v>
      </c>
      <c r="M388" s="778">
        <f t="shared" si="123"/>
        <v>3856.5049390921954</v>
      </c>
      <c r="N388" s="678">
        <v>4980</v>
      </c>
      <c r="O388" s="678"/>
      <c r="P388" s="189" t="s">
        <v>636</v>
      </c>
      <c r="Q388" s="792">
        <v>40839</v>
      </c>
      <c r="R388" s="793"/>
      <c r="S388" s="306">
        <v>22</v>
      </c>
      <c r="T388" s="821">
        <v>35812</v>
      </c>
      <c r="U388" s="25">
        <f t="shared" si="124"/>
        <v>787864</v>
      </c>
      <c r="V388" s="456"/>
      <c r="W388" s="792"/>
      <c r="X388" s="822"/>
      <c r="Y388" s="821"/>
      <c r="Z388" s="25">
        <f t="shared" si="125"/>
        <v>0</v>
      </c>
    </row>
    <row r="389" spans="1:26" ht="16.5" customHeight="1">
      <c r="A389" s="777">
        <f t="shared" si="119"/>
        <v>44</v>
      </c>
      <c r="B389" s="298" t="s">
        <v>1247</v>
      </c>
      <c r="C389" s="25">
        <f t="shared" si="120"/>
        <v>2283008</v>
      </c>
      <c r="D389" s="778">
        <f t="shared" si="126"/>
        <v>199033.91478160379</v>
      </c>
      <c r="E389" s="778">
        <f t="shared" si="126"/>
        <v>62980.632182678106</v>
      </c>
      <c r="F389" s="778">
        <f t="shared" si="126"/>
        <v>135793.86650116634</v>
      </c>
      <c r="G389" s="778">
        <f t="shared" si="126"/>
        <v>10853.979925952875</v>
      </c>
      <c r="H389" s="778">
        <f t="shared" si="126"/>
        <v>197626.63984420142</v>
      </c>
      <c r="I389" s="778">
        <f t="shared" si="126"/>
        <v>50756.108802191455</v>
      </c>
      <c r="J389" s="365">
        <f t="shared" si="126"/>
        <v>0</v>
      </c>
      <c r="K389" s="25">
        <f t="shared" si="121"/>
        <v>2940052.1420377945</v>
      </c>
      <c r="L389" s="778">
        <v>506</v>
      </c>
      <c r="M389" s="778">
        <f t="shared" si="123"/>
        <v>5810.3797273474202</v>
      </c>
      <c r="N389" s="678">
        <v>6680</v>
      </c>
      <c r="O389" s="678"/>
      <c r="P389" s="189" t="s">
        <v>495</v>
      </c>
      <c r="Q389" s="792">
        <v>40839</v>
      </c>
      <c r="R389" s="793"/>
      <c r="S389" s="306">
        <v>52</v>
      </c>
      <c r="T389" s="821">
        <v>43904</v>
      </c>
      <c r="U389" s="25">
        <f t="shared" si="124"/>
        <v>2283008</v>
      </c>
      <c r="V389" s="456"/>
      <c r="W389" s="792"/>
      <c r="X389" s="822"/>
      <c r="Y389" s="821"/>
      <c r="Z389" s="25">
        <f t="shared" si="125"/>
        <v>0</v>
      </c>
    </row>
    <row r="390" spans="1:26" ht="16.5" customHeight="1">
      <c r="A390" s="777">
        <f t="shared" si="119"/>
        <v>45</v>
      </c>
      <c r="B390" s="298" t="s">
        <v>1248</v>
      </c>
      <c r="C390" s="25">
        <f t="shared" si="120"/>
        <v>1215739</v>
      </c>
      <c r="D390" s="778">
        <f t="shared" si="126"/>
        <v>155765.67243777687</v>
      </c>
      <c r="E390" s="778">
        <f t="shared" si="126"/>
        <v>49289.19040383504</v>
      </c>
      <c r="F390" s="778">
        <f t="shared" si="126"/>
        <v>106273.46074004323</v>
      </c>
      <c r="G390" s="778">
        <f t="shared" si="126"/>
        <v>8494.4190724848595</v>
      </c>
      <c r="H390" s="778">
        <f t="shared" si="126"/>
        <v>154664.32683459242</v>
      </c>
      <c r="I390" s="778">
        <f t="shared" si="126"/>
        <v>39722.172106062877</v>
      </c>
      <c r="J390" s="365">
        <f t="shared" si="126"/>
        <v>0</v>
      </c>
      <c r="K390" s="25">
        <f t="shared" si="121"/>
        <v>1729947.2415947956</v>
      </c>
      <c r="L390" s="778">
        <v>396</v>
      </c>
      <c r="M390" s="778">
        <f t="shared" si="123"/>
        <v>4368.5536403908982</v>
      </c>
      <c r="N390" s="678">
        <v>4400</v>
      </c>
      <c r="O390" s="678"/>
      <c r="P390" s="189" t="s">
        <v>564</v>
      </c>
      <c r="Q390" s="792">
        <v>40839</v>
      </c>
      <c r="R390" s="793"/>
      <c r="S390" s="306">
        <v>43</v>
      </c>
      <c r="T390" s="821">
        <v>28273</v>
      </c>
      <c r="U390" s="25">
        <f t="shared" si="124"/>
        <v>1215739</v>
      </c>
      <c r="V390" s="456"/>
      <c r="W390" s="792"/>
      <c r="X390" s="822"/>
      <c r="Y390" s="821"/>
      <c r="Z390" s="25">
        <f t="shared" si="125"/>
        <v>0</v>
      </c>
    </row>
    <row r="391" spans="1:26" ht="16.5" customHeight="1">
      <c r="A391" s="777">
        <f t="shared" si="119"/>
        <v>46</v>
      </c>
      <c r="B391" s="298" t="s">
        <v>1249</v>
      </c>
      <c r="C391" s="25">
        <f t="shared" si="120"/>
        <v>243250</v>
      </c>
      <c r="D391" s="778">
        <f t="shared" si="126"/>
        <v>110137.34414792305</v>
      </c>
      <c r="E391" s="778">
        <f t="shared" si="126"/>
        <v>34850.94270978235</v>
      </c>
      <c r="F391" s="778">
        <f t="shared" si="126"/>
        <v>75142.851028313395</v>
      </c>
      <c r="G391" s="778">
        <f t="shared" si="126"/>
        <v>6006.154899736769</v>
      </c>
      <c r="H391" s="778">
        <f t="shared" si="126"/>
        <v>109358.6149335502</v>
      </c>
      <c r="I391" s="778">
        <f t="shared" si="126"/>
        <v>28086.384317418197</v>
      </c>
      <c r="J391" s="365">
        <f t="shared" si="126"/>
        <v>0</v>
      </c>
      <c r="K391" s="25">
        <f t="shared" si="121"/>
        <v>606831.29203672393</v>
      </c>
      <c r="L391" s="778">
        <v>280</v>
      </c>
      <c r="M391" s="778">
        <f t="shared" si="123"/>
        <v>2167.2546144168714</v>
      </c>
      <c r="N391" s="678">
        <v>2700</v>
      </c>
      <c r="O391" s="678"/>
      <c r="P391" s="189" t="s">
        <v>402</v>
      </c>
      <c r="Q391" s="792">
        <v>40839</v>
      </c>
      <c r="R391" s="793"/>
      <c r="S391" s="306">
        <v>10</v>
      </c>
      <c r="T391" s="821">
        <v>24325</v>
      </c>
      <c r="U391" s="25">
        <f t="shared" si="124"/>
        <v>243250</v>
      </c>
      <c r="V391" s="456"/>
      <c r="W391" s="792"/>
      <c r="X391" s="822"/>
      <c r="Y391" s="821"/>
      <c r="Z391" s="25">
        <f t="shared" si="125"/>
        <v>0</v>
      </c>
    </row>
    <row r="392" spans="1:26" ht="16.5" customHeight="1">
      <c r="A392" s="777">
        <f t="shared" si="119"/>
        <v>47</v>
      </c>
      <c r="B392" s="298" t="s">
        <v>1250</v>
      </c>
      <c r="C392" s="25">
        <f t="shared" si="120"/>
        <v>3173916</v>
      </c>
      <c r="D392" s="778">
        <f t="shared" si="126"/>
        <v>64902.36351574037</v>
      </c>
      <c r="E392" s="778">
        <f t="shared" si="126"/>
        <v>20537.162668264602</v>
      </c>
      <c r="F392" s="778">
        <f t="shared" si="126"/>
        <v>44280.608641684681</v>
      </c>
      <c r="G392" s="778">
        <f t="shared" si="126"/>
        <v>3539.3412802020248</v>
      </c>
      <c r="H392" s="778">
        <f t="shared" si="126"/>
        <v>64443.469514413511</v>
      </c>
      <c r="I392" s="778">
        <f t="shared" si="126"/>
        <v>16550.905044192867</v>
      </c>
      <c r="J392" s="365">
        <f t="shared" si="126"/>
        <v>0</v>
      </c>
      <c r="K392" s="25">
        <f t="shared" si="121"/>
        <v>3388168.8506644978</v>
      </c>
      <c r="L392" s="778">
        <v>165</v>
      </c>
      <c r="M392" s="778">
        <f t="shared" si="123"/>
        <v>20534.356670693927</v>
      </c>
      <c r="N392" s="678">
        <v>25900</v>
      </c>
      <c r="O392" s="678"/>
      <c r="P392" s="40" t="s">
        <v>588</v>
      </c>
      <c r="Q392" s="792">
        <v>40840</v>
      </c>
      <c r="R392" s="793"/>
      <c r="S392" s="306">
        <v>86</v>
      </c>
      <c r="T392" s="821">
        <v>36906</v>
      </c>
      <c r="U392" s="25">
        <f t="shared" si="124"/>
        <v>3173916</v>
      </c>
      <c r="V392" s="456"/>
      <c r="W392" s="792"/>
      <c r="X392" s="822"/>
      <c r="Y392" s="821"/>
      <c r="Z392" s="25">
        <f t="shared" si="125"/>
        <v>0</v>
      </c>
    </row>
    <row r="393" spans="1:26" ht="16.5" customHeight="1">
      <c r="A393" s="777">
        <f t="shared" si="119"/>
        <v>48</v>
      </c>
      <c r="B393" s="298" t="s">
        <v>1252</v>
      </c>
      <c r="C393" s="25">
        <f t="shared" si="120"/>
        <v>7697228</v>
      </c>
      <c r="D393" s="778">
        <f t="shared" si="126"/>
        <v>224601.51253022879</v>
      </c>
      <c r="E393" s="778">
        <f t="shared" si="126"/>
        <v>71071.029597449015</v>
      </c>
      <c r="F393" s="778">
        <f t="shared" si="126"/>
        <v>153237.7426327391</v>
      </c>
      <c r="G393" s="778">
        <f t="shared" si="126"/>
        <v>12248.265884820339</v>
      </c>
      <c r="H393" s="778">
        <f t="shared" si="126"/>
        <v>223013.4611680613</v>
      </c>
      <c r="I393" s="778">
        <f t="shared" si="126"/>
        <v>57276.162304449252</v>
      </c>
      <c r="J393" s="365">
        <f t="shared" si="126"/>
        <v>0</v>
      </c>
      <c r="K393" s="25">
        <f t="shared" si="121"/>
        <v>8438675.1741177477</v>
      </c>
      <c r="L393" s="778">
        <v>571</v>
      </c>
      <c r="M393" s="778">
        <f t="shared" si="123"/>
        <v>14778.765628927755</v>
      </c>
      <c r="N393" s="678">
        <v>21300</v>
      </c>
      <c r="O393" s="678"/>
      <c r="P393" s="40" t="s">
        <v>593</v>
      </c>
      <c r="Q393" s="792">
        <v>40840</v>
      </c>
      <c r="R393" s="793"/>
      <c r="S393" s="306">
        <v>326</v>
      </c>
      <c r="T393" s="821">
        <v>23611.12883435583</v>
      </c>
      <c r="U393" s="25">
        <f t="shared" si="124"/>
        <v>7697228</v>
      </c>
      <c r="V393" s="456"/>
      <c r="W393" s="792"/>
      <c r="X393" s="822"/>
      <c r="Y393" s="821"/>
      <c r="Z393" s="25">
        <f t="shared" si="125"/>
        <v>0</v>
      </c>
    </row>
    <row r="394" spans="1:26" ht="16.5" customHeight="1">
      <c r="A394" s="777">
        <f t="shared" si="119"/>
        <v>49</v>
      </c>
      <c r="B394" s="298" t="s">
        <v>1265</v>
      </c>
      <c r="C394" s="25">
        <f t="shared" si="120"/>
        <v>1237650</v>
      </c>
      <c r="D394" s="778">
        <f t="shared" si="126"/>
        <v>59002.148650673058</v>
      </c>
      <c r="E394" s="778">
        <f t="shared" si="126"/>
        <v>18670.147880240547</v>
      </c>
      <c r="F394" s="778">
        <f t="shared" si="126"/>
        <v>40255.098765167888</v>
      </c>
      <c r="G394" s="778">
        <f t="shared" si="126"/>
        <v>3217.5829820018407</v>
      </c>
      <c r="H394" s="778">
        <f t="shared" si="126"/>
        <v>58584.972285830459</v>
      </c>
      <c r="I394" s="778">
        <f t="shared" si="126"/>
        <v>15046.277312902605</v>
      </c>
      <c r="J394" s="365">
        <f t="shared" si="126"/>
        <v>0</v>
      </c>
      <c r="K394" s="25">
        <f t="shared" si="121"/>
        <v>1432425.2278768162</v>
      </c>
      <c r="L394" s="778">
        <v>150</v>
      </c>
      <c r="M394" s="778">
        <f t="shared" si="123"/>
        <v>9549.5015191787752</v>
      </c>
      <c r="N394" s="678">
        <v>10397</v>
      </c>
      <c r="O394" s="678"/>
      <c r="P394" s="40" t="s">
        <v>649</v>
      </c>
      <c r="Q394" s="792">
        <v>40855</v>
      </c>
      <c r="R394" s="793"/>
      <c r="S394" s="306">
        <f>L394/2</f>
        <v>75</v>
      </c>
      <c r="T394" s="821">
        <v>16502</v>
      </c>
      <c r="U394" s="25">
        <f t="shared" si="124"/>
        <v>1237650</v>
      </c>
      <c r="V394" s="456"/>
      <c r="W394" s="792"/>
      <c r="X394" s="822"/>
      <c r="Y394" s="821"/>
      <c r="Z394" s="25">
        <f t="shared" si="125"/>
        <v>0</v>
      </c>
    </row>
    <row r="395" spans="1:26" ht="16.5" customHeight="1">
      <c r="A395" s="777">
        <f t="shared" si="119"/>
        <v>50</v>
      </c>
      <c r="B395" s="298" t="s">
        <v>1266</v>
      </c>
      <c r="C395" s="25">
        <f t="shared" si="120"/>
        <v>284460</v>
      </c>
      <c r="D395" s="778">
        <f t="shared" si="126"/>
        <v>12980.472703148074</v>
      </c>
      <c r="E395" s="778">
        <f t="shared" si="126"/>
        <v>4107.43253365292</v>
      </c>
      <c r="F395" s="778">
        <f t="shared" si="126"/>
        <v>8856.1217283369351</v>
      </c>
      <c r="G395" s="778">
        <f t="shared" si="126"/>
        <v>707.86825604040496</v>
      </c>
      <c r="H395" s="778">
        <f t="shared" si="126"/>
        <v>12888.693902882702</v>
      </c>
      <c r="I395" s="778">
        <f t="shared" si="126"/>
        <v>3310.1810088385732</v>
      </c>
      <c r="J395" s="365">
        <f t="shared" si="126"/>
        <v>0</v>
      </c>
      <c r="K395" s="25">
        <f t="shared" si="121"/>
        <v>327309.77013289963</v>
      </c>
      <c r="L395" s="778">
        <v>33</v>
      </c>
      <c r="M395" s="778">
        <f t="shared" si="123"/>
        <v>9918.4778828151411</v>
      </c>
      <c r="N395" s="678">
        <v>12869</v>
      </c>
      <c r="O395" s="678"/>
      <c r="P395" s="189" t="s">
        <v>507</v>
      </c>
      <c r="Q395" s="792">
        <v>40855</v>
      </c>
      <c r="R395" s="793"/>
      <c r="S395" s="306">
        <f>L395</f>
        <v>33</v>
      </c>
      <c r="T395" s="821">
        <v>8620</v>
      </c>
      <c r="U395" s="25">
        <f t="shared" si="124"/>
        <v>284460</v>
      </c>
      <c r="V395" s="456"/>
      <c r="W395" s="792"/>
      <c r="X395" s="822"/>
      <c r="Y395" s="821"/>
      <c r="Z395" s="25">
        <f t="shared" si="125"/>
        <v>0</v>
      </c>
    </row>
    <row r="396" spans="1:26" ht="16.5" customHeight="1">
      <c r="A396" s="777">
        <f t="shared" si="119"/>
        <v>51</v>
      </c>
      <c r="B396" s="298" t="s">
        <v>1259</v>
      </c>
      <c r="C396" s="25">
        <f t="shared" si="120"/>
        <v>227568</v>
      </c>
      <c r="D396" s="778">
        <f t="shared" si="126"/>
        <v>8653.6484687653829</v>
      </c>
      <c r="E396" s="778">
        <f t="shared" si="126"/>
        <v>2738.2883557686137</v>
      </c>
      <c r="F396" s="778">
        <f t="shared" si="126"/>
        <v>5904.081152224624</v>
      </c>
      <c r="G396" s="778">
        <f t="shared" si="126"/>
        <v>471.91217069360329</v>
      </c>
      <c r="H396" s="778">
        <f t="shared" si="126"/>
        <v>8592.4626019218013</v>
      </c>
      <c r="I396" s="778">
        <f t="shared" si="126"/>
        <v>2206.7873392257152</v>
      </c>
      <c r="J396" s="365">
        <f t="shared" si="126"/>
        <v>0</v>
      </c>
      <c r="K396" s="25">
        <f t="shared" si="121"/>
        <v>256134.18008859971</v>
      </c>
      <c r="L396" s="778">
        <v>22</v>
      </c>
      <c r="M396" s="778">
        <f t="shared" si="123"/>
        <v>11642.462731299987</v>
      </c>
      <c r="N396" s="678">
        <v>14450</v>
      </c>
      <c r="O396" s="678"/>
      <c r="P396" s="189" t="s">
        <v>578</v>
      </c>
      <c r="Q396" s="792">
        <v>40855</v>
      </c>
      <c r="R396" s="793"/>
      <c r="S396" s="306">
        <f>L396</f>
        <v>22</v>
      </c>
      <c r="T396" s="821">
        <v>10344</v>
      </c>
      <c r="U396" s="25">
        <f t="shared" si="124"/>
        <v>227568</v>
      </c>
      <c r="V396" s="456"/>
      <c r="W396" s="792"/>
      <c r="X396" s="822"/>
      <c r="Y396" s="821"/>
      <c r="Z396" s="25">
        <f t="shared" si="125"/>
        <v>0</v>
      </c>
    </row>
    <row r="397" spans="1:26" ht="16.5" customHeight="1">
      <c r="A397" s="777">
        <f t="shared" si="119"/>
        <v>52</v>
      </c>
      <c r="B397" s="298" t="s">
        <v>1258</v>
      </c>
      <c r="C397" s="25">
        <f t="shared" si="120"/>
        <v>379280</v>
      </c>
      <c r="D397" s="778">
        <f t="shared" si="126"/>
        <v>17307.296937530766</v>
      </c>
      <c r="E397" s="778">
        <f t="shared" si="126"/>
        <v>5476.5767115372273</v>
      </c>
      <c r="F397" s="778">
        <f t="shared" si="126"/>
        <v>11808.162304449248</v>
      </c>
      <c r="G397" s="778">
        <f t="shared" si="126"/>
        <v>943.82434138720657</v>
      </c>
      <c r="H397" s="778">
        <f t="shared" si="126"/>
        <v>17184.925203843603</v>
      </c>
      <c r="I397" s="778">
        <f t="shared" si="126"/>
        <v>4413.5746784514304</v>
      </c>
      <c r="J397" s="365">
        <f t="shared" si="126"/>
        <v>0</v>
      </c>
      <c r="K397" s="25">
        <f t="shared" si="121"/>
        <v>436413.36017719941</v>
      </c>
      <c r="L397" s="778">
        <v>44</v>
      </c>
      <c r="M397" s="778">
        <f t="shared" si="123"/>
        <v>9918.4854585727135</v>
      </c>
      <c r="N397" s="678">
        <v>11420</v>
      </c>
      <c r="O397" s="678"/>
      <c r="P397" s="189" t="s">
        <v>507</v>
      </c>
      <c r="Q397" s="792">
        <v>40855</v>
      </c>
      <c r="R397" s="793"/>
      <c r="S397" s="306">
        <f>L397</f>
        <v>44</v>
      </c>
      <c r="T397" s="821">
        <v>8620</v>
      </c>
      <c r="U397" s="25">
        <f t="shared" si="124"/>
        <v>379280</v>
      </c>
      <c r="V397" s="456"/>
      <c r="W397" s="792"/>
      <c r="X397" s="822"/>
      <c r="Y397" s="821"/>
      <c r="Z397" s="25">
        <f t="shared" si="125"/>
        <v>0</v>
      </c>
    </row>
    <row r="398" spans="1:26" ht="16.5" customHeight="1">
      <c r="A398" s="777">
        <f t="shared" si="119"/>
        <v>53</v>
      </c>
      <c r="B398" s="298" t="s">
        <v>1260</v>
      </c>
      <c r="C398" s="25">
        <f t="shared" si="120"/>
        <v>314309</v>
      </c>
      <c r="D398" s="778">
        <f t="shared" si="126"/>
        <v>12193.777387805765</v>
      </c>
      <c r="E398" s="778">
        <f t="shared" si="126"/>
        <v>3858.4972285830463</v>
      </c>
      <c r="F398" s="778">
        <f t="shared" si="126"/>
        <v>8319.3870781346977</v>
      </c>
      <c r="G398" s="778">
        <f t="shared" ref="D398:J434" si="127">IF($L$588&lt;&gt;0,G$588/$L$588*$L398,0)</f>
        <v>664.96714961371367</v>
      </c>
      <c r="H398" s="778">
        <f t="shared" si="127"/>
        <v>12107.560939071629</v>
      </c>
      <c r="I398" s="778">
        <f t="shared" si="127"/>
        <v>3109.5639779998714</v>
      </c>
      <c r="J398" s="365">
        <f t="shared" si="127"/>
        <v>0</v>
      </c>
      <c r="K398" s="25">
        <f t="shared" si="121"/>
        <v>354561.75376120867</v>
      </c>
      <c r="L398" s="778">
        <v>31</v>
      </c>
      <c r="M398" s="778">
        <f t="shared" si="123"/>
        <v>11437.475927780924</v>
      </c>
      <c r="N398" s="678">
        <v>13881</v>
      </c>
      <c r="O398" s="678"/>
      <c r="P398" s="40" t="s">
        <v>642</v>
      </c>
      <c r="Q398" s="792">
        <v>40855</v>
      </c>
      <c r="R398" s="793"/>
      <c r="S398" s="306">
        <f>L398/2</f>
        <v>15.5</v>
      </c>
      <c r="T398" s="821">
        <v>20278</v>
      </c>
      <c r="U398" s="25">
        <f t="shared" si="124"/>
        <v>314309</v>
      </c>
      <c r="V398" s="456"/>
      <c r="W398" s="792"/>
      <c r="X398" s="822"/>
      <c r="Y398" s="821"/>
      <c r="Z398" s="25">
        <f t="shared" si="125"/>
        <v>0</v>
      </c>
    </row>
    <row r="399" spans="1:26" ht="16.5" customHeight="1">
      <c r="A399" s="777">
        <f t="shared" si="119"/>
        <v>54</v>
      </c>
      <c r="B399" s="298" t="s">
        <v>1264</v>
      </c>
      <c r="C399" s="25">
        <f t="shared" si="120"/>
        <v>451360</v>
      </c>
      <c r="D399" s="778">
        <f t="shared" si="127"/>
        <v>12587.12504547692</v>
      </c>
      <c r="E399" s="778">
        <f t="shared" si="127"/>
        <v>3982.9648811179832</v>
      </c>
      <c r="F399" s="778">
        <f t="shared" si="127"/>
        <v>8587.7544032358164</v>
      </c>
      <c r="G399" s="778">
        <f t="shared" si="127"/>
        <v>686.41770282705932</v>
      </c>
      <c r="H399" s="778">
        <f t="shared" si="127"/>
        <v>12498.127420977165</v>
      </c>
      <c r="I399" s="778">
        <f t="shared" si="127"/>
        <v>3209.8724934192223</v>
      </c>
      <c r="J399" s="365">
        <f t="shared" si="127"/>
        <v>0</v>
      </c>
      <c r="K399" s="25">
        <f t="shared" si="121"/>
        <v>492911.26194705418</v>
      </c>
      <c r="L399" s="778">
        <v>32</v>
      </c>
      <c r="M399" s="778">
        <f t="shared" si="123"/>
        <v>15403.476935845443</v>
      </c>
      <c r="N399" s="678">
        <v>17372</v>
      </c>
      <c r="O399" s="678"/>
      <c r="P399" s="40" t="s">
        <v>651</v>
      </c>
      <c r="Q399" s="792">
        <v>40855</v>
      </c>
      <c r="R399" s="793"/>
      <c r="S399" s="306">
        <f>L399</f>
        <v>32</v>
      </c>
      <c r="T399" s="821">
        <v>14105</v>
      </c>
      <c r="U399" s="25">
        <f t="shared" si="124"/>
        <v>451360</v>
      </c>
      <c r="V399" s="456"/>
      <c r="W399" s="792"/>
      <c r="X399" s="822"/>
      <c r="Y399" s="821"/>
      <c r="Z399" s="25">
        <f t="shared" si="125"/>
        <v>0</v>
      </c>
    </row>
    <row r="400" spans="1:26" ht="16.5" customHeight="1">
      <c r="A400" s="777">
        <f t="shared" si="119"/>
        <v>55</v>
      </c>
      <c r="B400" s="298" t="s">
        <v>1261</v>
      </c>
      <c r="C400" s="25">
        <f t="shared" si="120"/>
        <v>17368</v>
      </c>
      <c r="D400" s="778">
        <f t="shared" si="127"/>
        <v>393.34765767115374</v>
      </c>
      <c r="E400" s="778">
        <f t="shared" si="127"/>
        <v>124.46765253493697</v>
      </c>
      <c r="F400" s="778">
        <f t="shared" si="127"/>
        <v>268.36732510111926</v>
      </c>
      <c r="G400" s="778">
        <f t="shared" si="127"/>
        <v>21.450553213345604</v>
      </c>
      <c r="H400" s="778">
        <f t="shared" si="127"/>
        <v>390.56648190553642</v>
      </c>
      <c r="I400" s="778">
        <f t="shared" si="127"/>
        <v>100.3085154193507</v>
      </c>
      <c r="J400" s="365">
        <f t="shared" si="127"/>
        <v>0</v>
      </c>
      <c r="K400" s="25">
        <f t="shared" si="121"/>
        <v>18665.508185845447</v>
      </c>
      <c r="L400" s="778">
        <v>1</v>
      </c>
      <c r="M400" s="778">
        <f t="shared" si="123"/>
        <v>18665.508185845447</v>
      </c>
      <c r="N400" s="678">
        <v>20981</v>
      </c>
      <c r="O400" s="678"/>
      <c r="P400" s="189" t="s">
        <v>553</v>
      </c>
      <c r="Q400" s="792">
        <v>40855</v>
      </c>
      <c r="R400" s="793"/>
      <c r="S400" s="306">
        <f>L400</f>
        <v>1</v>
      </c>
      <c r="T400" s="821">
        <v>17368</v>
      </c>
      <c r="U400" s="25">
        <f t="shared" si="124"/>
        <v>17368</v>
      </c>
      <c r="V400" s="456"/>
      <c r="W400" s="792"/>
      <c r="X400" s="822"/>
      <c r="Y400" s="821"/>
      <c r="Z400" s="25">
        <f t="shared" si="125"/>
        <v>0</v>
      </c>
    </row>
    <row r="401" spans="1:26" ht="16.5" customHeight="1">
      <c r="A401" s="777">
        <f t="shared" si="119"/>
        <v>56</v>
      </c>
      <c r="B401" s="298" t="s">
        <v>1267</v>
      </c>
      <c r="C401" s="25">
        <f t="shared" si="120"/>
        <v>367920</v>
      </c>
      <c r="D401" s="778">
        <f t="shared" si="127"/>
        <v>10620.38675712115</v>
      </c>
      <c r="E401" s="778">
        <f t="shared" si="127"/>
        <v>3360.6266184432984</v>
      </c>
      <c r="F401" s="778">
        <f t="shared" si="127"/>
        <v>7245.9177777302202</v>
      </c>
      <c r="G401" s="778">
        <f t="shared" si="127"/>
        <v>579.16493676033133</v>
      </c>
      <c r="H401" s="778">
        <f t="shared" si="127"/>
        <v>10545.295011449483</v>
      </c>
      <c r="I401" s="778">
        <f t="shared" si="127"/>
        <v>2708.3299163224688</v>
      </c>
      <c r="J401" s="365">
        <f t="shared" si="127"/>
        <v>0</v>
      </c>
      <c r="K401" s="25">
        <f t="shared" si="121"/>
        <v>402978.72101782693</v>
      </c>
      <c r="L401" s="778">
        <v>27</v>
      </c>
      <c r="M401" s="778">
        <f t="shared" si="123"/>
        <v>14925.137815475071</v>
      </c>
      <c r="N401" s="678">
        <v>16832</v>
      </c>
      <c r="O401" s="678"/>
      <c r="P401" s="189" t="s">
        <v>401</v>
      </c>
      <c r="Q401" s="792">
        <v>40855</v>
      </c>
      <c r="R401" s="793"/>
      <c r="S401" s="306">
        <v>10</v>
      </c>
      <c r="T401" s="821">
        <v>36792</v>
      </c>
      <c r="U401" s="25">
        <f t="shared" si="124"/>
        <v>367920</v>
      </c>
      <c r="V401" s="456"/>
      <c r="W401" s="792"/>
      <c r="X401" s="822"/>
      <c r="Y401" s="821"/>
      <c r="Z401" s="25">
        <f t="shared" si="125"/>
        <v>0</v>
      </c>
    </row>
    <row r="402" spans="1:26" ht="16.5" customHeight="1">
      <c r="A402" s="777">
        <f t="shared" si="119"/>
        <v>57</v>
      </c>
      <c r="B402" s="298" t="s">
        <v>748</v>
      </c>
      <c r="C402" s="25">
        <f t="shared" si="120"/>
        <v>74239</v>
      </c>
      <c r="D402" s="778">
        <f t="shared" si="127"/>
        <v>4326.8242343826914</v>
      </c>
      <c r="E402" s="778">
        <f t="shared" si="127"/>
        <v>1369.1441778843068</v>
      </c>
      <c r="F402" s="778">
        <f t="shared" si="127"/>
        <v>2952.040576112312</v>
      </c>
      <c r="G402" s="778">
        <f t="shared" si="127"/>
        <v>235.95608534680164</v>
      </c>
      <c r="H402" s="778">
        <f t="shared" si="127"/>
        <v>4296.2313009609006</v>
      </c>
      <c r="I402" s="778">
        <f t="shared" si="127"/>
        <v>1103.3936696128576</v>
      </c>
      <c r="J402" s="365">
        <f t="shared" si="127"/>
        <v>0</v>
      </c>
      <c r="K402" s="25">
        <f t="shared" si="121"/>
        <v>88521.590044299854</v>
      </c>
      <c r="L402" s="778">
        <v>11</v>
      </c>
      <c r="M402" s="778">
        <f t="shared" si="123"/>
        <v>8047.4172767545324</v>
      </c>
      <c r="N402" s="678">
        <v>10253</v>
      </c>
      <c r="O402" s="678"/>
      <c r="P402" s="189" t="s">
        <v>501</v>
      </c>
      <c r="Q402" s="792">
        <v>40855</v>
      </c>
      <c r="R402" s="793"/>
      <c r="S402" s="306">
        <f>L402/2</f>
        <v>5.5</v>
      </c>
      <c r="T402" s="821">
        <v>13498</v>
      </c>
      <c r="U402" s="25">
        <f t="shared" si="124"/>
        <v>74239</v>
      </c>
      <c r="V402" s="456"/>
      <c r="W402" s="792"/>
      <c r="X402" s="822"/>
      <c r="Y402" s="821"/>
      <c r="Z402" s="25">
        <f t="shared" si="125"/>
        <v>0</v>
      </c>
    </row>
    <row r="403" spans="1:26" ht="16.5" customHeight="1">
      <c r="A403" s="777">
        <f t="shared" si="119"/>
        <v>58</v>
      </c>
      <c r="B403" s="298" t="s">
        <v>746</v>
      </c>
      <c r="C403" s="25">
        <f t="shared" si="120"/>
        <v>2359786</v>
      </c>
      <c r="D403" s="778">
        <f t="shared" si="127"/>
        <v>112104.08243627881</v>
      </c>
      <c r="E403" s="778">
        <f t="shared" si="127"/>
        <v>35473.28097245704</v>
      </c>
      <c r="F403" s="778">
        <f t="shared" si="127"/>
        <v>76484.687653818997</v>
      </c>
      <c r="G403" s="778">
        <f t="shared" si="127"/>
        <v>6113.4076658034974</v>
      </c>
      <c r="H403" s="778">
        <f t="shared" si="127"/>
        <v>111311.44734307787</v>
      </c>
      <c r="I403" s="778">
        <f t="shared" si="127"/>
        <v>28587.926894514949</v>
      </c>
      <c r="J403" s="365">
        <f t="shared" si="127"/>
        <v>0</v>
      </c>
      <c r="K403" s="25">
        <f t="shared" si="121"/>
        <v>2729859.8329659514</v>
      </c>
      <c r="L403" s="778">
        <v>285</v>
      </c>
      <c r="M403" s="778">
        <f t="shared" si="123"/>
        <v>9578.4555542664966</v>
      </c>
      <c r="N403" s="678">
        <v>10595</v>
      </c>
      <c r="O403" s="678"/>
      <c r="P403" s="40" t="s">
        <v>649</v>
      </c>
      <c r="Q403" s="792">
        <v>40855</v>
      </c>
      <c r="R403" s="793"/>
      <c r="S403" s="306">
        <v>143</v>
      </c>
      <c r="T403" s="821">
        <v>16502</v>
      </c>
      <c r="U403" s="25">
        <f t="shared" si="124"/>
        <v>2359786</v>
      </c>
      <c r="V403" s="456"/>
      <c r="W403" s="792"/>
      <c r="X403" s="822"/>
      <c r="Y403" s="821"/>
      <c r="Z403" s="25">
        <f t="shared" si="125"/>
        <v>0</v>
      </c>
    </row>
    <row r="404" spans="1:26" ht="16.5" customHeight="1">
      <c r="A404" s="777">
        <f t="shared" si="119"/>
        <v>59</v>
      </c>
      <c r="B404" s="298" t="s">
        <v>755</v>
      </c>
      <c r="C404" s="25">
        <f t="shared" si="120"/>
        <v>27594</v>
      </c>
      <c r="D404" s="778">
        <f t="shared" si="127"/>
        <v>1180.0429730134613</v>
      </c>
      <c r="E404" s="778">
        <f t="shared" si="127"/>
        <v>373.40295760481092</v>
      </c>
      <c r="F404" s="778">
        <f t="shared" si="127"/>
        <v>805.10197530335779</v>
      </c>
      <c r="G404" s="778">
        <f t="shared" si="127"/>
        <v>64.351659640036814</v>
      </c>
      <c r="H404" s="778">
        <f t="shared" si="127"/>
        <v>1171.6994457166093</v>
      </c>
      <c r="I404" s="778">
        <f t="shared" si="127"/>
        <v>300.92554625805212</v>
      </c>
      <c r="J404" s="365">
        <f t="shared" si="127"/>
        <v>0</v>
      </c>
      <c r="K404" s="25">
        <f t="shared" si="121"/>
        <v>31488.524557536326</v>
      </c>
      <c r="L404" s="778">
        <v>3</v>
      </c>
      <c r="M404" s="778">
        <f t="shared" si="123"/>
        <v>10496.174852512109</v>
      </c>
      <c r="N404" s="678">
        <v>12179</v>
      </c>
      <c r="O404" s="678"/>
      <c r="P404" s="40" t="s">
        <v>611</v>
      </c>
      <c r="Q404" s="792">
        <v>40855</v>
      </c>
      <c r="R404" s="793"/>
      <c r="S404" s="306">
        <f>L404/2</f>
        <v>1.5</v>
      </c>
      <c r="T404" s="821">
        <v>18396</v>
      </c>
      <c r="U404" s="25">
        <f t="shared" si="124"/>
        <v>27594</v>
      </c>
      <c r="V404" s="456"/>
      <c r="W404" s="792"/>
      <c r="X404" s="822"/>
      <c r="Y404" s="821"/>
      <c r="Z404" s="25">
        <f t="shared" si="125"/>
        <v>0</v>
      </c>
    </row>
    <row r="405" spans="1:26" ht="16.5" customHeight="1">
      <c r="A405" s="777">
        <f t="shared" si="119"/>
        <v>60</v>
      </c>
      <c r="B405" s="298" t="s">
        <v>750</v>
      </c>
      <c r="C405" s="25">
        <f t="shared" si="120"/>
        <v>486989</v>
      </c>
      <c r="D405" s="778">
        <f t="shared" si="127"/>
        <v>14553.863333832689</v>
      </c>
      <c r="E405" s="778">
        <f t="shared" si="127"/>
        <v>4605.3031437926684</v>
      </c>
      <c r="F405" s="778">
        <f t="shared" si="127"/>
        <v>9929.5910287414135</v>
      </c>
      <c r="G405" s="778">
        <f t="shared" si="127"/>
        <v>793.6704688937873</v>
      </c>
      <c r="H405" s="778">
        <f t="shared" si="127"/>
        <v>14450.959830504848</v>
      </c>
      <c r="I405" s="778">
        <f t="shared" si="127"/>
        <v>3711.4150705159759</v>
      </c>
      <c r="J405" s="365">
        <f t="shared" si="127"/>
        <v>0</v>
      </c>
      <c r="K405" s="25">
        <f t="shared" si="121"/>
        <v>535032.80287628132</v>
      </c>
      <c r="L405" s="778">
        <v>37</v>
      </c>
      <c r="M405" s="778">
        <f t="shared" si="123"/>
        <v>14460.34602368328</v>
      </c>
      <c r="N405" s="678">
        <v>15618</v>
      </c>
      <c r="O405" s="678"/>
      <c r="P405" s="456" t="s">
        <v>643</v>
      </c>
      <c r="Q405" s="792">
        <v>40855</v>
      </c>
      <c r="R405" s="793"/>
      <c r="S405" s="306">
        <v>19</v>
      </c>
      <c r="T405" s="821">
        <v>25631</v>
      </c>
      <c r="U405" s="25">
        <f t="shared" si="124"/>
        <v>486989</v>
      </c>
      <c r="V405" s="456"/>
      <c r="W405" s="792"/>
      <c r="X405" s="822"/>
      <c r="Y405" s="821"/>
      <c r="Z405" s="25">
        <f t="shared" si="125"/>
        <v>0</v>
      </c>
    </row>
    <row r="406" spans="1:26" ht="16.5" customHeight="1">
      <c r="A406" s="777">
        <f t="shared" si="119"/>
        <v>61</v>
      </c>
      <c r="B406" s="298" t="s">
        <v>1262</v>
      </c>
      <c r="C406" s="25">
        <f t="shared" si="120"/>
        <v>488390</v>
      </c>
      <c r="D406" s="778">
        <f t="shared" si="127"/>
        <v>13767.168018490382</v>
      </c>
      <c r="E406" s="778">
        <f t="shared" si="127"/>
        <v>4356.3678387227937</v>
      </c>
      <c r="F406" s="778">
        <f t="shared" si="127"/>
        <v>9392.8563785391743</v>
      </c>
      <c r="G406" s="778">
        <f t="shared" si="127"/>
        <v>750.76936246709613</v>
      </c>
      <c r="H406" s="778">
        <f t="shared" si="127"/>
        <v>13669.826866693775</v>
      </c>
      <c r="I406" s="778">
        <f t="shared" si="127"/>
        <v>3510.7980396772746</v>
      </c>
      <c r="J406" s="365">
        <f t="shared" si="127"/>
        <v>0</v>
      </c>
      <c r="K406" s="25">
        <f t="shared" si="121"/>
        <v>533836.78650459053</v>
      </c>
      <c r="L406" s="778">
        <v>35</v>
      </c>
      <c r="M406" s="778">
        <f t="shared" si="123"/>
        <v>15252.479614416872</v>
      </c>
      <c r="N406" s="678">
        <v>16534</v>
      </c>
      <c r="O406" s="678"/>
      <c r="P406" s="189" t="s">
        <v>549</v>
      </c>
      <c r="Q406" s="792">
        <v>40855</v>
      </c>
      <c r="R406" s="793"/>
      <c r="S406" s="306">
        <f>L406</f>
        <v>35</v>
      </c>
      <c r="T406" s="821">
        <v>13954</v>
      </c>
      <c r="U406" s="25">
        <f t="shared" si="124"/>
        <v>488390</v>
      </c>
      <c r="V406" s="456"/>
      <c r="W406" s="792"/>
      <c r="X406" s="822"/>
      <c r="Y406" s="821"/>
      <c r="Z406" s="25">
        <f t="shared" si="125"/>
        <v>0</v>
      </c>
    </row>
    <row r="407" spans="1:26" ht="16.5" customHeight="1">
      <c r="A407" s="777">
        <f t="shared" si="119"/>
        <v>62</v>
      </c>
      <c r="B407" s="298" t="s">
        <v>1254</v>
      </c>
      <c r="C407" s="25">
        <f t="shared" si="120"/>
        <v>563882</v>
      </c>
      <c r="D407" s="778">
        <f t="shared" si="127"/>
        <v>17307.296937530766</v>
      </c>
      <c r="E407" s="778">
        <f t="shared" si="127"/>
        <v>5476.5767115372273</v>
      </c>
      <c r="F407" s="778">
        <f t="shared" si="127"/>
        <v>11808.162304449248</v>
      </c>
      <c r="G407" s="778">
        <f t="shared" si="127"/>
        <v>943.82434138720657</v>
      </c>
      <c r="H407" s="778">
        <f t="shared" si="127"/>
        <v>17184.925203843603</v>
      </c>
      <c r="I407" s="778">
        <f t="shared" si="127"/>
        <v>4413.5746784514304</v>
      </c>
      <c r="J407" s="365">
        <f t="shared" si="127"/>
        <v>0</v>
      </c>
      <c r="K407" s="25">
        <f t="shared" si="121"/>
        <v>621015.36017719947</v>
      </c>
      <c r="L407" s="778">
        <v>44</v>
      </c>
      <c r="M407" s="778">
        <f t="shared" si="123"/>
        <v>14113.985458572715</v>
      </c>
      <c r="N407" s="678">
        <v>14880</v>
      </c>
      <c r="O407" s="678"/>
      <c r="P407" s="40" t="s">
        <v>643</v>
      </c>
      <c r="Q407" s="792">
        <v>40855</v>
      </c>
      <c r="R407" s="793"/>
      <c r="S407" s="306">
        <f>L407/2</f>
        <v>22</v>
      </c>
      <c r="T407" s="821">
        <v>25631</v>
      </c>
      <c r="U407" s="25">
        <f t="shared" si="124"/>
        <v>563882</v>
      </c>
      <c r="V407" s="456"/>
      <c r="W407" s="792"/>
      <c r="X407" s="822"/>
      <c r="Y407" s="821"/>
      <c r="Z407" s="25">
        <f t="shared" si="125"/>
        <v>0</v>
      </c>
    </row>
    <row r="408" spans="1:26" ht="16.5" customHeight="1">
      <c r="A408" s="777">
        <f t="shared" si="119"/>
        <v>63</v>
      </c>
      <c r="B408" s="298" t="s">
        <v>1289</v>
      </c>
      <c r="C408" s="25">
        <f t="shared" si="120"/>
        <v>169648</v>
      </c>
      <c r="D408" s="778">
        <f t="shared" si="127"/>
        <v>6293.5625227384598</v>
      </c>
      <c r="E408" s="778">
        <f t="shared" si="127"/>
        <v>1991.4824405589916</v>
      </c>
      <c r="F408" s="778">
        <f t="shared" si="127"/>
        <v>4293.8772016179082</v>
      </c>
      <c r="G408" s="778">
        <f t="shared" si="127"/>
        <v>343.20885141352966</v>
      </c>
      <c r="H408" s="778">
        <f t="shared" si="127"/>
        <v>6249.0637104885827</v>
      </c>
      <c r="I408" s="778">
        <f t="shared" si="127"/>
        <v>1604.9362467096112</v>
      </c>
      <c r="J408" s="365">
        <f t="shared" si="127"/>
        <v>0</v>
      </c>
      <c r="K408" s="25">
        <f t="shared" si="121"/>
        <v>190423.13097352709</v>
      </c>
      <c r="L408" s="778">
        <v>16</v>
      </c>
      <c r="M408" s="778">
        <f t="shared" si="123"/>
        <v>11901.445685845443</v>
      </c>
      <c r="N408" s="678">
        <v>12847</v>
      </c>
      <c r="O408" s="678"/>
      <c r="P408" s="189" t="s">
        <v>519</v>
      </c>
      <c r="Q408" s="792">
        <v>40855</v>
      </c>
      <c r="R408" s="793"/>
      <c r="S408" s="306">
        <v>16</v>
      </c>
      <c r="T408" s="821">
        <v>10603</v>
      </c>
      <c r="U408" s="25">
        <f t="shared" si="124"/>
        <v>169648</v>
      </c>
      <c r="V408" s="456"/>
      <c r="W408" s="792"/>
      <c r="X408" s="822"/>
      <c r="Y408" s="821"/>
      <c r="Z408" s="25">
        <f t="shared" si="125"/>
        <v>0</v>
      </c>
    </row>
    <row r="409" spans="1:26" ht="16.5" customHeight="1">
      <c r="A409" s="777">
        <f t="shared" si="119"/>
        <v>64</v>
      </c>
      <c r="B409" s="298" t="s">
        <v>1263</v>
      </c>
      <c r="C409" s="25">
        <f t="shared" si="120"/>
        <v>23688</v>
      </c>
      <c r="D409" s="778">
        <f t="shared" si="127"/>
        <v>786.69531534230748</v>
      </c>
      <c r="E409" s="778">
        <f t="shared" si="127"/>
        <v>248.93530506987395</v>
      </c>
      <c r="F409" s="778">
        <f t="shared" si="127"/>
        <v>536.73465020223853</v>
      </c>
      <c r="G409" s="778">
        <f t="shared" si="127"/>
        <v>42.901106426691207</v>
      </c>
      <c r="H409" s="778">
        <f t="shared" si="127"/>
        <v>781.13296381107284</v>
      </c>
      <c r="I409" s="778">
        <f t="shared" si="127"/>
        <v>200.6170308387014</v>
      </c>
      <c r="J409" s="365">
        <f t="shared" si="127"/>
        <v>0</v>
      </c>
      <c r="K409" s="25">
        <f t="shared" si="121"/>
        <v>26284.016371690886</v>
      </c>
      <c r="L409" s="778">
        <v>2</v>
      </c>
      <c r="M409" s="778">
        <f t="shared" si="123"/>
        <v>13142.008185845443</v>
      </c>
      <c r="N409" s="678">
        <v>15669</v>
      </c>
      <c r="O409" s="678"/>
      <c r="P409" s="40" t="s">
        <v>624</v>
      </c>
      <c r="Q409" s="792">
        <v>40855</v>
      </c>
      <c r="R409" s="793"/>
      <c r="S409" s="306">
        <f>L409/2</f>
        <v>1</v>
      </c>
      <c r="T409" s="821">
        <v>23688</v>
      </c>
      <c r="U409" s="25">
        <f t="shared" si="124"/>
        <v>23688</v>
      </c>
      <c r="V409" s="456"/>
      <c r="W409" s="792"/>
      <c r="X409" s="822"/>
      <c r="Y409" s="821"/>
      <c r="Z409" s="25">
        <f t="shared" si="125"/>
        <v>0</v>
      </c>
    </row>
    <row r="410" spans="1:26" ht="16.5" customHeight="1">
      <c r="A410" s="777">
        <f t="shared" si="119"/>
        <v>65</v>
      </c>
      <c r="B410" s="298" t="s">
        <v>1254</v>
      </c>
      <c r="C410" s="25">
        <f t="shared" si="120"/>
        <v>167030</v>
      </c>
      <c r="D410" s="778">
        <f t="shared" si="127"/>
        <v>7866.9531534230746</v>
      </c>
      <c r="E410" s="778">
        <f t="shared" si="127"/>
        <v>2489.3530506987395</v>
      </c>
      <c r="F410" s="778">
        <f t="shared" si="127"/>
        <v>5367.3465020223848</v>
      </c>
      <c r="G410" s="778">
        <f t="shared" si="127"/>
        <v>429.01106426691206</v>
      </c>
      <c r="H410" s="778">
        <f t="shared" si="127"/>
        <v>7811.3296381107284</v>
      </c>
      <c r="I410" s="778">
        <f t="shared" si="127"/>
        <v>2006.1703083870138</v>
      </c>
      <c r="J410" s="365">
        <f t="shared" si="127"/>
        <v>0</v>
      </c>
      <c r="K410" s="25">
        <f t="shared" si="121"/>
        <v>192999.16371690884</v>
      </c>
      <c r="L410" s="778">
        <v>20</v>
      </c>
      <c r="M410" s="778">
        <f t="shared" si="123"/>
        <v>9649.9581858454421</v>
      </c>
      <c r="N410" s="678">
        <v>14880</v>
      </c>
      <c r="O410" s="678"/>
      <c r="P410" s="40" t="s">
        <v>627</v>
      </c>
      <c r="Q410" s="792">
        <v>40857</v>
      </c>
      <c r="R410" s="793"/>
      <c r="S410" s="306">
        <v>10</v>
      </c>
      <c r="T410" s="821">
        <v>16703</v>
      </c>
      <c r="U410" s="25">
        <f t="shared" si="124"/>
        <v>167030</v>
      </c>
      <c r="V410" s="456"/>
      <c r="W410" s="792"/>
      <c r="X410" s="822"/>
      <c r="Y410" s="821"/>
      <c r="Z410" s="25">
        <f t="shared" si="125"/>
        <v>0</v>
      </c>
    </row>
    <row r="411" spans="1:26" ht="16.5" customHeight="1">
      <c r="A411" s="777">
        <f t="shared" ref="A411:A474" si="128">IF(B411&lt;&gt;"",A410+1,"")</f>
        <v>66</v>
      </c>
      <c r="B411" s="298" t="s">
        <v>1255</v>
      </c>
      <c r="C411" s="25">
        <f t="shared" ref="C411:C474" si="129">U411</f>
        <v>1632592</v>
      </c>
      <c r="D411" s="778">
        <f t="shared" si="127"/>
        <v>36974.679821088452</v>
      </c>
      <c r="E411" s="778">
        <f t="shared" si="127"/>
        <v>11699.959338284076</v>
      </c>
      <c r="F411" s="778">
        <f t="shared" si="127"/>
        <v>25226.528559505212</v>
      </c>
      <c r="G411" s="778">
        <f t="shared" si="127"/>
        <v>2016.3520020544868</v>
      </c>
      <c r="H411" s="778">
        <f t="shared" si="127"/>
        <v>36713.24929912042</v>
      </c>
      <c r="I411" s="778">
        <f t="shared" si="127"/>
        <v>9429.0004494189652</v>
      </c>
      <c r="J411" s="365">
        <f t="shared" si="127"/>
        <v>0</v>
      </c>
      <c r="K411" s="25">
        <f t="shared" ref="K411:K474" si="130">SUM(C411:I411)-1</f>
        <v>1754650.7694694716</v>
      </c>
      <c r="L411" s="778">
        <v>94</v>
      </c>
      <c r="M411" s="778">
        <f t="shared" si="123"/>
        <v>18666.497547547569</v>
      </c>
      <c r="N411" s="678">
        <v>20820</v>
      </c>
      <c r="O411" s="678"/>
      <c r="P411" s="189" t="s">
        <v>553</v>
      </c>
      <c r="Q411" s="792">
        <v>40857</v>
      </c>
      <c r="R411" s="793"/>
      <c r="S411" s="306">
        <f>L411</f>
        <v>94</v>
      </c>
      <c r="T411" s="821">
        <v>17368</v>
      </c>
      <c r="U411" s="25">
        <f t="shared" si="124"/>
        <v>1632592</v>
      </c>
      <c r="V411" s="456"/>
      <c r="W411" s="792"/>
      <c r="X411" s="822"/>
      <c r="Y411" s="821"/>
      <c r="Z411" s="25">
        <f t="shared" si="125"/>
        <v>0</v>
      </c>
    </row>
    <row r="412" spans="1:26" ht="16.5" customHeight="1">
      <c r="A412" s="777">
        <f t="shared" si="128"/>
        <v>67</v>
      </c>
      <c r="B412" s="298" t="s">
        <v>1256</v>
      </c>
      <c r="C412" s="25">
        <f t="shared" si="129"/>
        <v>1176124</v>
      </c>
      <c r="D412" s="778">
        <f t="shared" si="127"/>
        <v>22814.164144926915</v>
      </c>
      <c r="E412" s="778">
        <f t="shared" si="127"/>
        <v>7219.1238470263443</v>
      </c>
      <c r="F412" s="778">
        <f t="shared" si="127"/>
        <v>15565.304855864917</v>
      </c>
      <c r="G412" s="778">
        <f t="shared" si="127"/>
        <v>1244.132086374045</v>
      </c>
      <c r="H412" s="778">
        <f t="shared" si="127"/>
        <v>22652.855950521112</v>
      </c>
      <c r="I412" s="778">
        <f t="shared" si="127"/>
        <v>5817.8938943223402</v>
      </c>
      <c r="J412" s="365">
        <f t="shared" si="127"/>
        <v>0</v>
      </c>
      <c r="K412" s="25">
        <f t="shared" si="130"/>
        <v>1251436.4747790359</v>
      </c>
      <c r="L412" s="778">
        <v>58</v>
      </c>
      <c r="M412" s="778">
        <f t="shared" ref="M412:M475" si="131">IF(L412&lt;&gt;"",K412/L412,"")</f>
        <v>21576.490944466135</v>
      </c>
      <c r="N412" s="678">
        <v>26203</v>
      </c>
      <c r="O412" s="678"/>
      <c r="P412" s="40" t="s">
        <v>642</v>
      </c>
      <c r="Q412" s="792">
        <v>40857</v>
      </c>
      <c r="R412" s="793"/>
      <c r="S412" s="306">
        <f>L412</f>
        <v>58</v>
      </c>
      <c r="T412" s="821">
        <v>20278</v>
      </c>
      <c r="U412" s="25">
        <f t="shared" ref="U412:U475" si="132">ROUND(S412*T412,0)</f>
        <v>1176124</v>
      </c>
      <c r="V412" s="456"/>
      <c r="W412" s="792"/>
      <c r="X412" s="822"/>
      <c r="Y412" s="821"/>
      <c r="Z412" s="25">
        <f t="shared" ref="Z412:Z475" si="133">ROUND(X412*Y412,0)</f>
        <v>0</v>
      </c>
    </row>
    <row r="413" spans="1:26" ht="16.5" customHeight="1">
      <c r="A413" s="777">
        <f t="shared" si="128"/>
        <v>68</v>
      </c>
      <c r="B413" s="298" t="s">
        <v>1257</v>
      </c>
      <c r="C413" s="25">
        <f t="shared" si="129"/>
        <v>34480</v>
      </c>
      <c r="D413" s="778">
        <f t="shared" si="127"/>
        <v>1573.390630684615</v>
      </c>
      <c r="E413" s="778">
        <f t="shared" si="127"/>
        <v>497.8706101397479</v>
      </c>
      <c r="F413" s="778">
        <f t="shared" si="127"/>
        <v>1073.4693004044771</v>
      </c>
      <c r="G413" s="778">
        <f t="shared" si="127"/>
        <v>85.802212853382414</v>
      </c>
      <c r="H413" s="778">
        <f t="shared" si="127"/>
        <v>1562.2659276221457</v>
      </c>
      <c r="I413" s="778">
        <f t="shared" si="127"/>
        <v>401.23406167740279</v>
      </c>
      <c r="J413" s="365">
        <f t="shared" si="127"/>
        <v>0</v>
      </c>
      <c r="K413" s="25">
        <f t="shared" si="130"/>
        <v>39673.032743381773</v>
      </c>
      <c r="L413" s="778">
        <v>4</v>
      </c>
      <c r="M413" s="778">
        <f t="shared" si="131"/>
        <v>9918.2581858454432</v>
      </c>
      <c r="N413" s="678">
        <v>11355</v>
      </c>
      <c r="O413" s="678"/>
      <c r="P413" s="189" t="s">
        <v>507</v>
      </c>
      <c r="Q413" s="792">
        <v>40857</v>
      </c>
      <c r="R413" s="793"/>
      <c r="S413" s="306">
        <f>L413</f>
        <v>4</v>
      </c>
      <c r="T413" s="821">
        <v>8620</v>
      </c>
      <c r="U413" s="25">
        <f t="shared" si="132"/>
        <v>34480</v>
      </c>
      <c r="V413" s="456"/>
      <c r="W413" s="792"/>
      <c r="X413" s="822"/>
      <c r="Y413" s="821"/>
      <c r="Z413" s="25">
        <f t="shared" si="133"/>
        <v>0</v>
      </c>
    </row>
    <row r="414" spans="1:26" ht="16.5" customHeight="1">
      <c r="A414" s="777">
        <f t="shared" si="128"/>
        <v>69</v>
      </c>
      <c r="B414" s="298" t="s">
        <v>1258</v>
      </c>
      <c r="C414" s="25">
        <f t="shared" si="129"/>
        <v>8620</v>
      </c>
      <c r="D414" s="778">
        <f t="shared" si="127"/>
        <v>393.34765767115374</v>
      </c>
      <c r="E414" s="778">
        <f t="shared" si="127"/>
        <v>124.46765253493697</v>
      </c>
      <c r="F414" s="778">
        <f t="shared" si="127"/>
        <v>268.36732510111926</v>
      </c>
      <c r="G414" s="778">
        <f t="shared" si="127"/>
        <v>21.450553213345604</v>
      </c>
      <c r="H414" s="778">
        <f t="shared" si="127"/>
        <v>390.56648190553642</v>
      </c>
      <c r="I414" s="778">
        <f t="shared" si="127"/>
        <v>100.3085154193507</v>
      </c>
      <c r="J414" s="365">
        <f t="shared" si="127"/>
        <v>0</v>
      </c>
      <c r="K414" s="25">
        <f t="shared" si="130"/>
        <v>9917.5081858454432</v>
      </c>
      <c r="L414" s="778">
        <v>1</v>
      </c>
      <c r="M414" s="778">
        <f t="shared" si="131"/>
        <v>9917.5081858454432</v>
      </c>
      <c r="N414" s="678">
        <v>11420</v>
      </c>
      <c r="O414" s="678"/>
      <c r="P414" s="189" t="s">
        <v>507</v>
      </c>
      <c r="Q414" s="792">
        <v>40857</v>
      </c>
      <c r="R414" s="793"/>
      <c r="S414" s="306">
        <f>L414</f>
        <v>1</v>
      </c>
      <c r="T414" s="821">
        <v>8620</v>
      </c>
      <c r="U414" s="25">
        <f t="shared" si="132"/>
        <v>8620</v>
      </c>
      <c r="V414" s="456"/>
      <c r="W414" s="792"/>
      <c r="X414" s="822"/>
      <c r="Y414" s="821"/>
      <c r="Z414" s="25">
        <f t="shared" si="133"/>
        <v>0</v>
      </c>
    </row>
    <row r="415" spans="1:26" ht="16.5" customHeight="1">
      <c r="A415" s="777">
        <f t="shared" si="128"/>
        <v>70</v>
      </c>
      <c r="B415" s="298" t="s">
        <v>1259</v>
      </c>
      <c r="C415" s="25">
        <f t="shared" si="129"/>
        <v>61488</v>
      </c>
      <c r="D415" s="778">
        <f t="shared" si="127"/>
        <v>1966.7382883557686</v>
      </c>
      <c r="E415" s="778">
        <f t="shared" si="127"/>
        <v>622.33826267468487</v>
      </c>
      <c r="F415" s="778">
        <f t="shared" si="127"/>
        <v>1341.8366255055962</v>
      </c>
      <c r="G415" s="778">
        <f t="shared" si="127"/>
        <v>107.25276606672801</v>
      </c>
      <c r="H415" s="778">
        <f t="shared" si="127"/>
        <v>1952.8324095276821</v>
      </c>
      <c r="I415" s="778">
        <f t="shared" si="127"/>
        <v>501.54257709675346</v>
      </c>
      <c r="J415" s="365">
        <f t="shared" si="127"/>
        <v>0</v>
      </c>
      <c r="K415" s="25">
        <f t="shared" si="130"/>
        <v>67979.540929227209</v>
      </c>
      <c r="L415" s="778">
        <v>5</v>
      </c>
      <c r="M415" s="778">
        <f t="shared" si="131"/>
        <v>13595.908185845441</v>
      </c>
      <c r="N415" s="678">
        <v>14450</v>
      </c>
      <c r="O415" s="678"/>
      <c r="P415" s="189" t="s">
        <v>638</v>
      </c>
      <c r="Q415" s="792">
        <v>40857</v>
      </c>
      <c r="R415" s="793"/>
      <c r="S415" s="306">
        <f>L415/2</f>
        <v>2.5</v>
      </c>
      <c r="T415" s="821">
        <v>24595</v>
      </c>
      <c r="U415" s="25">
        <f t="shared" si="132"/>
        <v>61488</v>
      </c>
      <c r="V415" s="456"/>
      <c r="W415" s="792"/>
      <c r="X415" s="822"/>
      <c r="Y415" s="821"/>
      <c r="Z415" s="25">
        <f t="shared" si="133"/>
        <v>0</v>
      </c>
    </row>
    <row r="416" spans="1:26" ht="16.5" customHeight="1">
      <c r="A416" s="777">
        <f t="shared" si="128"/>
        <v>71</v>
      </c>
      <c r="B416" s="298" t="s">
        <v>1260</v>
      </c>
      <c r="C416" s="25">
        <f t="shared" si="129"/>
        <v>811120</v>
      </c>
      <c r="D416" s="778">
        <f t="shared" si="127"/>
        <v>31467.812613692298</v>
      </c>
      <c r="E416" s="778">
        <f t="shared" si="127"/>
        <v>9957.4122027949579</v>
      </c>
      <c r="F416" s="778">
        <f t="shared" si="127"/>
        <v>21469.386008089539</v>
      </c>
      <c r="G416" s="778">
        <f t="shared" si="127"/>
        <v>1716.0442570676482</v>
      </c>
      <c r="H416" s="778">
        <f t="shared" si="127"/>
        <v>31245.318552442914</v>
      </c>
      <c r="I416" s="778">
        <f t="shared" si="127"/>
        <v>8024.6812335480554</v>
      </c>
      <c r="J416" s="365">
        <f t="shared" si="127"/>
        <v>0</v>
      </c>
      <c r="K416" s="25">
        <f t="shared" si="130"/>
        <v>914999.65486763534</v>
      </c>
      <c r="L416" s="778">
        <v>80</v>
      </c>
      <c r="M416" s="778">
        <f t="shared" si="131"/>
        <v>11437.495685845442</v>
      </c>
      <c r="N416" s="678">
        <v>13881</v>
      </c>
      <c r="O416" s="678"/>
      <c r="P416" s="40" t="s">
        <v>642</v>
      </c>
      <c r="Q416" s="792">
        <v>40857</v>
      </c>
      <c r="R416" s="793"/>
      <c r="S416" s="306">
        <f>L416/2</f>
        <v>40</v>
      </c>
      <c r="T416" s="821">
        <v>20278</v>
      </c>
      <c r="U416" s="25">
        <f t="shared" si="132"/>
        <v>811120</v>
      </c>
      <c r="V416" s="456"/>
      <c r="W416" s="792"/>
      <c r="X416" s="822"/>
      <c r="Y416" s="821"/>
      <c r="Z416" s="25">
        <f t="shared" si="133"/>
        <v>0</v>
      </c>
    </row>
    <row r="417" spans="1:26" ht="16.5" customHeight="1">
      <c r="A417" s="777">
        <f t="shared" si="128"/>
        <v>72</v>
      </c>
      <c r="B417" s="298" t="s">
        <v>1261</v>
      </c>
      <c r="C417" s="25">
        <f t="shared" si="129"/>
        <v>69472</v>
      </c>
      <c r="D417" s="778">
        <f t="shared" si="127"/>
        <v>1573.390630684615</v>
      </c>
      <c r="E417" s="778">
        <f t="shared" si="127"/>
        <v>497.8706101397479</v>
      </c>
      <c r="F417" s="778">
        <f t="shared" si="127"/>
        <v>1073.4693004044771</v>
      </c>
      <c r="G417" s="778">
        <f t="shared" si="127"/>
        <v>85.802212853382414</v>
      </c>
      <c r="H417" s="778">
        <f t="shared" si="127"/>
        <v>1562.2659276221457</v>
      </c>
      <c r="I417" s="778">
        <f t="shared" si="127"/>
        <v>401.23406167740279</v>
      </c>
      <c r="J417" s="365">
        <f t="shared" si="127"/>
        <v>0</v>
      </c>
      <c r="K417" s="25">
        <f t="shared" si="130"/>
        <v>74665.032743381787</v>
      </c>
      <c r="L417" s="778">
        <v>4</v>
      </c>
      <c r="M417" s="778">
        <f t="shared" si="131"/>
        <v>18666.258185845447</v>
      </c>
      <c r="N417" s="678">
        <v>20891</v>
      </c>
      <c r="O417" s="678"/>
      <c r="P417" s="189" t="s">
        <v>553</v>
      </c>
      <c r="Q417" s="792">
        <v>40857</v>
      </c>
      <c r="R417" s="793"/>
      <c r="S417" s="306">
        <f>L417</f>
        <v>4</v>
      </c>
      <c r="T417" s="821">
        <v>17368</v>
      </c>
      <c r="U417" s="25">
        <f t="shared" si="132"/>
        <v>69472</v>
      </c>
      <c r="V417" s="456"/>
      <c r="W417" s="792"/>
      <c r="X417" s="822"/>
      <c r="Y417" s="821"/>
      <c r="Z417" s="25">
        <f t="shared" si="133"/>
        <v>0</v>
      </c>
    </row>
    <row r="418" spans="1:26" ht="16.5" customHeight="1">
      <c r="A418" s="777">
        <f t="shared" si="128"/>
        <v>73</v>
      </c>
      <c r="B418" s="298" t="s">
        <v>1262</v>
      </c>
      <c r="C418" s="25">
        <f t="shared" si="129"/>
        <v>29457</v>
      </c>
      <c r="D418" s="778">
        <f t="shared" si="127"/>
        <v>1180.0429730134613</v>
      </c>
      <c r="E418" s="778">
        <f t="shared" si="127"/>
        <v>373.40295760481092</v>
      </c>
      <c r="F418" s="778">
        <f t="shared" si="127"/>
        <v>805.10197530335779</v>
      </c>
      <c r="G418" s="778">
        <f t="shared" si="127"/>
        <v>64.351659640036814</v>
      </c>
      <c r="H418" s="778">
        <f t="shared" si="127"/>
        <v>1171.6994457166093</v>
      </c>
      <c r="I418" s="778">
        <f t="shared" si="127"/>
        <v>300.92554625805212</v>
      </c>
      <c r="J418" s="365">
        <f t="shared" si="127"/>
        <v>0</v>
      </c>
      <c r="K418" s="25">
        <f t="shared" si="130"/>
        <v>33351.52455753633</v>
      </c>
      <c r="L418" s="778">
        <v>3</v>
      </c>
      <c r="M418" s="778">
        <f t="shared" si="131"/>
        <v>11117.174852512109</v>
      </c>
      <c r="N418" s="678">
        <v>16534</v>
      </c>
      <c r="O418" s="678"/>
      <c r="P418" s="189" t="s">
        <v>542</v>
      </c>
      <c r="Q418" s="792">
        <v>40857</v>
      </c>
      <c r="R418" s="793"/>
      <c r="S418" s="306">
        <v>1.5</v>
      </c>
      <c r="T418" s="821">
        <v>19638</v>
      </c>
      <c r="U418" s="25">
        <f t="shared" si="132"/>
        <v>29457</v>
      </c>
      <c r="V418" s="456"/>
      <c r="W418" s="792"/>
      <c r="X418" s="822"/>
      <c r="Y418" s="821"/>
      <c r="Z418" s="25">
        <f t="shared" si="133"/>
        <v>0</v>
      </c>
    </row>
    <row r="419" spans="1:26" ht="16.5" customHeight="1">
      <c r="A419" s="777">
        <f t="shared" si="128"/>
        <v>74</v>
      </c>
      <c r="B419" s="298" t="s">
        <v>1261</v>
      </c>
      <c r="C419" s="25">
        <f t="shared" si="129"/>
        <v>69472</v>
      </c>
      <c r="D419" s="778">
        <f t="shared" si="127"/>
        <v>1573.390630684615</v>
      </c>
      <c r="E419" s="778">
        <f t="shared" si="127"/>
        <v>497.8706101397479</v>
      </c>
      <c r="F419" s="778">
        <f t="shared" si="127"/>
        <v>1073.4693004044771</v>
      </c>
      <c r="G419" s="778">
        <f t="shared" si="127"/>
        <v>85.802212853382414</v>
      </c>
      <c r="H419" s="778">
        <f t="shared" si="127"/>
        <v>1562.2659276221457</v>
      </c>
      <c r="I419" s="778">
        <f t="shared" si="127"/>
        <v>401.23406167740279</v>
      </c>
      <c r="J419" s="365">
        <f t="shared" si="127"/>
        <v>0</v>
      </c>
      <c r="K419" s="25">
        <f t="shared" si="130"/>
        <v>74665.032743381787</v>
      </c>
      <c r="L419" s="778">
        <v>4</v>
      </c>
      <c r="M419" s="778">
        <f t="shared" si="131"/>
        <v>18666.258185845447</v>
      </c>
      <c r="N419" s="678">
        <v>20981</v>
      </c>
      <c r="O419" s="678"/>
      <c r="P419" s="189" t="s">
        <v>553</v>
      </c>
      <c r="Q419" s="792">
        <v>40857</v>
      </c>
      <c r="R419" s="793"/>
      <c r="S419" s="306">
        <f>L419</f>
        <v>4</v>
      </c>
      <c r="T419" s="821">
        <v>17368</v>
      </c>
      <c r="U419" s="25">
        <f t="shared" si="132"/>
        <v>69472</v>
      </c>
      <c r="V419" s="456"/>
      <c r="W419" s="792"/>
      <c r="X419" s="822"/>
      <c r="Y419" s="821"/>
      <c r="Z419" s="25">
        <f t="shared" si="133"/>
        <v>0</v>
      </c>
    </row>
    <row r="420" spans="1:26" ht="16.5" customHeight="1">
      <c r="A420" s="777">
        <f t="shared" si="128"/>
        <v>75</v>
      </c>
      <c r="B420" s="298" t="s">
        <v>1289</v>
      </c>
      <c r="C420" s="25">
        <f t="shared" si="129"/>
        <v>27594</v>
      </c>
      <c r="D420" s="778">
        <f t="shared" si="127"/>
        <v>1180.0429730134613</v>
      </c>
      <c r="E420" s="778">
        <f t="shared" si="127"/>
        <v>373.40295760481092</v>
      </c>
      <c r="F420" s="778">
        <f t="shared" si="127"/>
        <v>805.10197530335779</v>
      </c>
      <c r="G420" s="778">
        <f t="shared" si="127"/>
        <v>64.351659640036814</v>
      </c>
      <c r="H420" s="778">
        <f t="shared" si="127"/>
        <v>1171.6994457166093</v>
      </c>
      <c r="I420" s="778">
        <f t="shared" si="127"/>
        <v>300.92554625805212</v>
      </c>
      <c r="J420" s="365">
        <f t="shared" si="127"/>
        <v>0</v>
      </c>
      <c r="K420" s="25">
        <f t="shared" si="130"/>
        <v>31488.524557536326</v>
      </c>
      <c r="L420" s="778">
        <v>3</v>
      </c>
      <c r="M420" s="778">
        <f t="shared" si="131"/>
        <v>10496.174852512109</v>
      </c>
      <c r="N420" s="678">
        <v>12847</v>
      </c>
      <c r="O420" s="678"/>
      <c r="P420" s="40" t="s">
        <v>611</v>
      </c>
      <c r="Q420" s="792">
        <v>40857</v>
      </c>
      <c r="R420" s="793"/>
      <c r="S420" s="306">
        <f>L420/2</f>
        <v>1.5</v>
      </c>
      <c r="T420" s="821">
        <v>18396</v>
      </c>
      <c r="U420" s="25">
        <f t="shared" si="132"/>
        <v>27594</v>
      </c>
      <c r="V420" s="456"/>
      <c r="W420" s="792"/>
      <c r="X420" s="822"/>
      <c r="Y420" s="821"/>
      <c r="Z420" s="25">
        <f t="shared" si="133"/>
        <v>0</v>
      </c>
    </row>
    <row r="421" spans="1:26" ht="16.5" customHeight="1">
      <c r="A421" s="777">
        <f t="shared" si="128"/>
        <v>76</v>
      </c>
      <c r="B421" s="298" t="s">
        <v>1291</v>
      </c>
      <c r="C421" s="25">
        <f t="shared" si="129"/>
        <v>84630</v>
      </c>
      <c r="D421" s="778">
        <f t="shared" si="127"/>
        <v>2360.0859460269226</v>
      </c>
      <c r="E421" s="778">
        <f t="shared" si="127"/>
        <v>746.80591520962184</v>
      </c>
      <c r="F421" s="778">
        <f t="shared" si="127"/>
        <v>1610.2039506067156</v>
      </c>
      <c r="G421" s="778">
        <f t="shared" si="127"/>
        <v>128.70331928007363</v>
      </c>
      <c r="H421" s="778">
        <f t="shared" si="127"/>
        <v>2343.3988914332185</v>
      </c>
      <c r="I421" s="778">
        <f t="shared" si="127"/>
        <v>601.85109251610425</v>
      </c>
      <c r="J421" s="365">
        <f t="shared" si="127"/>
        <v>0</v>
      </c>
      <c r="K421" s="25">
        <f t="shared" si="130"/>
        <v>92420.049115072659</v>
      </c>
      <c r="L421" s="778">
        <v>6</v>
      </c>
      <c r="M421" s="778">
        <f t="shared" si="131"/>
        <v>15403.341519178777</v>
      </c>
      <c r="N421" s="678">
        <v>17321</v>
      </c>
      <c r="O421" s="678"/>
      <c r="P421" s="40" t="s">
        <v>651</v>
      </c>
      <c r="Q421" s="792">
        <v>40857</v>
      </c>
      <c r="R421" s="793"/>
      <c r="S421" s="306">
        <f>L421</f>
        <v>6</v>
      </c>
      <c r="T421" s="821">
        <v>14105</v>
      </c>
      <c r="U421" s="25">
        <f t="shared" si="132"/>
        <v>84630</v>
      </c>
      <c r="V421" s="456"/>
      <c r="W421" s="792"/>
      <c r="X421" s="822"/>
      <c r="Y421" s="821"/>
      <c r="Z421" s="25">
        <f t="shared" si="133"/>
        <v>0</v>
      </c>
    </row>
    <row r="422" spans="1:26" ht="16.5" customHeight="1">
      <c r="A422" s="777">
        <f t="shared" si="128"/>
        <v>77</v>
      </c>
      <c r="B422" s="298" t="s">
        <v>1263</v>
      </c>
      <c r="C422" s="25">
        <f t="shared" si="129"/>
        <v>538251</v>
      </c>
      <c r="D422" s="778">
        <f t="shared" si="127"/>
        <v>16520.601622188457</v>
      </c>
      <c r="E422" s="778">
        <f t="shared" si="127"/>
        <v>5227.6414064673527</v>
      </c>
      <c r="F422" s="778">
        <f t="shared" si="127"/>
        <v>11271.427654247009</v>
      </c>
      <c r="G422" s="778">
        <f t="shared" si="127"/>
        <v>900.9232349605154</v>
      </c>
      <c r="H422" s="778">
        <f t="shared" si="127"/>
        <v>16403.79224003253</v>
      </c>
      <c r="I422" s="778">
        <f t="shared" si="127"/>
        <v>4212.9576476127295</v>
      </c>
      <c r="J422" s="365">
        <f t="shared" si="127"/>
        <v>0</v>
      </c>
      <c r="K422" s="25">
        <f t="shared" si="130"/>
        <v>592787.34380550869</v>
      </c>
      <c r="L422" s="778">
        <v>42</v>
      </c>
      <c r="M422" s="778">
        <f t="shared" si="131"/>
        <v>14113.984376321636</v>
      </c>
      <c r="N422" s="678">
        <v>15669</v>
      </c>
      <c r="O422" s="678"/>
      <c r="P422" s="456" t="s">
        <v>643</v>
      </c>
      <c r="Q422" s="792">
        <v>40857</v>
      </c>
      <c r="R422" s="793"/>
      <c r="S422" s="306">
        <f>L422/2</f>
        <v>21</v>
      </c>
      <c r="T422" s="821">
        <v>25631</v>
      </c>
      <c r="U422" s="25">
        <f t="shared" si="132"/>
        <v>538251</v>
      </c>
      <c r="V422" s="456"/>
      <c r="W422" s="792"/>
      <c r="X422" s="822"/>
      <c r="Y422" s="821"/>
      <c r="Z422" s="25">
        <f t="shared" si="133"/>
        <v>0</v>
      </c>
    </row>
    <row r="423" spans="1:26" ht="16.5" customHeight="1">
      <c r="A423" s="777">
        <f t="shared" si="128"/>
        <v>78</v>
      </c>
      <c r="B423" s="298" t="s">
        <v>1264</v>
      </c>
      <c r="C423" s="25">
        <f t="shared" si="129"/>
        <v>620620</v>
      </c>
      <c r="D423" s="778">
        <f t="shared" si="127"/>
        <v>16913.949279859611</v>
      </c>
      <c r="E423" s="778">
        <f t="shared" si="127"/>
        <v>5352.1090590022895</v>
      </c>
      <c r="F423" s="778">
        <f t="shared" si="127"/>
        <v>11539.794979348128</v>
      </c>
      <c r="G423" s="778">
        <f t="shared" si="127"/>
        <v>922.37378817386093</v>
      </c>
      <c r="H423" s="778">
        <f t="shared" si="127"/>
        <v>16794.358721938064</v>
      </c>
      <c r="I423" s="778">
        <f t="shared" si="127"/>
        <v>4313.2661630320799</v>
      </c>
      <c r="J423" s="365">
        <f t="shared" si="127"/>
        <v>0</v>
      </c>
      <c r="K423" s="25">
        <f t="shared" si="130"/>
        <v>676454.85199135402</v>
      </c>
      <c r="L423" s="778">
        <v>43</v>
      </c>
      <c r="M423" s="778">
        <f t="shared" si="131"/>
        <v>15731.508185845443</v>
      </c>
      <c r="N423" s="678">
        <v>17372</v>
      </c>
      <c r="O423" s="678"/>
      <c r="P423" s="40" t="s">
        <v>651</v>
      </c>
      <c r="Q423" s="792">
        <v>40857</v>
      </c>
      <c r="R423" s="793"/>
      <c r="S423" s="306">
        <v>44</v>
      </c>
      <c r="T423" s="821">
        <v>14105</v>
      </c>
      <c r="U423" s="25">
        <f t="shared" si="132"/>
        <v>620620</v>
      </c>
      <c r="V423" s="456"/>
      <c r="W423" s="792"/>
      <c r="X423" s="822"/>
      <c r="Y423" s="821"/>
      <c r="Z423" s="25">
        <f t="shared" si="133"/>
        <v>0</v>
      </c>
    </row>
    <row r="424" spans="1:26" ht="16.5" customHeight="1">
      <c r="A424" s="777">
        <f t="shared" si="128"/>
        <v>79</v>
      </c>
      <c r="B424" s="298" t="s">
        <v>1292</v>
      </c>
      <c r="C424" s="25">
        <f t="shared" si="129"/>
        <v>9278250</v>
      </c>
      <c r="D424" s="778">
        <f t="shared" si="127"/>
        <v>437402.59533032298</v>
      </c>
      <c r="E424" s="778">
        <f t="shared" si="127"/>
        <v>138408.02961884992</v>
      </c>
      <c r="F424" s="778">
        <f t="shared" si="127"/>
        <v>298424.46551244461</v>
      </c>
      <c r="G424" s="778">
        <f t="shared" si="127"/>
        <v>23853.01517324031</v>
      </c>
      <c r="H424" s="778">
        <f t="shared" si="127"/>
        <v>434309.92787895649</v>
      </c>
      <c r="I424" s="778">
        <f t="shared" si="127"/>
        <v>111543.06914631798</v>
      </c>
      <c r="J424" s="365">
        <f t="shared" si="127"/>
        <v>0</v>
      </c>
      <c r="K424" s="25">
        <f t="shared" si="130"/>
        <v>10722190.102660133</v>
      </c>
      <c r="L424" s="778">
        <v>1112</v>
      </c>
      <c r="M424" s="778">
        <f t="shared" si="131"/>
        <v>9642.2572865648672</v>
      </c>
      <c r="N424" s="678">
        <v>13869</v>
      </c>
      <c r="O424" s="678"/>
      <c r="P424" s="40" t="s">
        <v>653</v>
      </c>
      <c r="Q424" s="792">
        <v>40857</v>
      </c>
      <c r="R424" s="793"/>
      <c r="S424" s="306">
        <v>695</v>
      </c>
      <c r="T424" s="821">
        <v>13350</v>
      </c>
      <c r="U424" s="25">
        <f t="shared" si="132"/>
        <v>9278250</v>
      </c>
      <c r="V424" s="456"/>
      <c r="W424" s="792"/>
      <c r="X424" s="822"/>
      <c r="Y424" s="821"/>
      <c r="Z424" s="25">
        <f t="shared" si="133"/>
        <v>0</v>
      </c>
    </row>
    <row r="425" spans="1:26" ht="16.5" customHeight="1">
      <c r="A425" s="777">
        <f t="shared" si="128"/>
        <v>80</v>
      </c>
      <c r="B425" s="298" t="s">
        <v>1293</v>
      </c>
      <c r="C425" s="25">
        <f t="shared" si="129"/>
        <v>8343750</v>
      </c>
      <c r="D425" s="778">
        <f t="shared" si="127"/>
        <v>393347.65767115372</v>
      </c>
      <c r="E425" s="778">
        <f t="shared" si="127"/>
        <v>124467.65253493698</v>
      </c>
      <c r="F425" s="778">
        <f t="shared" si="127"/>
        <v>268367.32510111929</v>
      </c>
      <c r="G425" s="778">
        <f t="shared" si="127"/>
        <v>21450.553213345604</v>
      </c>
      <c r="H425" s="778">
        <f t="shared" si="127"/>
        <v>390566.48190553644</v>
      </c>
      <c r="I425" s="778">
        <f t="shared" si="127"/>
        <v>100308.5154193507</v>
      </c>
      <c r="J425" s="365">
        <f t="shared" si="127"/>
        <v>0</v>
      </c>
      <c r="K425" s="25">
        <f t="shared" si="130"/>
        <v>9642257.1858454421</v>
      </c>
      <c r="L425" s="778">
        <v>1000</v>
      </c>
      <c r="M425" s="778">
        <f t="shared" si="131"/>
        <v>9642.257185845443</v>
      </c>
      <c r="N425" s="678">
        <v>14230</v>
      </c>
      <c r="O425" s="678"/>
      <c r="P425" s="40" t="s">
        <v>653</v>
      </c>
      <c r="Q425" s="792">
        <v>40857</v>
      </c>
      <c r="R425" s="793"/>
      <c r="S425" s="306">
        <v>625</v>
      </c>
      <c r="T425" s="821">
        <v>13350</v>
      </c>
      <c r="U425" s="25">
        <f t="shared" si="132"/>
        <v>8343750</v>
      </c>
      <c r="V425" s="456"/>
      <c r="W425" s="792"/>
      <c r="X425" s="822"/>
      <c r="Y425" s="821"/>
      <c r="Z425" s="25">
        <f t="shared" si="133"/>
        <v>0</v>
      </c>
    </row>
    <row r="426" spans="1:26" ht="16.5" customHeight="1">
      <c r="A426" s="777">
        <f t="shared" si="128"/>
        <v>81</v>
      </c>
      <c r="B426" s="298" t="s">
        <v>1294</v>
      </c>
      <c r="C426" s="25">
        <f t="shared" si="129"/>
        <v>139505</v>
      </c>
      <c r="D426" s="778">
        <f t="shared" si="127"/>
        <v>9833.691441778843</v>
      </c>
      <c r="E426" s="778">
        <f t="shared" si="127"/>
        <v>3111.6913133734242</v>
      </c>
      <c r="F426" s="778">
        <f t="shared" si="127"/>
        <v>6709.1831275279819</v>
      </c>
      <c r="G426" s="778">
        <f t="shared" si="127"/>
        <v>536.26383033364004</v>
      </c>
      <c r="H426" s="778">
        <f t="shared" si="127"/>
        <v>9764.1620476384105</v>
      </c>
      <c r="I426" s="778">
        <f t="shared" si="127"/>
        <v>2507.7128854837674</v>
      </c>
      <c r="J426" s="365">
        <f t="shared" si="127"/>
        <v>0</v>
      </c>
      <c r="K426" s="25">
        <f t="shared" si="130"/>
        <v>171966.70464613606</v>
      </c>
      <c r="L426" s="778">
        <v>25</v>
      </c>
      <c r="M426" s="778">
        <f t="shared" si="131"/>
        <v>6878.6681858454422</v>
      </c>
      <c r="N426" s="678">
        <v>9024</v>
      </c>
      <c r="O426" s="678"/>
      <c r="P426" s="298" t="s">
        <v>382</v>
      </c>
      <c r="Q426" s="792">
        <v>40857</v>
      </c>
      <c r="R426" s="793"/>
      <c r="S426" s="306">
        <v>5</v>
      </c>
      <c r="T426" s="821">
        <v>27901</v>
      </c>
      <c r="U426" s="25">
        <f t="shared" si="132"/>
        <v>139505</v>
      </c>
      <c r="V426" s="456"/>
      <c r="W426" s="792"/>
      <c r="X426" s="822"/>
      <c r="Y426" s="821"/>
      <c r="Z426" s="25">
        <f t="shared" si="133"/>
        <v>0</v>
      </c>
    </row>
    <row r="427" spans="1:26" ht="16.5" customHeight="1">
      <c r="A427" s="777">
        <f t="shared" si="128"/>
        <v>82</v>
      </c>
      <c r="B427" s="298" t="s">
        <v>1295</v>
      </c>
      <c r="C427" s="25">
        <f t="shared" si="129"/>
        <v>4449</v>
      </c>
      <c r="D427" s="778">
        <f t="shared" si="127"/>
        <v>786.69531534230748</v>
      </c>
      <c r="E427" s="778">
        <f t="shared" si="127"/>
        <v>248.93530506987395</v>
      </c>
      <c r="F427" s="778">
        <f t="shared" si="127"/>
        <v>536.73465020223853</v>
      </c>
      <c r="G427" s="778">
        <f t="shared" si="127"/>
        <v>42.901106426691207</v>
      </c>
      <c r="H427" s="778">
        <f t="shared" si="127"/>
        <v>781.13296381107284</v>
      </c>
      <c r="I427" s="778">
        <f t="shared" si="127"/>
        <v>200.6170308387014</v>
      </c>
      <c r="J427" s="365">
        <f t="shared" si="127"/>
        <v>0</v>
      </c>
      <c r="K427" s="25">
        <f t="shared" si="130"/>
        <v>7045.0163716908855</v>
      </c>
      <c r="L427" s="778">
        <v>2</v>
      </c>
      <c r="M427" s="778">
        <f t="shared" si="131"/>
        <v>3522.5081858454428</v>
      </c>
      <c r="N427" s="678">
        <v>4181</v>
      </c>
      <c r="O427" s="678"/>
      <c r="P427" s="189" t="s">
        <v>387</v>
      </c>
      <c r="Q427" s="792">
        <v>40857</v>
      </c>
      <c r="R427" s="793"/>
      <c r="S427" s="306">
        <v>1</v>
      </c>
      <c r="T427" s="821">
        <v>4449</v>
      </c>
      <c r="U427" s="25">
        <f t="shared" si="132"/>
        <v>4449</v>
      </c>
      <c r="V427" s="456"/>
      <c r="W427" s="792"/>
      <c r="X427" s="822"/>
      <c r="Y427" s="821"/>
      <c r="Z427" s="25">
        <f t="shared" si="133"/>
        <v>0</v>
      </c>
    </row>
    <row r="428" spans="1:26" ht="16.5" customHeight="1">
      <c r="A428" s="777">
        <f t="shared" si="128"/>
        <v>83</v>
      </c>
      <c r="B428" s="298" t="s">
        <v>746</v>
      </c>
      <c r="C428" s="25">
        <f t="shared" si="129"/>
        <v>1724459</v>
      </c>
      <c r="D428" s="778">
        <f t="shared" si="127"/>
        <v>82209.660453271135</v>
      </c>
      <c r="E428" s="778">
        <f t="shared" si="127"/>
        <v>26013.739379801827</v>
      </c>
      <c r="F428" s="778">
        <f t="shared" si="127"/>
        <v>56088.770946133925</v>
      </c>
      <c r="G428" s="778">
        <f t="shared" si="127"/>
        <v>4483.1656215892308</v>
      </c>
      <c r="H428" s="778">
        <f t="shared" si="127"/>
        <v>81628.394718257114</v>
      </c>
      <c r="I428" s="778">
        <f t="shared" si="127"/>
        <v>20964.479722644297</v>
      </c>
      <c r="J428" s="365">
        <f t="shared" si="127"/>
        <v>0</v>
      </c>
      <c r="K428" s="25">
        <f t="shared" si="130"/>
        <v>1995846.2108416972</v>
      </c>
      <c r="L428" s="778">
        <v>209</v>
      </c>
      <c r="M428" s="778">
        <f t="shared" si="131"/>
        <v>9549.5034011564458</v>
      </c>
      <c r="N428" s="678">
        <v>10595</v>
      </c>
      <c r="O428" s="678"/>
      <c r="P428" s="40" t="s">
        <v>649</v>
      </c>
      <c r="Q428" s="792">
        <v>40862</v>
      </c>
      <c r="R428" s="793"/>
      <c r="S428" s="306">
        <f>L428/2</f>
        <v>104.5</v>
      </c>
      <c r="T428" s="821">
        <v>16502</v>
      </c>
      <c r="U428" s="25">
        <f t="shared" si="132"/>
        <v>1724459</v>
      </c>
      <c r="V428" s="456"/>
      <c r="W428" s="792"/>
      <c r="X428" s="822"/>
      <c r="Y428" s="821"/>
      <c r="Z428" s="25">
        <f t="shared" si="133"/>
        <v>0</v>
      </c>
    </row>
    <row r="429" spans="1:26" ht="16.5" customHeight="1">
      <c r="A429" s="777">
        <f t="shared" si="128"/>
        <v>84</v>
      </c>
      <c r="B429" s="298" t="s">
        <v>1269</v>
      </c>
      <c r="C429" s="25">
        <f t="shared" si="129"/>
        <v>1988805</v>
      </c>
      <c r="D429" s="778">
        <f t="shared" si="127"/>
        <v>55462.019731632674</v>
      </c>
      <c r="E429" s="778">
        <f t="shared" si="127"/>
        <v>17549.939007426114</v>
      </c>
      <c r="F429" s="778">
        <f t="shared" si="127"/>
        <v>37839.792839257818</v>
      </c>
      <c r="G429" s="778">
        <f t="shared" si="127"/>
        <v>3024.5280030817303</v>
      </c>
      <c r="H429" s="778">
        <f t="shared" si="127"/>
        <v>55069.873948680637</v>
      </c>
      <c r="I429" s="778">
        <f t="shared" si="127"/>
        <v>14143.500674128449</v>
      </c>
      <c r="J429" s="365">
        <f t="shared" si="127"/>
        <v>0</v>
      </c>
      <c r="K429" s="25">
        <f t="shared" si="130"/>
        <v>2171893.6542042075</v>
      </c>
      <c r="L429" s="778">
        <v>141</v>
      </c>
      <c r="M429" s="778">
        <f t="shared" si="131"/>
        <v>15403.501093646861</v>
      </c>
      <c r="N429" s="678">
        <v>17966</v>
      </c>
      <c r="O429" s="678"/>
      <c r="P429" s="40" t="s">
        <v>651</v>
      </c>
      <c r="Q429" s="792">
        <v>40862</v>
      </c>
      <c r="R429" s="793"/>
      <c r="S429" s="306">
        <f>L429</f>
        <v>141</v>
      </c>
      <c r="T429" s="821">
        <v>14105</v>
      </c>
      <c r="U429" s="25">
        <f t="shared" si="132"/>
        <v>1988805</v>
      </c>
      <c r="V429" s="456"/>
      <c r="W429" s="792"/>
      <c r="X429" s="822"/>
      <c r="Y429" s="821"/>
      <c r="Z429" s="25">
        <f t="shared" si="133"/>
        <v>0</v>
      </c>
    </row>
    <row r="430" spans="1:26" ht="16.5" customHeight="1">
      <c r="A430" s="777">
        <f t="shared" si="128"/>
        <v>85</v>
      </c>
      <c r="B430" s="298" t="s">
        <v>1270</v>
      </c>
      <c r="C430" s="25">
        <f t="shared" si="129"/>
        <v>3528372</v>
      </c>
      <c r="D430" s="778">
        <f t="shared" si="127"/>
        <v>136884.98486956151</v>
      </c>
      <c r="E430" s="778">
        <f t="shared" si="127"/>
        <v>43314.743082158064</v>
      </c>
      <c r="F430" s="778">
        <f t="shared" si="127"/>
        <v>93391.829135189502</v>
      </c>
      <c r="G430" s="778">
        <f t="shared" si="127"/>
        <v>7464.7925182442705</v>
      </c>
      <c r="H430" s="778">
        <f t="shared" si="127"/>
        <v>135917.13570312667</v>
      </c>
      <c r="I430" s="778">
        <f t="shared" si="127"/>
        <v>34907.363365934041</v>
      </c>
      <c r="J430" s="365">
        <f t="shared" si="127"/>
        <v>0</v>
      </c>
      <c r="K430" s="25">
        <f t="shared" si="130"/>
        <v>3980251.8486742144</v>
      </c>
      <c r="L430" s="778">
        <v>348</v>
      </c>
      <c r="M430" s="778">
        <f t="shared" si="131"/>
        <v>11437.505312282225</v>
      </c>
      <c r="N430" s="678">
        <v>14535</v>
      </c>
      <c r="O430" s="678"/>
      <c r="P430" s="40" t="s">
        <v>642</v>
      </c>
      <c r="Q430" s="792">
        <v>40862</v>
      </c>
      <c r="R430" s="793"/>
      <c r="S430" s="306">
        <f>L430/2</f>
        <v>174</v>
      </c>
      <c r="T430" s="821">
        <v>20278</v>
      </c>
      <c r="U430" s="25">
        <f t="shared" si="132"/>
        <v>3528372</v>
      </c>
      <c r="V430" s="456"/>
      <c r="W430" s="792"/>
      <c r="X430" s="822"/>
      <c r="Y430" s="821"/>
      <c r="Z430" s="25">
        <f t="shared" si="133"/>
        <v>0</v>
      </c>
    </row>
    <row r="431" spans="1:26" ht="16.5" customHeight="1">
      <c r="A431" s="777">
        <f t="shared" si="128"/>
        <v>86</v>
      </c>
      <c r="B431" s="298" t="s">
        <v>747</v>
      </c>
      <c r="C431" s="25">
        <f t="shared" si="129"/>
        <v>327560</v>
      </c>
      <c r="D431" s="778">
        <f t="shared" si="127"/>
        <v>14947.210991503842</v>
      </c>
      <c r="E431" s="778">
        <f t="shared" si="127"/>
        <v>4729.7707963276052</v>
      </c>
      <c r="F431" s="778">
        <f t="shared" si="127"/>
        <v>10197.958353842532</v>
      </c>
      <c r="G431" s="778">
        <f t="shared" si="127"/>
        <v>815.12102210713294</v>
      </c>
      <c r="H431" s="778">
        <f t="shared" si="127"/>
        <v>14841.526312410384</v>
      </c>
      <c r="I431" s="778">
        <f t="shared" si="127"/>
        <v>3811.7235859353264</v>
      </c>
      <c r="J431" s="365">
        <f t="shared" si="127"/>
        <v>0</v>
      </c>
      <c r="K431" s="25">
        <f t="shared" si="130"/>
        <v>376902.31106212683</v>
      </c>
      <c r="L431" s="778">
        <v>38</v>
      </c>
      <c r="M431" s="778">
        <f t="shared" si="131"/>
        <v>9918.4818700559699</v>
      </c>
      <c r="N431" s="678">
        <v>11321</v>
      </c>
      <c r="O431" s="678"/>
      <c r="P431" s="189" t="s">
        <v>507</v>
      </c>
      <c r="Q431" s="792">
        <v>40862</v>
      </c>
      <c r="R431" s="793"/>
      <c r="S431" s="306">
        <f>L431</f>
        <v>38</v>
      </c>
      <c r="T431" s="821">
        <v>8620</v>
      </c>
      <c r="U431" s="25">
        <f t="shared" si="132"/>
        <v>327560</v>
      </c>
      <c r="V431" s="456"/>
      <c r="W431" s="792"/>
      <c r="X431" s="822"/>
      <c r="Y431" s="821"/>
      <c r="Z431" s="25">
        <f t="shared" si="133"/>
        <v>0</v>
      </c>
    </row>
    <row r="432" spans="1:26" ht="16.5" customHeight="1">
      <c r="A432" s="777">
        <f t="shared" si="128"/>
        <v>87</v>
      </c>
      <c r="B432" s="298" t="s">
        <v>1271</v>
      </c>
      <c r="C432" s="25">
        <f t="shared" si="129"/>
        <v>169260</v>
      </c>
      <c r="D432" s="778">
        <f t="shared" si="127"/>
        <v>9440.3437841076902</v>
      </c>
      <c r="E432" s="778">
        <f t="shared" si="127"/>
        <v>2987.2236608384874</v>
      </c>
      <c r="F432" s="778">
        <f t="shared" si="127"/>
        <v>6440.8158024268623</v>
      </c>
      <c r="G432" s="778">
        <f t="shared" si="127"/>
        <v>514.81327712029452</v>
      </c>
      <c r="H432" s="778">
        <f t="shared" si="127"/>
        <v>9373.5955657328741</v>
      </c>
      <c r="I432" s="778">
        <f t="shared" si="127"/>
        <v>2407.404370064417</v>
      </c>
      <c r="J432" s="365">
        <f t="shared" si="127"/>
        <v>0</v>
      </c>
      <c r="K432" s="25">
        <f t="shared" si="130"/>
        <v>200423.19646029061</v>
      </c>
      <c r="L432" s="778">
        <v>24</v>
      </c>
      <c r="M432" s="778">
        <f t="shared" si="131"/>
        <v>8350.9665191787753</v>
      </c>
      <c r="N432" s="678">
        <v>10267</v>
      </c>
      <c r="O432" s="678"/>
      <c r="P432" s="40" t="s">
        <v>651</v>
      </c>
      <c r="Q432" s="792">
        <v>40862</v>
      </c>
      <c r="R432" s="793"/>
      <c r="S432" s="306">
        <v>12</v>
      </c>
      <c r="T432" s="821">
        <v>14105</v>
      </c>
      <c r="U432" s="25">
        <f t="shared" si="132"/>
        <v>169260</v>
      </c>
      <c r="V432" s="456"/>
      <c r="W432" s="792"/>
      <c r="X432" s="822"/>
      <c r="Y432" s="821"/>
      <c r="Z432" s="25">
        <f t="shared" si="133"/>
        <v>0</v>
      </c>
    </row>
    <row r="433" spans="1:26" ht="16.5" customHeight="1">
      <c r="A433" s="777">
        <f t="shared" si="128"/>
        <v>88</v>
      </c>
      <c r="B433" s="298" t="s">
        <v>1010</v>
      </c>
      <c r="C433" s="25">
        <f t="shared" si="129"/>
        <v>10139</v>
      </c>
      <c r="D433" s="778">
        <f t="shared" si="127"/>
        <v>393.34765767115374</v>
      </c>
      <c r="E433" s="778">
        <f t="shared" si="127"/>
        <v>124.46765253493697</v>
      </c>
      <c r="F433" s="778">
        <f t="shared" si="127"/>
        <v>268.36732510111926</v>
      </c>
      <c r="G433" s="778">
        <f t="shared" si="127"/>
        <v>21.450553213345604</v>
      </c>
      <c r="H433" s="778">
        <f t="shared" si="127"/>
        <v>390.56648190553642</v>
      </c>
      <c r="I433" s="778">
        <f t="shared" si="127"/>
        <v>100.3085154193507</v>
      </c>
      <c r="J433" s="365">
        <f t="shared" si="127"/>
        <v>0</v>
      </c>
      <c r="K433" s="25">
        <f t="shared" si="130"/>
        <v>11436.508185845443</v>
      </c>
      <c r="L433" s="778">
        <v>1</v>
      </c>
      <c r="M433" s="778">
        <f t="shared" si="131"/>
        <v>11436.508185845443</v>
      </c>
      <c r="N433" s="678">
        <v>13099</v>
      </c>
      <c r="O433" s="678"/>
      <c r="P433" s="40" t="s">
        <v>642</v>
      </c>
      <c r="Q433" s="792">
        <v>40862</v>
      </c>
      <c r="R433" s="793"/>
      <c r="S433" s="306">
        <f>L433/2</f>
        <v>0.5</v>
      </c>
      <c r="T433" s="821">
        <v>20278</v>
      </c>
      <c r="U433" s="25">
        <f t="shared" si="132"/>
        <v>10139</v>
      </c>
      <c r="V433" s="456"/>
      <c r="W433" s="792"/>
      <c r="X433" s="822"/>
      <c r="Y433" s="821"/>
      <c r="Z433" s="25">
        <f t="shared" si="133"/>
        <v>0</v>
      </c>
    </row>
    <row r="434" spans="1:26" ht="16.5" customHeight="1">
      <c r="A434" s="777">
        <f t="shared" si="128"/>
        <v>89</v>
      </c>
      <c r="B434" s="298" t="s">
        <v>749</v>
      </c>
      <c r="C434" s="25">
        <f t="shared" si="129"/>
        <v>27594</v>
      </c>
      <c r="D434" s="778">
        <f t="shared" si="127"/>
        <v>1180.0429730134613</v>
      </c>
      <c r="E434" s="778">
        <f t="shared" si="127"/>
        <v>373.40295760481092</v>
      </c>
      <c r="F434" s="778">
        <f t="shared" si="127"/>
        <v>805.10197530335779</v>
      </c>
      <c r="G434" s="778">
        <f t="shared" si="127"/>
        <v>64.351659640036814</v>
      </c>
      <c r="H434" s="778">
        <f t="shared" si="127"/>
        <v>1171.6994457166093</v>
      </c>
      <c r="I434" s="778">
        <f t="shared" si="127"/>
        <v>300.92554625805212</v>
      </c>
      <c r="J434" s="365">
        <f t="shared" ref="D434:J471" si="134">IF($L$588&lt;&gt;0,J$588/$L$588*$L434,0)</f>
        <v>0</v>
      </c>
      <c r="K434" s="25">
        <f t="shared" si="130"/>
        <v>31488.524557536326</v>
      </c>
      <c r="L434" s="778">
        <v>3</v>
      </c>
      <c r="M434" s="778">
        <f t="shared" si="131"/>
        <v>10496.174852512109</v>
      </c>
      <c r="N434" s="678">
        <v>12564</v>
      </c>
      <c r="O434" s="678"/>
      <c r="P434" s="40" t="s">
        <v>611</v>
      </c>
      <c r="Q434" s="792">
        <v>40862</v>
      </c>
      <c r="R434" s="793"/>
      <c r="S434" s="306">
        <f>L434/2</f>
        <v>1.5</v>
      </c>
      <c r="T434" s="821">
        <v>18396</v>
      </c>
      <c r="U434" s="25">
        <f t="shared" si="132"/>
        <v>27594</v>
      </c>
      <c r="V434" s="456"/>
      <c r="W434" s="792"/>
      <c r="X434" s="822"/>
      <c r="Y434" s="821"/>
      <c r="Z434" s="25">
        <f t="shared" si="133"/>
        <v>0</v>
      </c>
    </row>
    <row r="435" spans="1:26" ht="16.5" customHeight="1">
      <c r="A435" s="777">
        <f t="shared" si="128"/>
        <v>90</v>
      </c>
      <c r="B435" s="298" t="s">
        <v>752</v>
      </c>
      <c r="C435" s="25">
        <f t="shared" si="129"/>
        <v>29457</v>
      </c>
      <c r="D435" s="778">
        <f t="shared" si="134"/>
        <v>1180.0429730134613</v>
      </c>
      <c r="E435" s="778">
        <f t="shared" si="134"/>
        <v>373.40295760481092</v>
      </c>
      <c r="F435" s="778">
        <f t="shared" si="134"/>
        <v>805.10197530335779</v>
      </c>
      <c r="G435" s="778">
        <f t="shared" si="134"/>
        <v>64.351659640036814</v>
      </c>
      <c r="H435" s="778">
        <f t="shared" si="134"/>
        <v>1171.6994457166093</v>
      </c>
      <c r="I435" s="778">
        <f t="shared" si="134"/>
        <v>300.92554625805212</v>
      </c>
      <c r="J435" s="365">
        <f t="shared" si="134"/>
        <v>0</v>
      </c>
      <c r="K435" s="25">
        <f t="shared" si="130"/>
        <v>33351.52455753633</v>
      </c>
      <c r="L435" s="778">
        <v>3</v>
      </c>
      <c r="M435" s="778">
        <f t="shared" si="131"/>
        <v>11117.174852512109</v>
      </c>
      <c r="N435" s="678">
        <v>16284</v>
      </c>
      <c r="O435" s="678"/>
      <c r="P435" s="189" t="s">
        <v>542</v>
      </c>
      <c r="Q435" s="792">
        <v>40862</v>
      </c>
      <c r="R435" s="793"/>
      <c r="S435" s="306">
        <v>1.5</v>
      </c>
      <c r="T435" s="821">
        <v>19638</v>
      </c>
      <c r="U435" s="25">
        <f t="shared" si="132"/>
        <v>29457</v>
      </c>
      <c r="V435" s="456"/>
      <c r="W435" s="792"/>
      <c r="X435" s="822"/>
      <c r="Y435" s="821"/>
      <c r="Z435" s="25">
        <f t="shared" si="133"/>
        <v>0</v>
      </c>
    </row>
    <row r="436" spans="1:26" ht="16.5" customHeight="1">
      <c r="A436" s="777">
        <f t="shared" si="128"/>
        <v>91</v>
      </c>
      <c r="B436" s="298" t="s">
        <v>748</v>
      </c>
      <c r="C436" s="25">
        <f t="shared" si="129"/>
        <v>33745</v>
      </c>
      <c r="D436" s="778">
        <f t="shared" si="134"/>
        <v>1966.7382883557686</v>
      </c>
      <c r="E436" s="778">
        <f t="shared" si="134"/>
        <v>622.33826267468487</v>
      </c>
      <c r="F436" s="778">
        <f t="shared" si="134"/>
        <v>1341.8366255055962</v>
      </c>
      <c r="G436" s="778">
        <f t="shared" si="134"/>
        <v>107.25276606672801</v>
      </c>
      <c r="H436" s="778">
        <f t="shared" si="134"/>
        <v>1952.8324095276821</v>
      </c>
      <c r="I436" s="778">
        <f t="shared" si="134"/>
        <v>501.54257709675346</v>
      </c>
      <c r="J436" s="365">
        <f t="shared" si="134"/>
        <v>0</v>
      </c>
      <c r="K436" s="25">
        <f t="shared" si="130"/>
        <v>40236.540929227209</v>
      </c>
      <c r="L436" s="778">
        <v>5</v>
      </c>
      <c r="M436" s="778">
        <f t="shared" si="131"/>
        <v>8047.3081858454416</v>
      </c>
      <c r="N436" s="678">
        <v>10253</v>
      </c>
      <c r="O436" s="678"/>
      <c r="P436" s="189" t="s">
        <v>501</v>
      </c>
      <c r="Q436" s="792">
        <v>40862</v>
      </c>
      <c r="R436" s="793"/>
      <c r="S436" s="306">
        <f>L436/2</f>
        <v>2.5</v>
      </c>
      <c r="T436" s="821">
        <v>13498</v>
      </c>
      <c r="U436" s="25">
        <f t="shared" si="132"/>
        <v>33745</v>
      </c>
      <c r="V436" s="456"/>
      <c r="W436" s="792"/>
      <c r="X436" s="822"/>
      <c r="Y436" s="821"/>
      <c r="Z436" s="25">
        <f t="shared" si="133"/>
        <v>0</v>
      </c>
    </row>
    <row r="437" spans="1:26" ht="16.5" customHeight="1">
      <c r="A437" s="777">
        <f t="shared" si="128"/>
        <v>92</v>
      </c>
      <c r="B437" s="298" t="s">
        <v>1297</v>
      </c>
      <c r="C437" s="25">
        <f t="shared" si="129"/>
        <v>26996</v>
      </c>
      <c r="D437" s="778">
        <f t="shared" si="134"/>
        <v>1573.390630684615</v>
      </c>
      <c r="E437" s="778">
        <f t="shared" si="134"/>
        <v>497.8706101397479</v>
      </c>
      <c r="F437" s="778">
        <f t="shared" si="134"/>
        <v>1073.4693004044771</v>
      </c>
      <c r="G437" s="778">
        <f t="shared" si="134"/>
        <v>85.802212853382414</v>
      </c>
      <c r="H437" s="778">
        <f t="shared" si="134"/>
        <v>1562.2659276221457</v>
      </c>
      <c r="I437" s="778">
        <f t="shared" si="134"/>
        <v>401.23406167740279</v>
      </c>
      <c r="J437" s="365">
        <f t="shared" si="134"/>
        <v>0</v>
      </c>
      <c r="K437" s="25">
        <f t="shared" si="130"/>
        <v>32189.032743381769</v>
      </c>
      <c r="L437" s="778">
        <v>4</v>
      </c>
      <c r="M437" s="778">
        <f t="shared" si="131"/>
        <v>8047.2581858454423</v>
      </c>
      <c r="N437" s="678">
        <v>10026</v>
      </c>
      <c r="O437" s="678"/>
      <c r="P437" s="189" t="s">
        <v>501</v>
      </c>
      <c r="Q437" s="792">
        <v>40862</v>
      </c>
      <c r="R437" s="793"/>
      <c r="S437" s="306">
        <f>L437/2</f>
        <v>2</v>
      </c>
      <c r="T437" s="821">
        <v>13498</v>
      </c>
      <c r="U437" s="25">
        <f t="shared" si="132"/>
        <v>26996</v>
      </c>
      <c r="V437" s="456"/>
      <c r="W437" s="792"/>
      <c r="X437" s="822"/>
      <c r="Y437" s="821"/>
      <c r="Z437" s="25">
        <f t="shared" si="133"/>
        <v>0</v>
      </c>
    </row>
    <row r="438" spans="1:26" ht="16.5" customHeight="1">
      <c r="A438" s="777">
        <f t="shared" si="128"/>
        <v>93</v>
      </c>
      <c r="B438" s="298" t="s">
        <v>1031</v>
      </c>
      <c r="C438" s="25">
        <f t="shared" si="129"/>
        <v>4449</v>
      </c>
      <c r="D438" s="778">
        <f t="shared" si="134"/>
        <v>393.34765767115374</v>
      </c>
      <c r="E438" s="778">
        <f t="shared" si="134"/>
        <v>124.46765253493697</v>
      </c>
      <c r="F438" s="778">
        <f t="shared" si="134"/>
        <v>268.36732510111926</v>
      </c>
      <c r="G438" s="778">
        <f t="shared" si="134"/>
        <v>21.450553213345604</v>
      </c>
      <c r="H438" s="778">
        <f t="shared" si="134"/>
        <v>390.56648190553642</v>
      </c>
      <c r="I438" s="778">
        <f t="shared" si="134"/>
        <v>100.3085154193507</v>
      </c>
      <c r="J438" s="365">
        <f t="shared" si="134"/>
        <v>0</v>
      </c>
      <c r="K438" s="25">
        <f t="shared" si="130"/>
        <v>5746.5081858454423</v>
      </c>
      <c r="L438" s="778">
        <v>1</v>
      </c>
      <c r="M438" s="778">
        <f t="shared" si="131"/>
        <v>5746.5081858454423</v>
      </c>
      <c r="N438" s="678">
        <v>7285</v>
      </c>
      <c r="O438" s="678"/>
      <c r="P438" s="189" t="s">
        <v>387</v>
      </c>
      <c r="Q438" s="792">
        <v>40862</v>
      </c>
      <c r="R438" s="793"/>
      <c r="S438" s="306">
        <f>L438</f>
        <v>1</v>
      </c>
      <c r="T438" s="821">
        <v>4449</v>
      </c>
      <c r="U438" s="25">
        <f t="shared" si="132"/>
        <v>4449</v>
      </c>
      <c r="V438" s="456"/>
      <c r="W438" s="792"/>
      <c r="X438" s="822"/>
      <c r="Y438" s="821"/>
      <c r="Z438" s="25">
        <f t="shared" si="133"/>
        <v>0</v>
      </c>
    </row>
    <row r="439" spans="1:26" ht="16.5" customHeight="1">
      <c r="A439" s="777">
        <f t="shared" si="128"/>
        <v>94</v>
      </c>
      <c r="B439" s="298" t="s">
        <v>757</v>
      </c>
      <c r="C439" s="25">
        <f t="shared" si="129"/>
        <v>15086</v>
      </c>
      <c r="D439" s="778">
        <f t="shared" si="134"/>
        <v>1573.390630684615</v>
      </c>
      <c r="E439" s="778">
        <f t="shared" si="134"/>
        <v>497.8706101397479</v>
      </c>
      <c r="F439" s="778">
        <f t="shared" si="134"/>
        <v>1073.4693004044771</v>
      </c>
      <c r="G439" s="778">
        <f t="shared" si="134"/>
        <v>85.802212853382414</v>
      </c>
      <c r="H439" s="778">
        <f t="shared" si="134"/>
        <v>1562.2659276221457</v>
      </c>
      <c r="I439" s="778">
        <f t="shared" si="134"/>
        <v>401.23406167740279</v>
      </c>
      <c r="J439" s="365">
        <f t="shared" si="134"/>
        <v>0</v>
      </c>
      <c r="K439" s="25">
        <f t="shared" si="130"/>
        <v>20279.032743381769</v>
      </c>
      <c r="L439" s="778">
        <v>4</v>
      </c>
      <c r="M439" s="778">
        <f t="shared" si="131"/>
        <v>5069.7581858454423</v>
      </c>
      <c r="N439" s="678">
        <v>5210</v>
      </c>
      <c r="O439" s="678"/>
      <c r="P439" s="189" t="s">
        <v>579</v>
      </c>
      <c r="Q439" s="792">
        <v>40862</v>
      </c>
      <c r="R439" s="793"/>
      <c r="S439" s="306">
        <v>2</v>
      </c>
      <c r="T439" s="821">
        <v>7543</v>
      </c>
      <c r="U439" s="25">
        <f t="shared" si="132"/>
        <v>15086</v>
      </c>
      <c r="V439" s="456"/>
      <c r="W439" s="792"/>
      <c r="X439" s="822"/>
      <c r="Y439" s="821"/>
      <c r="Z439" s="25">
        <f t="shared" si="133"/>
        <v>0</v>
      </c>
    </row>
    <row r="440" spans="1:26" ht="16.5" customHeight="1">
      <c r="A440" s="777">
        <f t="shared" si="128"/>
        <v>95</v>
      </c>
      <c r="B440" s="298" t="s">
        <v>924</v>
      </c>
      <c r="C440" s="25">
        <f t="shared" si="129"/>
        <v>17796</v>
      </c>
      <c r="D440" s="778">
        <f t="shared" si="134"/>
        <v>1573.390630684615</v>
      </c>
      <c r="E440" s="778">
        <f t="shared" si="134"/>
        <v>497.8706101397479</v>
      </c>
      <c r="F440" s="778">
        <f t="shared" si="134"/>
        <v>1073.4693004044771</v>
      </c>
      <c r="G440" s="778">
        <f t="shared" si="134"/>
        <v>85.802212853382414</v>
      </c>
      <c r="H440" s="778">
        <f t="shared" si="134"/>
        <v>1562.2659276221457</v>
      </c>
      <c r="I440" s="778">
        <f t="shared" si="134"/>
        <v>401.23406167740279</v>
      </c>
      <c r="J440" s="365">
        <f t="shared" si="134"/>
        <v>0</v>
      </c>
      <c r="K440" s="25">
        <f t="shared" si="130"/>
        <v>22989.032743381769</v>
      </c>
      <c r="L440" s="778">
        <v>4</v>
      </c>
      <c r="M440" s="778">
        <f t="shared" si="131"/>
        <v>5747.2581858454423</v>
      </c>
      <c r="N440" s="678">
        <v>7094</v>
      </c>
      <c r="O440" s="678"/>
      <c r="P440" s="189" t="s">
        <v>387</v>
      </c>
      <c r="Q440" s="792">
        <v>40862</v>
      </c>
      <c r="R440" s="793"/>
      <c r="S440" s="306">
        <f>L440</f>
        <v>4</v>
      </c>
      <c r="T440" s="821">
        <v>4449</v>
      </c>
      <c r="U440" s="25">
        <f t="shared" si="132"/>
        <v>17796</v>
      </c>
      <c r="V440" s="456"/>
      <c r="W440" s="792"/>
      <c r="X440" s="822"/>
      <c r="Y440" s="821"/>
      <c r="Z440" s="25">
        <f t="shared" si="133"/>
        <v>0</v>
      </c>
    </row>
    <row r="441" spans="1:26" ht="16.5" customHeight="1">
      <c r="A441" s="777">
        <f t="shared" si="128"/>
        <v>96</v>
      </c>
      <c r="B441" s="298" t="s">
        <v>758</v>
      </c>
      <c r="C441" s="25">
        <f t="shared" si="129"/>
        <v>8898</v>
      </c>
      <c r="D441" s="778">
        <f t="shared" si="134"/>
        <v>786.69531534230748</v>
      </c>
      <c r="E441" s="778">
        <f t="shared" si="134"/>
        <v>248.93530506987395</v>
      </c>
      <c r="F441" s="778">
        <f t="shared" si="134"/>
        <v>536.73465020223853</v>
      </c>
      <c r="G441" s="778">
        <f t="shared" si="134"/>
        <v>42.901106426691207</v>
      </c>
      <c r="H441" s="778">
        <f t="shared" si="134"/>
        <v>781.13296381107284</v>
      </c>
      <c r="I441" s="778">
        <f t="shared" si="134"/>
        <v>200.6170308387014</v>
      </c>
      <c r="J441" s="365">
        <f t="shared" si="134"/>
        <v>0</v>
      </c>
      <c r="K441" s="25">
        <f t="shared" si="130"/>
        <v>11494.016371690885</v>
      </c>
      <c r="L441" s="778">
        <v>2</v>
      </c>
      <c r="M441" s="778">
        <f t="shared" si="131"/>
        <v>5747.0081858454423</v>
      </c>
      <c r="N441" s="678">
        <v>7348</v>
      </c>
      <c r="O441" s="678"/>
      <c r="P441" s="189" t="s">
        <v>387</v>
      </c>
      <c r="Q441" s="792">
        <v>40862</v>
      </c>
      <c r="R441" s="793"/>
      <c r="S441" s="306">
        <f>L441</f>
        <v>2</v>
      </c>
      <c r="T441" s="821">
        <v>4449</v>
      </c>
      <c r="U441" s="25">
        <f t="shared" si="132"/>
        <v>8898</v>
      </c>
      <c r="V441" s="456"/>
      <c r="W441" s="792"/>
      <c r="X441" s="822"/>
      <c r="Y441" s="821"/>
      <c r="Z441" s="25">
        <f t="shared" si="133"/>
        <v>0</v>
      </c>
    </row>
    <row r="442" spans="1:26" ht="16.5" customHeight="1">
      <c r="A442" s="777">
        <f t="shared" si="128"/>
        <v>97</v>
      </c>
      <c r="B442" s="298" t="s">
        <v>926</v>
      </c>
      <c r="C442" s="25">
        <f t="shared" si="129"/>
        <v>1527848</v>
      </c>
      <c r="D442" s="778">
        <f t="shared" si="134"/>
        <v>86929.832345324976</v>
      </c>
      <c r="E442" s="778">
        <f t="shared" si="134"/>
        <v>27507.35121022107</v>
      </c>
      <c r="F442" s="778">
        <f t="shared" si="134"/>
        <v>59309.178847347357</v>
      </c>
      <c r="G442" s="778">
        <f t="shared" si="134"/>
        <v>4740.5722601493781</v>
      </c>
      <c r="H442" s="778">
        <f t="shared" si="134"/>
        <v>86315.192501123543</v>
      </c>
      <c r="I442" s="778">
        <f t="shared" si="134"/>
        <v>22168.181907676506</v>
      </c>
      <c r="J442" s="365">
        <f t="shared" si="134"/>
        <v>0</v>
      </c>
      <c r="K442" s="25">
        <f t="shared" si="130"/>
        <v>1814817.3090718428</v>
      </c>
      <c r="L442" s="778">
        <v>221</v>
      </c>
      <c r="M442" s="778">
        <f t="shared" si="131"/>
        <v>8211.8430274744023</v>
      </c>
      <c r="N442" s="678">
        <v>9594</v>
      </c>
      <c r="O442" s="678"/>
      <c r="P442" s="40" t="s">
        <v>639</v>
      </c>
      <c r="Q442" s="792">
        <v>40862</v>
      </c>
      <c r="R442" s="793"/>
      <c r="S442" s="306">
        <v>56</v>
      </c>
      <c r="T442" s="821">
        <v>27283</v>
      </c>
      <c r="U442" s="25">
        <f t="shared" si="132"/>
        <v>1527848</v>
      </c>
      <c r="V442" s="456"/>
      <c r="W442" s="792"/>
      <c r="X442" s="822"/>
      <c r="Y442" s="821"/>
      <c r="Z442" s="25">
        <f t="shared" si="133"/>
        <v>0</v>
      </c>
    </row>
    <row r="443" spans="1:26" ht="16.5" customHeight="1">
      <c r="A443" s="777">
        <f t="shared" si="128"/>
        <v>98</v>
      </c>
      <c r="B443" s="298" t="s">
        <v>759</v>
      </c>
      <c r="C443" s="25">
        <f t="shared" si="129"/>
        <v>794561</v>
      </c>
      <c r="D443" s="778">
        <f t="shared" si="134"/>
        <v>24387.55477561153</v>
      </c>
      <c r="E443" s="778">
        <f t="shared" si="134"/>
        <v>7716.9944571660926</v>
      </c>
      <c r="F443" s="778">
        <f t="shared" si="134"/>
        <v>16638.774156269395</v>
      </c>
      <c r="G443" s="778">
        <f t="shared" si="134"/>
        <v>1329.9342992274273</v>
      </c>
      <c r="H443" s="778">
        <f t="shared" si="134"/>
        <v>24215.121878143258</v>
      </c>
      <c r="I443" s="778">
        <f t="shared" si="134"/>
        <v>6219.1279559997429</v>
      </c>
      <c r="J443" s="365">
        <f t="shared" si="134"/>
        <v>0</v>
      </c>
      <c r="K443" s="25">
        <f t="shared" si="130"/>
        <v>875067.50752241735</v>
      </c>
      <c r="L443" s="778">
        <v>62</v>
      </c>
      <c r="M443" s="778">
        <f t="shared" si="131"/>
        <v>14113.992056813184</v>
      </c>
      <c r="N443" s="678">
        <v>15136</v>
      </c>
      <c r="O443" s="678"/>
      <c r="P443" s="456" t="s">
        <v>643</v>
      </c>
      <c r="Q443" s="792">
        <v>40862</v>
      </c>
      <c r="R443" s="793"/>
      <c r="S443" s="306">
        <f>L443/2</f>
        <v>31</v>
      </c>
      <c r="T443" s="821">
        <v>25631</v>
      </c>
      <c r="U443" s="25">
        <f t="shared" si="132"/>
        <v>794561</v>
      </c>
      <c r="V443" s="456"/>
      <c r="W443" s="792"/>
      <c r="X443" s="822"/>
      <c r="Y443" s="821"/>
      <c r="Z443" s="25">
        <f t="shared" si="133"/>
        <v>0</v>
      </c>
    </row>
    <row r="444" spans="1:26" ht="16.5" customHeight="1">
      <c r="A444" s="777">
        <f t="shared" si="128"/>
        <v>99</v>
      </c>
      <c r="B444" s="298" t="s">
        <v>922</v>
      </c>
      <c r="C444" s="25">
        <f t="shared" si="129"/>
        <v>851236</v>
      </c>
      <c r="D444" s="778">
        <f t="shared" si="134"/>
        <v>54675.324416290372</v>
      </c>
      <c r="E444" s="778">
        <f t="shared" si="134"/>
        <v>17301.00370235624</v>
      </c>
      <c r="F444" s="778">
        <f t="shared" si="134"/>
        <v>37303.058189055577</v>
      </c>
      <c r="G444" s="778">
        <f t="shared" si="134"/>
        <v>2981.6268966550388</v>
      </c>
      <c r="H444" s="778">
        <f t="shared" si="134"/>
        <v>54288.740984869561</v>
      </c>
      <c r="I444" s="778">
        <f t="shared" si="134"/>
        <v>13942.883643289748</v>
      </c>
      <c r="J444" s="365">
        <f t="shared" si="134"/>
        <v>0</v>
      </c>
      <c r="K444" s="25">
        <f t="shared" si="130"/>
        <v>1031727.6378325166</v>
      </c>
      <c r="L444" s="778">
        <v>139</v>
      </c>
      <c r="M444" s="778">
        <f t="shared" si="131"/>
        <v>7422.5009916008385</v>
      </c>
      <c r="N444" s="678">
        <v>8450</v>
      </c>
      <c r="O444" s="678"/>
      <c r="P444" s="189" t="s">
        <v>385</v>
      </c>
      <c r="Q444" s="792">
        <v>40862</v>
      </c>
      <c r="R444" s="793"/>
      <c r="S444" s="306">
        <v>139</v>
      </c>
      <c r="T444" s="821">
        <v>6124</v>
      </c>
      <c r="U444" s="25">
        <f t="shared" si="132"/>
        <v>851236</v>
      </c>
      <c r="V444" s="456"/>
      <c r="W444" s="792"/>
      <c r="X444" s="822"/>
      <c r="Y444" s="821"/>
      <c r="Z444" s="25">
        <f t="shared" si="133"/>
        <v>0</v>
      </c>
    </row>
    <row r="445" spans="1:26" ht="16.5" customHeight="1">
      <c r="A445" s="777">
        <f t="shared" si="128"/>
        <v>100</v>
      </c>
      <c r="B445" s="298" t="s">
        <v>746</v>
      </c>
      <c r="C445" s="25">
        <f t="shared" si="129"/>
        <v>2574312</v>
      </c>
      <c r="D445" s="778">
        <f t="shared" si="134"/>
        <v>122724.46919339997</v>
      </c>
      <c r="E445" s="778">
        <f t="shared" si="134"/>
        <v>38833.907590900337</v>
      </c>
      <c r="F445" s="778">
        <f t="shared" si="134"/>
        <v>83730.605431549207</v>
      </c>
      <c r="G445" s="778">
        <f t="shared" si="134"/>
        <v>6692.5726025638287</v>
      </c>
      <c r="H445" s="778">
        <f t="shared" si="134"/>
        <v>121856.74235452736</v>
      </c>
      <c r="I445" s="778">
        <f t="shared" si="134"/>
        <v>31296.256810837418</v>
      </c>
      <c r="J445" s="365">
        <f t="shared" si="134"/>
        <v>0</v>
      </c>
      <c r="K445" s="25">
        <f t="shared" si="130"/>
        <v>2979445.5539837787</v>
      </c>
      <c r="L445" s="778">
        <v>312</v>
      </c>
      <c r="M445" s="778">
        <f t="shared" si="131"/>
        <v>9549.50498071724</v>
      </c>
      <c r="N445" s="678">
        <v>10595</v>
      </c>
      <c r="O445" s="678"/>
      <c r="P445" s="40" t="s">
        <v>649</v>
      </c>
      <c r="Q445" s="792">
        <v>40862</v>
      </c>
      <c r="R445" s="793"/>
      <c r="S445" s="306">
        <f>L445/2</f>
        <v>156</v>
      </c>
      <c r="T445" s="821">
        <v>16502</v>
      </c>
      <c r="U445" s="25">
        <f t="shared" si="132"/>
        <v>2574312</v>
      </c>
      <c r="V445" s="456"/>
      <c r="W445" s="792"/>
      <c r="X445" s="822"/>
      <c r="Y445" s="821"/>
      <c r="Z445" s="25">
        <f t="shared" si="133"/>
        <v>0</v>
      </c>
    </row>
    <row r="446" spans="1:26" ht="16.5" customHeight="1">
      <c r="A446" s="777">
        <f t="shared" si="128"/>
        <v>101</v>
      </c>
      <c r="B446" s="298" t="s">
        <v>1298</v>
      </c>
      <c r="C446" s="25">
        <f t="shared" si="129"/>
        <v>124128</v>
      </c>
      <c r="D446" s="778">
        <f t="shared" si="134"/>
        <v>4720.1718920538451</v>
      </c>
      <c r="E446" s="778">
        <f t="shared" si="134"/>
        <v>1493.6118304192437</v>
      </c>
      <c r="F446" s="778">
        <f t="shared" si="134"/>
        <v>3220.4079012134312</v>
      </c>
      <c r="G446" s="778">
        <f t="shared" si="134"/>
        <v>257.40663856014726</v>
      </c>
      <c r="H446" s="778">
        <f t="shared" si="134"/>
        <v>4686.797782866437</v>
      </c>
      <c r="I446" s="778">
        <f t="shared" si="134"/>
        <v>1203.7021850322085</v>
      </c>
      <c r="J446" s="365">
        <f t="shared" si="134"/>
        <v>0</v>
      </c>
      <c r="K446" s="25">
        <f t="shared" si="130"/>
        <v>139709.09823014532</v>
      </c>
      <c r="L446" s="778">
        <v>12</v>
      </c>
      <c r="M446" s="778">
        <f t="shared" si="131"/>
        <v>11642.424852512109</v>
      </c>
      <c r="N446" s="678">
        <v>14836</v>
      </c>
      <c r="O446" s="678"/>
      <c r="P446" s="189" t="s">
        <v>578</v>
      </c>
      <c r="Q446" s="792">
        <v>40862</v>
      </c>
      <c r="R446" s="793"/>
      <c r="S446" s="306">
        <f>L446</f>
        <v>12</v>
      </c>
      <c r="T446" s="821">
        <v>10344</v>
      </c>
      <c r="U446" s="25">
        <f t="shared" si="132"/>
        <v>124128</v>
      </c>
      <c r="V446" s="456"/>
      <c r="W446" s="792"/>
      <c r="X446" s="822"/>
      <c r="Y446" s="821"/>
      <c r="Z446" s="25">
        <f t="shared" si="133"/>
        <v>0</v>
      </c>
    </row>
    <row r="447" spans="1:26" ht="16.5" customHeight="1">
      <c r="A447" s="777">
        <f t="shared" si="128"/>
        <v>102</v>
      </c>
      <c r="B447" s="298" t="s">
        <v>750</v>
      </c>
      <c r="C447" s="25">
        <f t="shared" si="129"/>
        <v>2533285</v>
      </c>
      <c r="D447" s="778">
        <f t="shared" si="134"/>
        <v>81029.617480257672</v>
      </c>
      <c r="E447" s="778">
        <f t="shared" si="134"/>
        <v>25640.336422197015</v>
      </c>
      <c r="F447" s="778">
        <f t="shared" si="134"/>
        <v>55283.668970830571</v>
      </c>
      <c r="G447" s="778">
        <f t="shared" si="134"/>
        <v>4418.813961949194</v>
      </c>
      <c r="H447" s="778">
        <f t="shared" si="134"/>
        <v>80456.695272540499</v>
      </c>
      <c r="I447" s="778">
        <f t="shared" si="134"/>
        <v>20663.554176386242</v>
      </c>
      <c r="J447" s="365">
        <f t="shared" si="134"/>
        <v>0</v>
      </c>
      <c r="K447" s="25">
        <f t="shared" si="130"/>
        <v>2800776.6862841616</v>
      </c>
      <c r="L447" s="778">
        <v>206</v>
      </c>
      <c r="M447" s="778">
        <f t="shared" si="131"/>
        <v>13596.003331476513</v>
      </c>
      <c r="N447" s="678">
        <v>15618</v>
      </c>
      <c r="O447" s="678"/>
      <c r="P447" s="189" t="s">
        <v>638</v>
      </c>
      <c r="Q447" s="792">
        <v>40862</v>
      </c>
      <c r="R447" s="793"/>
      <c r="S447" s="306">
        <f>L447/2</f>
        <v>103</v>
      </c>
      <c r="T447" s="821">
        <v>24595</v>
      </c>
      <c r="U447" s="25">
        <f t="shared" si="132"/>
        <v>2533285</v>
      </c>
      <c r="V447" s="456"/>
      <c r="W447" s="792"/>
      <c r="X447" s="822"/>
      <c r="Y447" s="821"/>
      <c r="Z447" s="25">
        <f t="shared" si="133"/>
        <v>0</v>
      </c>
    </row>
    <row r="448" spans="1:26" ht="16.5" customHeight="1">
      <c r="A448" s="777">
        <f t="shared" si="128"/>
        <v>103</v>
      </c>
      <c r="B448" s="298" t="s">
        <v>1299</v>
      </c>
      <c r="C448" s="25">
        <f t="shared" si="129"/>
        <v>627930</v>
      </c>
      <c r="D448" s="778">
        <f t="shared" si="134"/>
        <v>17700.644595201917</v>
      </c>
      <c r="E448" s="778">
        <f t="shared" si="134"/>
        <v>5601.0443640721642</v>
      </c>
      <c r="F448" s="778">
        <f t="shared" si="134"/>
        <v>12076.529629550367</v>
      </c>
      <c r="G448" s="778">
        <f t="shared" si="134"/>
        <v>965.27489460055222</v>
      </c>
      <c r="H448" s="778">
        <f t="shared" si="134"/>
        <v>17575.491685749141</v>
      </c>
      <c r="I448" s="778">
        <f t="shared" si="134"/>
        <v>4513.8831938707817</v>
      </c>
      <c r="J448" s="365">
        <f t="shared" si="134"/>
        <v>0</v>
      </c>
      <c r="K448" s="25">
        <f t="shared" si="130"/>
        <v>686361.86836304492</v>
      </c>
      <c r="L448" s="778">
        <v>45</v>
      </c>
      <c r="M448" s="778">
        <f t="shared" si="131"/>
        <v>15252.485963623221</v>
      </c>
      <c r="N448" s="678">
        <v>16215</v>
      </c>
      <c r="O448" s="678"/>
      <c r="P448" s="189" t="s">
        <v>549</v>
      </c>
      <c r="Q448" s="792">
        <v>40862</v>
      </c>
      <c r="R448" s="793"/>
      <c r="S448" s="306">
        <f>L448</f>
        <v>45</v>
      </c>
      <c r="T448" s="821">
        <v>13954</v>
      </c>
      <c r="U448" s="25">
        <f t="shared" si="132"/>
        <v>627930</v>
      </c>
      <c r="V448" s="456"/>
      <c r="W448" s="792"/>
      <c r="X448" s="822"/>
      <c r="Y448" s="821"/>
      <c r="Z448" s="25">
        <f t="shared" si="133"/>
        <v>0</v>
      </c>
    </row>
    <row r="449" spans="1:26" ht="16.5" customHeight="1">
      <c r="A449" s="777">
        <f t="shared" si="128"/>
        <v>104</v>
      </c>
      <c r="B449" s="298" t="s">
        <v>1300</v>
      </c>
      <c r="C449" s="25">
        <f t="shared" si="129"/>
        <v>597870</v>
      </c>
      <c r="D449" s="778">
        <f t="shared" si="134"/>
        <v>24780.902433282685</v>
      </c>
      <c r="E449" s="778">
        <f t="shared" si="134"/>
        <v>7841.4621097010295</v>
      </c>
      <c r="F449" s="778">
        <f t="shared" si="134"/>
        <v>16907.141481370512</v>
      </c>
      <c r="G449" s="778">
        <f t="shared" si="134"/>
        <v>1351.3848524407731</v>
      </c>
      <c r="H449" s="778">
        <f t="shared" si="134"/>
        <v>24605.688360048793</v>
      </c>
      <c r="I449" s="778">
        <f t="shared" si="134"/>
        <v>6319.4364714190942</v>
      </c>
      <c r="J449" s="365">
        <f t="shared" si="134"/>
        <v>0</v>
      </c>
      <c r="K449" s="25">
        <f t="shared" si="130"/>
        <v>679675.01570826292</v>
      </c>
      <c r="L449" s="778">
        <v>63</v>
      </c>
      <c r="M449" s="778">
        <f t="shared" si="131"/>
        <v>10788.49231282957</v>
      </c>
      <c r="N449" s="678">
        <v>12346</v>
      </c>
      <c r="O449" s="678"/>
      <c r="P449" s="40" t="s">
        <v>611</v>
      </c>
      <c r="Q449" s="792">
        <v>40862</v>
      </c>
      <c r="R449" s="793"/>
      <c r="S449" s="306">
        <v>32.5</v>
      </c>
      <c r="T449" s="821">
        <v>18396</v>
      </c>
      <c r="U449" s="25">
        <f t="shared" si="132"/>
        <v>597870</v>
      </c>
      <c r="V449" s="456"/>
      <c r="W449" s="792"/>
      <c r="X449" s="822"/>
      <c r="Y449" s="821"/>
      <c r="Z449" s="25">
        <f t="shared" si="133"/>
        <v>0</v>
      </c>
    </row>
    <row r="450" spans="1:26" ht="16.5" customHeight="1">
      <c r="A450" s="777">
        <f t="shared" si="128"/>
        <v>105</v>
      </c>
      <c r="B450" s="298" t="s">
        <v>1301</v>
      </c>
      <c r="C450" s="25">
        <f t="shared" si="129"/>
        <v>608340</v>
      </c>
      <c r="D450" s="778">
        <f t="shared" si="134"/>
        <v>23600.859460269225</v>
      </c>
      <c r="E450" s="778">
        <f t="shared" si="134"/>
        <v>7468.0591520962189</v>
      </c>
      <c r="F450" s="778">
        <f t="shared" si="134"/>
        <v>16102.039506067156</v>
      </c>
      <c r="G450" s="778">
        <f t="shared" si="134"/>
        <v>1287.0331928007363</v>
      </c>
      <c r="H450" s="778">
        <f t="shared" si="134"/>
        <v>23433.988914332185</v>
      </c>
      <c r="I450" s="778">
        <f t="shared" si="134"/>
        <v>6018.510925161042</v>
      </c>
      <c r="J450" s="365">
        <f t="shared" si="134"/>
        <v>0</v>
      </c>
      <c r="K450" s="25">
        <f t="shared" si="130"/>
        <v>686249.49115072656</v>
      </c>
      <c r="L450" s="778">
        <v>60</v>
      </c>
      <c r="M450" s="778">
        <f t="shared" si="131"/>
        <v>11437.491519178777</v>
      </c>
      <c r="N450" s="678">
        <v>13110</v>
      </c>
      <c r="O450" s="678"/>
      <c r="P450" s="40" t="s">
        <v>642</v>
      </c>
      <c r="Q450" s="792">
        <v>40862</v>
      </c>
      <c r="R450" s="793"/>
      <c r="S450" s="306">
        <f>L450/2</f>
        <v>30</v>
      </c>
      <c r="T450" s="821">
        <v>20278</v>
      </c>
      <c r="U450" s="25">
        <f t="shared" si="132"/>
        <v>608340</v>
      </c>
      <c r="V450" s="456"/>
      <c r="W450" s="792"/>
      <c r="X450" s="822"/>
      <c r="Y450" s="821"/>
      <c r="Z450" s="25">
        <f t="shared" si="133"/>
        <v>0</v>
      </c>
    </row>
    <row r="451" spans="1:26" ht="16.5" customHeight="1">
      <c r="A451" s="777">
        <f t="shared" si="128"/>
        <v>106</v>
      </c>
      <c r="B451" s="298" t="s">
        <v>1302</v>
      </c>
      <c r="C451" s="25">
        <f t="shared" si="129"/>
        <v>503311</v>
      </c>
      <c r="D451" s="778">
        <f t="shared" si="134"/>
        <v>23994.207117940379</v>
      </c>
      <c r="E451" s="778">
        <f t="shared" si="134"/>
        <v>7592.5268046311558</v>
      </c>
      <c r="F451" s="778">
        <f t="shared" si="134"/>
        <v>16370.406831168275</v>
      </c>
      <c r="G451" s="778">
        <f t="shared" si="134"/>
        <v>1308.4837460140818</v>
      </c>
      <c r="H451" s="778">
        <f t="shared" si="134"/>
        <v>23824.555396237723</v>
      </c>
      <c r="I451" s="778">
        <f t="shared" si="134"/>
        <v>6118.8194405803924</v>
      </c>
      <c r="J451" s="365">
        <f t="shared" si="134"/>
        <v>0</v>
      </c>
      <c r="K451" s="25">
        <f t="shared" si="130"/>
        <v>582518.99933657201</v>
      </c>
      <c r="L451" s="778">
        <v>61</v>
      </c>
      <c r="M451" s="778">
        <f t="shared" si="131"/>
        <v>9549.4917924028196</v>
      </c>
      <c r="N451" s="678">
        <v>10884</v>
      </c>
      <c r="O451" s="678"/>
      <c r="P451" s="40" t="s">
        <v>649</v>
      </c>
      <c r="Q451" s="792">
        <v>40862</v>
      </c>
      <c r="R451" s="793"/>
      <c r="S451" s="306">
        <f>L451/2</f>
        <v>30.5</v>
      </c>
      <c r="T451" s="821">
        <v>16502</v>
      </c>
      <c r="U451" s="25">
        <f t="shared" si="132"/>
        <v>503311</v>
      </c>
      <c r="V451" s="456"/>
      <c r="W451" s="792"/>
      <c r="X451" s="822"/>
      <c r="Y451" s="821"/>
      <c r="Z451" s="25">
        <f t="shared" si="133"/>
        <v>0</v>
      </c>
    </row>
    <row r="452" spans="1:26" ht="16.5" customHeight="1">
      <c r="A452" s="777">
        <f t="shared" si="128"/>
        <v>107</v>
      </c>
      <c r="B452" s="298" t="s">
        <v>1303</v>
      </c>
      <c r="C452" s="25">
        <f t="shared" si="129"/>
        <v>1767303</v>
      </c>
      <c r="D452" s="778">
        <f t="shared" si="134"/>
        <v>40908.15639779999</v>
      </c>
      <c r="E452" s="778">
        <f t="shared" si="134"/>
        <v>12944.635863633444</v>
      </c>
      <c r="F452" s="778">
        <f t="shared" si="134"/>
        <v>27910.201810516402</v>
      </c>
      <c r="G452" s="778">
        <f t="shared" si="134"/>
        <v>2230.8575341879427</v>
      </c>
      <c r="H452" s="778">
        <f t="shared" si="134"/>
        <v>40618.914118175788</v>
      </c>
      <c r="I452" s="778">
        <f t="shared" si="134"/>
        <v>10432.085603612473</v>
      </c>
      <c r="J452" s="365">
        <f t="shared" si="134"/>
        <v>0</v>
      </c>
      <c r="K452" s="25">
        <f t="shared" si="130"/>
        <v>1902346.8513279259</v>
      </c>
      <c r="L452" s="778">
        <v>104</v>
      </c>
      <c r="M452" s="778">
        <f t="shared" si="131"/>
        <v>18291.796647383904</v>
      </c>
      <c r="N452" s="678">
        <v>22061</v>
      </c>
      <c r="O452" s="678"/>
      <c r="P452" s="40" t="s">
        <v>641</v>
      </c>
      <c r="Q452" s="792">
        <v>40862</v>
      </c>
      <c r="R452" s="793"/>
      <c r="S452" s="306">
        <v>51</v>
      </c>
      <c r="T452" s="821">
        <v>34653</v>
      </c>
      <c r="U452" s="25">
        <f t="shared" si="132"/>
        <v>1767303</v>
      </c>
      <c r="V452" s="456"/>
      <c r="W452" s="792"/>
      <c r="X452" s="822"/>
      <c r="Y452" s="821"/>
      <c r="Z452" s="25">
        <f t="shared" si="133"/>
        <v>0</v>
      </c>
    </row>
    <row r="453" spans="1:26" ht="16.5" customHeight="1">
      <c r="A453" s="777">
        <f t="shared" si="128"/>
        <v>108</v>
      </c>
      <c r="B453" s="298" t="s">
        <v>1304</v>
      </c>
      <c r="C453" s="25">
        <f t="shared" si="129"/>
        <v>1036754</v>
      </c>
      <c r="D453" s="778">
        <f t="shared" si="134"/>
        <v>59788.843966015367</v>
      </c>
      <c r="E453" s="778">
        <f t="shared" si="134"/>
        <v>18919.083185310421</v>
      </c>
      <c r="F453" s="778">
        <f t="shared" si="134"/>
        <v>40791.833415370129</v>
      </c>
      <c r="G453" s="778">
        <f t="shared" si="134"/>
        <v>3260.4840884285318</v>
      </c>
      <c r="H453" s="778">
        <f t="shared" si="134"/>
        <v>59366.105249641536</v>
      </c>
      <c r="I453" s="778">
        <f t="shared" si="134"/>
        <v>15246.894343741305</v>
      </c>
      <c r="J453" s="365">
        <f t="shared" si="134"/>
        <v>0</v>
      </c>
      <c r="K453" s="25">
        <f t="shared" si="130"/>
        <v>1234126.2442485073</v>
      </c>
      <c r="L453" s="778">
        <v>152</v>
      </c>
      <c r="M453" s="778">
        <f t="shared" si="131"/>
        <v>8119.251606898074</v>
      </c>
      <c r="N453" s="678">
        <v>9449</v>
      </c>
      <c r="O453" s="678"/>
      <c r="P453" s="40" t="s">
        <v>639</v>
      </c>
      <c r="Q453" s="792">
        <v>40862</v>
      </c>
      <c r="R453" s="793"/>
      <c r="S453" s="306">
        <f>L453/4</f>
        <v>38</v>
      </c>
      <c r="T453" s="821">
        <v>27283</v>
      </c>
      <c r="U453" s="25">
        <f t="shared" si="132"/>
        <v>1036754</v>
      </c>
      <c r="V453" s="456"/>
      <c r="W453" s="792"/>
      <c r="X453" s="822"/>
      <c r="Y453" s="821"/>
      <c r="Z453" s="25">
        <f t="shared" si="133"/>
        <v>0</v>
      </c>
    </row>
    <row r="454" spans="1:26" ht="16.5" customHeight="1">
      <c r="A454" s="777">
        <f t="shared" si="128"/>
        <v>109</v>
      </c>
      <c r="B454" s="298" t="s">
        <v>1305</v>
      </c>
      <c r="C454" s="25">
        <f t="shared" si="129"/>
        <v>1947236</v>
      </c>
      <c r="D454" s="778">
        <f t="shared" si="134"/>
        <v>92436.699552721126</v>
      </c>
      <c r="E454" s="778">
        <f t="shared" si="134"/>
        <v>29249.898345710189</v>
      </c>
      <c r="F454" s="778">
        <f t="shared" si="134"/>
        <v>63066.32139876303</v>
      </c>
      <c r="G454" s="778">
        <f t="shared" si="134"/>
        <v>5040.8800051362168</v>
      </c>
      <c r="H454" s="778">
        <f t="shared" si="134"/>
        <v>91783.123247801064</v>
      </c>
      <c r="I454" s="778">
        <f t="shared" si="134"/>
        <v>23572.501123547416</v>
      </c>
      <c r="J454" s="365">
        <f t="shared" si="134"/>
        <v>0</v>
      </c>
      <c r="K454" s="25">
        <f t="shared" si="130"/>
        <v>2252384.4236736791</v>
      </c>
      <c r="L454" s="778">
        <v>235</v>
      </c>
      <c r="M454" s="778">
        <f t="shared" si="131"/>
        <v>9584.6145688241668</v>
      </c>
      <c r="N454" s="678">
        <v>10362</v>
      </c>
      <c r="O454" s="678"/>
      <c r="P454" s="40" t="s">
        <v>649</v>
      </c>
      <c r="Q454" s="792">
        <v>40862</v>
      </c>
      <c r="R454" s="793"/>
      <c r="S454" s="306">
        <v>118</v>
      </c>
      <c r="T454" s="821">
        <v>16502</v>
      </c>
      <c r="U454" s="25">
        <f t="shared" si="132"/>
        <v>1947236</v>
      </c>
      <c r="V454" s="456"/>
      <c r="W454" s="792"/>
      <c r="X454" s="822"/>
      <c r="Y454" s="821"/>
      <c r="Z454" s="25">
        <f t="shared" si="133"/>
        <v>0</v>
      </c>
    </row>
    <row r="455" spans="1:26" ht="16.5" customHeight="1">
      <c r="A455" s="777">
        <f t="shared" si="128"/>
        <v>110</v>
      </c>
      <c r="B455" s="298" t="s">
        <v>1306</v>
      </c>
      <c r="C455" s="25">
        <f t="shared" si="129"/>
        <v>658407</v>
      </c>
      <c r="D455" s="778">
        <f t="shared" si="134"/>
        <v>14947.210991503842</v>
      </c>
      <c r="E455" s="778">
        <f t="shared" si="134"/>
        <v>4729.7707963276052</v>
      </c>
      <c r="F455" s="778">
        <f t="shared" si="134"/>
        <v>10197.958353842532</v>
      </c>
      <c r="G455" s="778">
        <f t="shared" si="134"/>
        <v>815.12102210713294</v>
      </c>
      <c r="H455" s="778">
        <f t="shared" si="134"/>
        <v>14841.526312410384</v>
      </c>
      <c r="I455" s="778">
        <f t="shared" si="134"/>
        <v>3811.7235859353264</v>
      </c>
      <c r="J455" s="365">
        <f t="shared" si="134"/>
        <v>0</v>
      </c>
      <c r="K455" s="25">
        <f t="shared" si="130"/>
        <v>707749.31106212665</v>
      </c>
      <c r="L455" s="778">
        <v>38</v>
      </c>
      <c r="M455" s="778">
        <f t="shared" si="131"/>
        <v>18624.981870055966</v>
      </c>
      <c r="N455" s="678">
        <v>25864</v>
      </c>
      <c r="O455" s="678"/>
      <c r="P455" s="40" t="s">
        <v>641</v>
      </c>
      <c r="Q455" s="792">
        <v>40866</v>
      </c>
      <c r="R455" s="793"/>
      <c r="S455" s="306">
        <f>L455/2</f>
        <v>19</v>
      </c>
      <c r="T455" s="821">
        <v>34653</v>
      </c>
      <c r="U455" s="25">
        <f t="shared" si="132"/>
        <v>658407</v>
      </c>
      <c r="V455" s="456"/>
      <c r="W455" s="792"/>
      <c r="X455" s="822"/>
      <c r="Y455" s="821"/>
      <c r="Z455" s="25">
        <f t="shared" si="133"/>
        <v>0</v>
      </c>
    </row>
    <row r="456" spans="1:26" ht="16.5" customHeight="1">
      <c r="A456" s="777">
        <f t="shared" si="128"/>
        <v>111</v>
      </c>
      <c r="B456" s="298" t="s">
        <v>1308</v>
      </c>
      <c r="C456" s="25">
        <f t="shared" si="129"/>
        <v>112840</v>
      </c>
      <c r="D456" s="778">
        <f t="shared" si="134"/>
        <v>3146.7812613692299</v>
      </c>
      <c r="E456" s="778">
        <f t="shared" si="134"/>
        <v>995.74122027949579</v>
      </c>
      <c r="F456" s="778">
        <f t="shared" si="134"/>
        <v>2146.9386008089541</v>
      </c>
      <c r="G456" s="778">
        <f t="shared" si="134"/>
        <v>171.60442570676483</v>
      </c>
      <c r="H456" s="778">
        <f t="shared" si="134"/>
        <v>3124.5318552442914</v>
      </c>
      <c r="I456" s="778">
        <f t="shared" si="134"/>
        <v>802.46812335480558</v>
      </c>
      <c r="J456" s="365">
        <f t="shared" si="134"/>
        <v>0</v>
      </c>
      <c r="K456" s="25">
        <f t="shared" si="130"/>
        <v>123227.06548676355</v>
      </c>
      <c r="L456" s="778">
        <v>8</v>
      </c>
      <c r="M456" s="778">
        <f t="shared" si="131"/>
        <v>15403.383185845443</v>
      </c>
      <c r="N456" s="678">
        <v>17968</v>
      </c>
      <c r="O456" s="678"/>
      <c r="P456" s="40" t="s">
        <v>651</v>
      </c>
      <c r="Q456" s="792">
        <v>40866</v>
      </c>
      <c r="R456" s="793"/>
      <c r="S456" s="306">
        <f>L456</f>
        <v>8</v>
      </c>
      <c r="T456" s="821">
        <v>14105</v>
      </c>
      <c r="U456" s="25">
        <f t="shared" si="132"/>
        <v>112840</v>
      </c>
      <c r="V456" s="456"/>
      <c r="W456" s="792"/>
      <c r="X456" s="822"/>
      <c r="Y456" s="821"/>
      <c r="Z456" s="25">
        <f t="shared" si="133"/>
        <v>0</v>
      </c>
    </row>
    <row r="457" spans="1:26" ht="16.5" customHeight="1">
      <c r="A457" s="777">
        <f t="shared" si="128"/>
        <v>112</v>
      </c>
      <c r="B457" s="298" t="s">
        <v>1309</v>
      </c>
      <c r="C457" s="25">
        <f t="shared" si="129"/>
        <v>206880</v>
      </c>
      <c r="D457" s="778">
        <f t="shared" si="134"/>
        <v>9440.3437841076902</v>
      </c>
      <c r="E457" s="778">
        <f t="shared" si="134"/>
        <v>2987.2236608384874</v>
      </c>
      <c r="F457" s="778">
        <f t="shared" si="134"/>
        <v>6440.8158024268623</v>
      </c>
      <c r="G457" s="778">
        <f t="shared" si="134"/>
        <v>514.81327712029452</v>
      </c>
      <c r="H457" s="778">
        <f t="shared" si="134"/>
        <v>9373.5955657328741</v>
      </c>
      <c r="I457" s="778">
        <f t="shared" si="134"/>
        <v>2407.404370064417</v>
      </c>
      <c r="J457" s="365">
        <f t="shared" si="134"/>
        <v>0</v>
      </c>
      <c r="K457" s="25">
        <f t="shared" si="130"/>
        <v>238043.19646029061</v>
      </c>
      <c r="L457" s="778">
        <v>24</v>
      </c>
      <c r="M457" s="778">
        <f t="shared" si="131"/>
        <v>9918.4665191787753</v>
      </c>
      <c r="N457" s="678">
        <v>11987</v>
      </c>
      <c r="O457" s="678"/>
      <c r="P457" s="189" t="s">
        <v>507</v>
      </c>
      <c r="Q457" s="792">
        <v>40866</v>
      </c>
      <c r="R457" s="793"/>
      <c r="S457" s="306">
        <f>L457</f>
        <v>24</v>
      </c>
      <c r="T457" s="821">
        <v>8620</v>
      </c>
      <c r="U457" s="25">
        <f t="shared" si="132"/>
        <v>206880</v>
      </c>
      <c r="V457" s="456"/>
      <c r="W457" s="792"/>
      <c r="X457" s="822"/>
      <c r="Y457" s="821"/>
      <c r="Z457" s="25">
        <f t="shared" si="133"/>
        <v>0</v>
      </c>
    </row>
    <row r="458" spans="1:26" ht="16.5" customHeight="1">
      <c r="A458" s="777">
        <f t="shared" si="128"/>
        <v>113</v>
      </c>
      <c r="B458" s="298" t="s">
        <v>1310</v>
      </c>
      <c r="C458" s="25">
        <f t="shared" si="129"/>
        <v>169260</v>
      </c>
      <c r="D458" s="778">
        <f t="shared" si="134"/>
        <v>9440.3437841076902</v>
      </c>
      <c r="E458" s="778">
        <f t="shared" si="134"/>
        <v>2987.2236608384874</v>
      </c>
      <c r="F458" s="778">
        <f t="shared" si="134"/>
        <v>6440.8158024268623</v>
      </c>
      <c r="G458" s="778">
        <f t="shared" si="134"/>
        <v>514.81327712029452</v>
      </c>
      <c r="H458" s="778">
        <f t="shared" si="134"/>
        <v>9373.5955657328741</v>
      </c>
      <c r="I458" s="778">
        <f t="shared" si="134"/>
        <v>2407.404370064417</v>
      </c>
      <c r="J458" s="365">
        <f t="shared" si="134"/>
        <v>0</v>
      </c>
      <c r="K458" s="25">
        <f t="shared" si="130"/>
        <v>200423.19646029061</v>
      </c>
      <c r="L458" s="778">
        <v>24</v>
      </c>
      <c r="M458" s="778">
        <f t="shared" si="131"/>
        <v>8350.9665191787753</v>
      </c>
      <c r="N458" s="678">
        <v>16916</v>
      </c>
      <c r="O458" s="678"/>
      <c r="P458" s="40" t="s">
        <v>651</v>
      </c>
      <c r="Q458" s="792">
        <v>40866</v>
      </c>
      <c r="R458" s="793"/>
      <c r="S458" s="306">
        <f>L458/2</f>
        <v>12</v>
      </c>
      <c r="T458" s="821">
        <v>14105</v>
      </c>
      <c r="U458" s="25">
        <f t="shared" si="132"/>
        <v>169260</v>
      </c>
      <c r="V458" s="456"/>
      <c r="W458" s="792"/>
      <c r="X458" s="822"/>
      <c r="Y458" s="821"/>
      <c r="Z458" s="25">
        <f t="shared" si="133"/>
        <v>0</v>
      </c>
    </row>
    <row r="459" spans="1:26" ht="16.5" customHeight="1">
      <c r="A459" s="777">
        <f t="shared" si="128"/>
        <v>114</v>
      </c>
      <c r="B459" s="298" t="s">
        <v>1311</v>
      </c>
      <c r="C459" s="25">
        <f t="shared" si="129"/>
        <v>13954</v>
      </c>
      <c r="D459" s="778">
        <f t="shared" si="134"/>
        <v>786.69531534230748</v>
      </c>
      <c r="E459" s="778">
        <f t="shared" si="134"/>
        <v>248.93530506987395</v>
      </c>
      <c r="F459" s="778">
        <f t="shared" si="134"/>
        <v>536.73465020223853</v>
      </c>
      <c r="G459" s="778">
        <f t="shared" si="134"/>
        <v>42.901106426691207</v>
      </c>
      <c r="H459" s="778">
        <f t="shared" si="134"/>
        <v>781.13296381107284</v>
      </c>
      <c r="I459" s="778">
        <f t="shared" si="134"/>
        <v>200.6170308387014</v>
      </c>
      <c r="J459" s="365">
        <f t="shared" si="134"/>
        <v>0</v>
      </c>
      <c r="K459" s="25">
        <f t="shared" si="130"/>
        <v>16550.016371690886</v>
      </c>
      <c r="L459" s="778">
        <v>2</v>
      </c>
      <c r="M459" s="778">
        <f t="shared" si="131"/>
        <v>8275.0081858454432</v>
      </c>
      <c r="N459" s="678">
        <v>8709</v>
      </c>
      <c r="O459" s="678"/>
      <c r="P459" s="189" t="s">
        <v>549</v>
      </c>
      <c r="Q459" s="792">
        <v>40866</v>
      </c>
      <c r="R459" s="793"/>
      <c r="S459" s="306">
        <v>1</v>
      </c>
      <c r="T459" s="821">
        <v>13954</v>
      </c>
      <c r="U459" s="25">
        <f t="shared" si="132"/>
        <v>13954</v>
      </c>
      <c r="V459" s="456"/>
      <c r="W459" s="792"/>
      <c r="X459" s="822"/>
      <c r="Y459" s="821"/>
      <c r="Z459" s="25">
        <f t="shared" si="133"/>
        <v>0</v>
      </c>
    </row>
    <row r="460" spans="1:26" ht="16.5" customHeight="1">
      <c r="A460" s="777">
        <f t="shared" si="128"/>
        <v>115</v>
      </c>
      <c r="B460" s="298" t="s">
        <v>1312</v>
      </c>
      <c r="C460" s="25">
        <f t="shared" si="129"/>
        <v>307438</v>
      </c>
      <c r="D460" s="778">
        <f t="shared" si="134"/>
        <v>9833.691441778843</v>
      </c>
      <c r="E460" s="778">
        <f t="shared" si="134"/>
        <v>3111.6913133734242</v>
      </c>
      <c r="F460" s="778">
        <f t="shared" si="134"/>
        <v>6709.1831275279819</v>
      </c>
      <c r="G460" s="778">
        <f t="shared" si="134"/>
        <v>536.26383033364004</v>
      </c>
      <c r="H460" s="778">
        <f t="shared" si="134"/>
        <v>9764.1620476384105</v>
      </c>
      <c r="I460" s="778">
        <f t="shared" si="134"/>
        <v>2507.7128854837674</v>
      </c>
      <c r="J460" s="365">
        <f t="shared" si="134"/>
        <v>0</v>
      </c>
      <c r="K460" s="25">
        <f t="shared" si="130"/>
        <v>339899.70464613609</v>
      </c>
      <c r="L460" s="778">
        <v>25</v>
      </c>
      <c r="M460" s="778">
        <f t="shared" si="131"/>
        <v>13595.988185845443</v>
      </c>
      <c r="N460" s="678">
        <v>14798</v>
      </c>
      <c r="O460" s="678"/>
      <c r="P460" s="189" t="s">
        <v>638</v>
      </c>
      <c r="Q460" s="792">
        <v>40866</v>
      </c>
      <c r="R460" s="793"/>
      <c r="S460" s="306">
        <f>L460/2</f>
        <v>12.5</v>
      </c>
      <c r="T460" s="821">
        <v>24595</v>
      </c>
      <c r="U460" s="25">
        <f t="shared" si="132"/>
        <v>307438</v>
      </c>
      <c r="V460" s="456"/>
      <c r="W460" s="792"/>
      <c r="X460" s="822"/>
      <c r="Y460" s="821"/>
      <c r="Z460" s="25">
        <f t="shared" si="133"/>
        <v>0</v>
      </c>
    </row>
    <row r="461" spans="1:26" ht="16.5" customHeight="1">
      <c r="A461" s="777">
        <f t="shared" si="128"/>
        <v>116</v>
      </c>
      <c r="B461" s="298" t="s">
        <v>1313</v>
      </c>
      <c r="C461" s="25">
        <f t="shared" si="129"/>
        <v>2361880</v>
      </c>
      <c r="D461" s="778">
        <f t="shared" si="134"/>
        <v>107777.25820189613</v>
      </c>
      <c r="E461" s="778">
        <f t="shared" si="134"/>
        <v>34104.136794572732</v>
      </c>
      <c r="F461" s="778">
        <f t="shared" si="134"/>
        <v>73532.647077706672</v>
      </c>
      <c r="G461" s="778">
        <f t="shared" si="134"/>
        <v>5877.4515804566954</v>
      </c>
      <c r="H461" s="778">
        <f t="shared" si="134"/>
        <v>107015.21604211698</v>
      </c>
      <c r="I461" s="778">
        <f t="shared" si="134"/>
        <v>27484.53322490209</v>
      </c>
      <c r="J461" s="365">
        <f t="shared" si="134"/>
        <v>0</v>
      </c>
      <c r="K461" s="25">
        <f t="shared" si="130"/>
        <v>2717670.2429216513</v>
      </c>
      <c r="L461" s="778">
        <v>274</v>
      </c>
      <c r="M461" s="778">
        <f t="shared" si="131"/>
        <v>9918.5045362104065</v>
      </c>
      <c r="N461" s="678">
        <v>11849</v>
      </c>
      <c r="O461" s="678"/>
      <c r="P461" s="189" t="s">
        <v>507</v>
      </c>
      <c r="Q461" s="792">
        <v>40866</v>
      </c>
      <c r="R461" s="793"/>
      <c r="S461" s="306">
        <f>L461</f>
        <v>274</v>
      </c>
      <c r="T461" s="821">
        <v>8620</v>
      </c>
      <c r="U461" s="25">
        <f t="shared" si="132"/>
        <v>2361880</v>
      </c>
      <c r="V461" s="456"/>
      <c r="W461" s="792"/>
      <c r="X461" s="822"/>
      <c r="Y461" s="821"/>
      <c r="Z461" s="25">
        <f t="shared" si="133"/>
        <v>0</v>
      </c>
    </row>
    <row r="462" spans="1:26" ht="16.5" customHeight="1">
      <c r="A462" s="777">
        <f t="shared" si="128"/>
        <v>117</v>
      </c>
      <c r="B462" s="298" t="s">
        <v>1314</v>
      </c>
      <c r="C462" s="25">
        <f t="shared" si="129"/>
        <v>1060260</v>
      </c>
      <c r="D462" s="778">
        <f t="shared" si="134"/>
        <v>48381.761893551913</v>
      </c>
      <c r="E462" s="778">
        <f t="shared" si="134"/>
        <v>15309.521261797248</v>
      </c>
      <c r="F462" s="778">
        <f t="shared" si="134"/>
        <v>33009.18098743767</v>
      </c>
      <c r="G462" s="778">
        <f t="shared" si="134"/>
        <v>2638.4180452415094</v>
      </c>
      <c r="H462" s="778">
        <f t="shared" si="134"/>
        <v>48039.677274380978</v>
      </c>
      <c r="I462" s="778">
        <f t="shared" si="134"/>
        <v>12337.947396580135</v>
      </c>
      <c r="J462" s="365">
        <f t="shared" si="134"/>
        <v>0</v>
      </c>
      <c r="K462" s="25">
        <f t="shared" si="130"/>
        <v>1219975.5068589896</v>
      </c>
      <c r="L462" s="778">
        <v>123</v>
      </c>
      <c r="M462" s="778">
        <f t="shared" si="131"/>
        <v>9918.5000557641433</v>
      </c>
      <c r="N462" s="678">
        <v>11205</v>
      </c>
      <c r="O462" s="678"/>
      <c r="P462" s="189" t="s">
        <v>507</v>
      </c>
      <c r="Q462" s="792">
        <v>40866</v>
      </c>
      <c r="R462" s="793"/>
      <c r="S462" s="306">
        <f>L462</f>
        <v>123</v>
      </c>
      <c r="T462" s="821">
        <v>8620</v>
      </c>
      <c r="U462" s="25">
        <f t="shared" si="132"/>
        <v>1060260</v>
      </c>
      <c r="V462" s="456"/>
      <c r="W462" s="792"/>
      <c r="X462" s="822"/>
      <c r="Y462" s="821"/>
      <c r="Z462" s="25">
        <f t="shared" si="133"/>
        <v>0</v>
      </c>
    </row>
    <row r="463" spans="1:26" ht="16.5" customHeight="1">
      <c r="A463" s="777">
        <f t="shared" si="128"/>
        <v>118</v>
      </c>
      <c r="B463" s="298" t="s">
        <v>1315</v>
      </c>
      <c r="C463" s="25">
        <f t="shared" si="129"/>
        <v>17796</v>
      </c>
      <c r="D463" s="778">
        <f t="shared" si="134"/>
        <v>46415.02360519614</v>
      </c>
      <c r="E463" s="778">
        <f t="shared" si="134"/>
        <v>14687.182999122562</v>
      </c>
      <c r="F463" s="778">
        <f t="shared" si="134"/>
        <v>31667.344361932071</v>
      </c>
      <c r="G463" s="778">
        <f t="shared" si="134"/>
        <v>2531.1652791747811</v>
      </c>
      <c r="H463" s="778">
        <f t="shared" si="134"/>
        <v>46086.844864853294</v>
      </c>
      <c r="I463" s="778">
        <f t="shared" si="134"/>
        <v>11836.404819483383</v>
      </c>
      <c r="J463" s="365">
        <f t="shared" si="134"/>
        <v>0</v>
      </c>
      <c r="K463" s="25">
        <f t="shared" si="130"/>
        <v>171018.96592976223</v>
      </c>
      <c r="L463" s="778">
        <v>118</v>
      </c>
      <c r="M463" s="778">
        <f t="shared" si="131"/>
        <v>1449.3132705912053</v>
      </c>
      <c r="N463" s="678">
        <v>1087</v>
      </c>
      <c r="O463" s="678"/>
      <c r="P463" s="189" t="s">
        <v>387</v>
      </c>
      <c r="Q463" s="792">
        <v>40866</v>
      </c>
      <c r="R463" s="793"/>
      <c r="S463" s="306">
        <v>4</v>
      </c>
      <c r="T463" s="821">
        <v>4449</v>
      </c>
      <c r="U463" s="25">
        <f t="shared" si="132"/>
        <v>17796</v>
      </c>
      <c r="V463" s="456"/>
      <c r="W463" s="792"/>
      <c r="X463" s="822"/>
      <c r="Y463" s="821"/>
      <c r="Z463" s="25">
        <f t="shared" si="133"/>
        <v>0</v>
      </c>
    </row>
    <row r="464" spans="1:26" ht="16.5" customHeight="1">
      <c r="A464" s="777">
        <f t="shared" si="128"/>
        <v>119</v>
      </c>
      <c r="B464" s="298" t="s">
        <v>1316</v>
      </c>
      <c r="C464" s="25">
        <f t="shared" si="129"/>
        <v>35592</v>
      </c>
      <c r="D464" s="778">
        <f t="shared" si="134"/>
        <v>92830.04721039228</v>
      </c>
      <c r="E464" s="778">
        <f t="shared" si="134"/>
        <v>29374.365998245125</v>
      </c>
      <c r="F464" s="778">
        <f t="shared" si="134"/>
        <v>63334.688723864143</v>
      </c>
      <c r="G464" s="778">
        <f t="shared" si="134"/>
        <v>5062.3305583495621</v>
      </c>
      <c r="H464" s="778">
        <f t="shared" si="134"/>
        <v>92173.689729706588</v>
      </c>
      <c r="I464" s="778">
        <f t="shared" si="134"/>
        <v>23672.809638966766</v>
      </c>
      <c r="J464" s="365">
        <f t="shared" si="134"/>
        <v>0</v>
      </c>
      <c r="K464" s="25">
        <f t="shared" si="130"/>
        <v>342038.93185952445</v>
      </c>
      <c r="L464" s="778">
        <v>236</v>
      </c>
      <c r="M464" s="778">
        <f t="shared" si="131"/>
        <v>1449.3175078793408</v>
      </c>
      <c r="N464" s="678">
        <v>1025</v>
      </c>
      <c r="O464" s="678"/>
      <c r="P464" s="189" t="s">
        <v>387</v>
      </c>
      <c r="Q464" s="792">
        <v>40866</v>
      </c>
      <c r="R464" s="793"/>
      <c r="S464" s="306">
        <v>8</v>
      </c>
      <c r="T464" s="821">
        <v>4449</v>
      </c>
      <c r="U464" s="25">
        <f t="shared" si="132"/>
        <v>35592</v>
      </c>
      <c r="V464" s="456"/>
      <c r="W464" s="792"/>
      <c r="X464" s="822"/>
      <c r="Y464" s="821"/>
      <c r="Z464" s="25">
        <f t="shared" si="133"/>
        <v>0</v>
      </c>
    </row>
    <row r="465" spans="1:26" ht="16.5" customHeight="1">
      <c r="A465" s="777">
        <f t="shared" si="128"/>
        <v>120</v>
      </c>
      <c r="B465" s="298" t="s">
        <v>1317</v>
      </c>
      <c r="C465" s="25">
        <f t="shared" si="129"/>
        <v>13347</v>
      </c>
      <c r="D465" s="778">
        <f t="shared" si="134"/>
        <v>23600.859460269225</v>
      </c>
      <c r="E465" s="778">
        <f t="shared" si="134"/>
        <v>7468.0591520962189</v>
      </c>
      <c r="F465" s="778">
        <f t="shared" si="134"/>
        <v>16102.039506067156</v>
      </c>
      <c r="G465" s="778">
        <f t="shared" si="134"/>
        <v>1287.0331928007363</v>
      </c>
      <c r="H465" s="778">
        <f t="shared" si="134"/>
        <v>23433.988914332185</v>
      </c>
      <c r="I465" s="778">
        <f t="shared" si="134"/>
        <v>6018.510925161042</v>
      </c>
      <c r="J465" s="365">
        <f t="shared" si="134"/>
        <v>0</v>
      </c>
      <c r="K465" s="25">
        <f t="shared" si="130"/>
        <v>91256.491150726564</v>
      </c>
      <c r="L465" s="778">
        <v>60</v>
      </c>
      <c r="M465" s="778">
        <f t="shared" si="131"/>
        <v>1520.9415191787762</v>
      </c>
      <c r="N465" s="678">
        <v>1220</v>
      </c>
      <c r="O465" s="678"/>
      <c r="P465" s="189" t="s">
        <v>387</v>
      </c>
      <c r="Q465" s="792">
        <v>40866</v>
      </c>
      <c r="R465" s="793"/>
      <c r="S465" s="306">
        <f>L465/20</f>
        <v>3</v>
      </c>
      <c r="T465" s="821">
        <v>4449</v>
      </c>
      <c r="U465" s="25">
        <f t="shared" si="132"/>
        <v>13347</v>
      </c>
      <c r="V465" s="456"/>
      <c r="W465" s="792"/>
      <c r="X465" s="822"/>
      <c r="Y465" s="821"/>
      <c r="Z465" s="25">
        <f t="shared" si="133"/>
        <v>0</v>
      </c>
    </row>
    <row r="466" spans="1:26" ht="16.5" customHeight="1">
      <c r="A466" s="777">
        <f t="shared" si="128"/>
        <v>121</v>
      </c>
      <c r="B466" s="298" t="s">
        <v>1318</v>
      </c>
      <c r="C466" s="25">
        <f t="shared" si="129"/>
        <v>26694</v>
      </c>
      <c r="D466" s="778">
        <f t="shared" si="134"/>
        <v>47201.718920538449</v>
      </c>
      <c r="E466" s="778">
        <f t="shared" si="134"/>
        <v>14936.118304192438</v>
      </c>
      <c r="F466" s="778">
        <f t="shared" si="134"/>
        <v>32204.079012134313</v>
      </c>
      <c r="G466" s="778">
        <f t="shared" si="134"/>
        <v>2574.0663856014726</v>
      </c>
      <c r="H466" s="778">
        <f t="shared" si="134"/>
        <v>46867.97782866437</v>
      </c>
      <c r="I466" s="778">
        <f t="shared" si="134"/>
        <v>12037.021850322084</v>
      </c>
      <c r="J466" s="365">
        <f t="shared" si="134"/>
        <v>0</v>
      </c>
      <c r="K466" s="25">
        <f t="shared" si="130"/>
        <v>182513.98230145313</v>
      </c>
      <c r="L466" s="778">
        <v>120</v>
      </c>
      <c r="M466" s="778">
        <f t="shared" si="131"/>
        <v>1520.9498525121094</v>
      </c>
      <c r="N466" s="678">
        <v>1152</v>
      </c>
      <c r="O466" s="678"/>
      <c r="P466" s="189" t="s">
        <v>387</v>
      </c>
      <c r="Q466" s="792">
        <v>40866</v>
      </c>
      <c r="R466" s="793"/>
      <c r="S466" s="306">
        <f>L466/20</f>
        <v>6</v>
      </c>
      <c r="T466" s="821">
        <v>4449</v>
      </c>
      <c r="U466" s="25">
        <f t="shared" si="132"/>
        <v>26694</v>
      </c>
      <c r="V466" s="456"/>
      <c r="W466" s="792"/>
      <c r="X466" s="822"/>
      <c r="Y466" s="821"/>
      <c r="Z466" s="25">
        <f t="shared" si="133"/>
        <v>0</v>
      </c>
    </row>
    <row r="467" spans="1:26" ht="16.5" customHeight="1">
      <c r="A467" s="777">
        <f t="shared" si="128"/>
        <v>122</v>
      </c>
      <c r="B467" s="298" t="s">
        <v>1319</v>
      </c>
      <c r="C467" s="25">
        <f t="shared" si="129"/>
        <v>31143</v>
      </c>
      <c r="D467" s="778">
        <f t="shared" si="134"/>
        <v>29107.726667665378</v>
      </c>
      <c r="E467" s="778">
        <f t="shared" si="134"/>
        <v>9210.6062875853368</v>
      </c>
      <c r="F467" s="778">
        <f t="shared" si="134"/>
        <v>19859.182057482827</v>
      </c>
      <c r="G467" s="778">
        <f t="shared" si="134"/>
        <v>1587.3409377875746</v>
      </c>
      <c r="H467" s="778">
        <f t="shared" si="134"/>
        <v>28901.919661009695</v>
      </c>
      <c r="I467" s="778">
        <f t="shared" si="134"/>
        <v>7422.8301410319518</v>
      </c>
      <c r="J467" s="365">
        <f t="shared" si="134"/>
        <v>0</v>
      </c>
      <c r="K467" s="25">
        <f t="shared" si="130"/>
        <v>127231.60575256278</v>
      </c>
      <c r="L467" s="778">
        <v>74</v>
      </c>
      <c r="M467" s="778">
        <f t="shared" si="131"/>
        <v>1719.3460236832809</v>
      </c>
      <c r="N467" s="678">
        <v>1660</v>
      </c>
      <c r="O467" s="678"/>
      <c r="P467" s="189" t="s">
        <v>387</v>
      </c>
      <c r="Q467" s="792">
        <v>40866</v>
      </c>
      <c r="R467" s="793"/>
      <c r="S467" s="306">
        <v>7</v>
      </c>
      <c r="T467" s="821">
        <v>4449</v>
      </c>
      <c r="U467" s="25">
        <f t="shared" si="132"/>
        <v>31143</v>
      </c>
      <c r="V467" s="456"/>
      <c r="W467" s="792"/>
      <c r="X467" s="822"/>
      <c r="Y467" s="821"/>
      <c r="Z467" s="25">
        <f t="shared" si="133"/>
        <v>0</v>
      </c>
    </row>
    <row r="468" spans="1:26" ht="16.5" customHeight="1">
      <c r="A468" s="777">
        <f t="shared" si="128"/>
        <v>123</v>
      </c>
      <c r="B468" s="298" t="s">
        <v>1320</v>
      </c>
      <c r="C468" s="25">
        <f t="shared" si="129"/>
        <v>66735</v>
      </c>
      <c r="D468" s="778">
        <f t="shared" si="134"/>
        <v>58215.453335330756</v>
      </c>
      <c r="E468" s="778">
        <f t="shared" si="134"/>
        <v>18421.212575170674</v>
      </c>
      <c r="F468" s="778">
        <f t="shared" si="134"/>
        <v>39718.364114965654</v>
      </c>
      <c r="G468" s="778">
        <f t="shared" si="134"/>
        <v>3174.6818755751492</v>
      </c>
      <c r="H468" s="778">
        <f t="shared" si="134"/>
        <v>57803.83932201939</v>
      </c>
      <c r="I468" s="778">
        <f t="shared" si="134"/>
        <v>14845.660282063904</v>
      </c>
      <c r="J468" s="365">
        <f t="shared" si="134"/>
        <v>0</v>
      </c>
      <c r="K468" s="25">
        <f t="shared" si="130"/>
        <v>258913.21150512557</v>
      </c>
      <c r="L468" s="778">
        <v>148</v>
      </c>
      <c r="M468" s="778">
        <f t="shared" si="131"/>
        <v>1749.4135912508484</v>
      </c>
      <c r="N468" s="678">
        <v>1463</v>
      </c>
      <c r="O468" s="678"/>
      <c r="P468" s="189" t="s">
        <v>387</v>
      </c>
      <c r="Q468" s="792">
        <v>40866</v>
      </c>
      <c r="R468" s="793"/>
      <c r="S468" s="306">
        <v>15</v>
      </c>
      <c r="T468" s="821">
        <v>4449</v>
      </c>
      <c r="U468" s="25">
        <f t="shared" si="132"/>
        <v>66735</v>
      </c>
      <c r="V468" s="456"/>
      <c r="W468" s="792"/>
      <c r="X468" s="822"/>
      <c r="Y468" s="821"/>
      <c r="Z468" s="25">
        <f t="shared" si="133"/>
        <v>0</v>
      </c>
    </row>
    <row r="469" spans="1:26" ht="16.5" customHeight="1">
      <c r="A469" s="777">
        <f t="shared" si="128"/>
        <v>124</v>
      </c>
      <c r="B469" s="298" t="s">
        <v>1321</v>
      </c>
      <c r="C469" s="25">
        <f t="shared" si="129"/>
        <v>105602</v>
      </c>
      <c r="D469" s="778">
        <f t="shared" si="134"/>
        <v>53495.281443276908</v>
      </c>
      <c r="E469" s="778">
        <f t="shared" si="134"/>
        <v>16927.600744751428</v>
      </c>
      <c r="F469" s="778">
        <f t="shared" si="134"/>
        <v>36497.956213752223</v>
      </c>
      <c r="G469" s="778">
        <f t="shared" si="134"/>
        <v>2917.2752370150019</v>
      </c>
      <c r="H469" s="778">
        <f t="shared" si="134"/>
        <v>53117.041539152953</v>
      </c>
      <c r="I469" s="778">
        <f t="shared" si="134"/>
        <v>13641.958097031695</v>
      </c>
      <c r="J469" s="365">
        <f t="shared" si="134"/>
        <v>0</v>
      </c>
      <c r="K469" s="25">
        <f t="shared" si="130"/>
        <v>282198.11327498022</v>
      </c>
      <c r="L469" s="778">
        <v>136</v>
      </c>
      <c r="M469" s="778">
        <f t="shared" si="131"/>
        <v>2074.9861270219135</v>
      </c>
      <c r="N469" s="678">
        <v>1288</v>
      </c>
      <c r="O469" s="678"/>
      <c r="P469" s="189" t="s">
        <v>579</v>
      </c>
      <c r="Q469" s="792">
        <v>40866</v>
      </c>
      <c r="R469" s="793"/>
      <c r="S469" s="306">
        <v>14</v>
      </c>
      <c r="T469" s="821">
        <v>7543</v>
      </c>
      <c r="U469" s="25">
        <f t="shared" si="132"/>
        <v>105602</v>
      </c>
      <c r="V469" s="456"/>
      <c r="W469" s="792"/>
      <c r="X469" s="822"/>
      <c r="Y469" s="821"/>
      <c r="Z469" s="25">
        <f t="shared" si="133"/>
        <v>0</v>
      </c>
    </row>
    <row r="470" spans="1:26" ht="16.5" customHeight="1">
      <c r="A470" s="777">
        <f t="shared" si="128"/>
        <v>125</v>
      </c>
      <c r="B470" s="298" t="s">
        <v>1322</v>
      </c>
      <c r="C470" s="25">
        <f t="shared" si="129"/>
        <v>62286</v>
      </c>
      <c r="D470" s="778">
        <f t="shared" si="134"/>
        <v>106990.56288655382</v>
      </c>
      <c r="E470" s="778">
        <f t="shared" si="134"/>
        <v>33855.201489502855</v>
      </c>
      <c r="F470" s="778">
        <f t="shared" si="134"/>
        <v>72995.912427504445</v>
      </c>
      <c r="G470" s="778">
        <f t="shared" si="134"/>
        <v>5834.5504740300039</v>
      </c>
      <c r="H470" s="778">
        <f t="shared" si="134"/>
        <v>106234.08307830591</v>
      </c>
      <c r="I470" s="778">
        <f t="shared" si="134"/>
        <v>27283.916194063389</v>
      </c>
      <c r="J470" s="365">
        <f t="shared" si="134"/>
        <v>0</v>
      </c>
      <c r="K470" s="25">
        <f t="shared" si="130"/>
        <v>415479.22654996044</v>
      </c>
      <c r="L470" s="778">
        <v>272</v>
      </c>
      <c r="M470" s="778">
        <f t="shared" si="131"/>
        <v>1527.4971564336781</v>
      </c>
      <c r="N470" s="678">
        <v>1254</v>
      </c>
      <c r="O470" s="678"/>
      <c r="P470" s="189" t="s">
        <v>387</v>
      </c>
      <c r="Q470" s="792">
        <v>40866</v>
      </c>
      <c r="R470" s="793"/>
      <c r="S470" s="306">
        <v>14</v>
      </c>
      <c r="T470" s="821">
        <v>4449</v>
      </c>
      <c r="U470" s="25">
        <f t="shared" si="132"/>
        <v>62286</v>
      </c>
      <c r="V470" s="456"/>
      <c r="W470" s="792"/>
      <c r="X470" s="822"/>
      <c r="Y470" s="821"/>
      <c r="Z470" s="25">
        <f t="shared" si="133"/>
        <v>0</v>
      </c>
    </row>
    <row r="471" spans="1:26" ht="16.5" customHeight="1">
      <c r="A471" s="777">
        <f t="shared" si="128"/>
        <v>126</v>
      </c>
      <c r="B471" s="298" t="s">
        <v>1323</v>
      </c>
      <c r="C471" s="25">
        <f t="shared" si="129"/>
        <v>8898</v>
      </c>
      <c r="D471" s="778">
        <f t="shared" si="134"/>
        <v>7080.2578380807672</v>
      </c>
      <c r="E471" s="778">
        <f t="shared" si="134"/>
        <v>2240.4177456288653</v>
      </c>
      <c r="F471" s="778">
        <f t="shared" ref="D471:J507" si="135">IF($L$588&lt;&gt;0,F$588/$L$588*$L471,0)</f>
        <v>4830.6118518201465</v>
      </c>
      <c r="G471" s="778">
        <f t="shared" si="135"/>
        <v>386.10995784022089</v>
      </c>
      <c r="H471" s="778">
        <f t="shared" si="135"/>
        <v>7030.1966742996556</v>
      </c>
      <c r="I471" s="778">
        <f t="shared" si="135"/>
        <v>1805.5532775483125</v>
      </c>
      <c r="J471" s="365">
        <f t="shared" si="135"/>
        <v>0</v>
      </c>
      <c r="K471" s="25">
        <f t="shared" si="130"/>
        <v>32270.147345217971</v>
      </c>
      <c r="L471" s="778">
        <v>18</v>
      </c>
      <c r="M471" s="778">
        <f t="shared" si="131"/>
        <v>1792.7859636232206</v>
      </c>
      <c r="N471" s="678">
        <v>1581</v>
      </c>
      <c r="O471" s="678"/>
      <c r="P471" s="189" t="s">
        <v>387</v>
      </c>
      <c r="Q471" s="792">
        <v>40866</v>
      </c>
      <c r="R471" s="793"/>
      <c r="S471" s="306">
        <v>2</v>
      </c>
      <c r="T471" s="821">
        <v>4449</v>
      </c>
      <c r="U471" s="25">
        <f t="shared" si="132"/>
        <v>8898</v>
      </c>
      <c r="V471" s="456"/>
      <c r="W471" s="792"/>
      <c r="X471" s="822"/>
      <c r="Y471" s="821"/>
      <c r="Z471" s="25">
        <f t="shared" si="133"/>
        <v>0</v>
      </c>
    </row>
    <row r="472" spans="1:26" ht="16.5" customHeight="1">
      <c r="A472" s="777">
        <f t="shared" si="128"/>
        <v>127</v>
      </c>
      <c r="B472" s="298" t="s">
        <v>1324</v>
      </c>
      <c r="C472" s="25">
        <f t="shared" si="129"/>
        <v>8898</v>
      </c>
      <c r="D472" s="778">
        <f t="shared" si="135"/>
        <v>14160.515676161534</v>
      </c>
      <c r="E472" s="778">
        <f t="shared" si="135"/>
        <v>4480.8354912577306</v>
      </c>
      <c r="F472" s="778">
        <f t="shared" si="135"/>
        <v>9661.223703640293</v>
      </c>
      <c r="G472" s="778">
        <f t="shared" si="135"/>
        <v>772.21991568044177</v>
      </c>
      <c r="H472" s="778">
        <f t="shared" si="135"/>
        <v>14060.393348599311</v>
      </c>
      <c r="I472" s="778">
        <f t="shared" si="135"/>
        <v>3611.106555096625</v>
      </c>
      <c r="J472" s="365">
        <f t="shared" si="135"/>
        <v>0</v>
      </c>
      <c r="K472" s="25">
        <f t="shared" si="130"/>
        <v>55643.294690435934</v>
      </c>
      <c r="L472" s="778">
        <v>36</v>
      </c>
      <c r="M472" s="778">
        <f t="shared" si="131"/>
        <v>1545.6470747343315</v>
      </c>
      <c r="N472" s="678">
        <v>1384</v>
      </c>
      <c r="O472" s="678"/>
      <c r="P472" s="189" t="s">
        <v>387</v>
      </c>
      <c r="Q472" s="792">
        <v>40866</v>
      </c>
      <c r="R472" s="793"/>
      <c r="S472" s="306">
        <v>2</v>
      </c>
      <c r="T472" s="821">
        <v>4449</v>
      </c>
      <c r="U472" s="25">
        <f t="shared" si="132"/>
        <v>8898</v>
      </c>
      <c r="V472" s="456"/>
      <c r="W472" s="792"/>
      <c r="X472" s="822"/>
      <c r="Y472" s="821"/>
      <c r="Z472" s="25">
        <f t="shared" si="133"/>
        <v>0</v>
      </c>
    </row>
    <row r="473" spans="1:26" ht="16.5" customHeight="1">
      <c r="A473" s="777">
        <f t="shared" si="128"/>
        <v>128</v>
      </c>
      <c r="B473" s="298" t="s">
        <v>1316</v>
      </c>
      <c r="C473" s="25">
        <f t="shared" si="129"/>
        <v>13347</v>
      </c>
      <c r="D473" s="778">
        <f t="shared" si="135"/>
        <v>31074.464956021144</v>
      </c>
      <c r="E473" s="778">
        <f t="shared" si="135"/>
        <v>9832.9445502600211</v>
      </c>
      <c r="F473" s="778">
        <f t="shared" si="135"/>
        <v>21201.018682988422</v>
      </c>
      <c r="G473" s="778">
        <f t="shared" si="135"/>
        <v>1694.5937038543027</v>
      </c>
      <c r="H473" s="778">
        <f t="shared" si="135"/>
        <v>30854.752070537375</v>
      </c>
      <c r="I473" s="778">
        <f t="shared" si="135"/>
        <v>7924.3727181287049</v>
      </c>
      <c r="J473" s="365">
        <f t="shared" si="135"/>
        <v>0</v>
      </c>
      <c r="K473" s="25">
        <f t="shared" si="130"/>
        <v>115928.14668178998</v>
      </c>
      <c r="L473" s="778">
        <v>79</v>
      </c>
      <c r="M473" s="778">
        <f t="shared" si="131"/>
        <v>1467.4448947062021</v>
      </c>
      <c r="N473" s="678">
        <v>1025</v>
      </c>
      <c r="O473" s="678"/>
      <c r="P473" s="189" t="s">
        <v>387</v>
      </c>
      <c r="Q473" s="792">
        <v>40866</v>
      </c>
      <c r="R473" s="793"/>
      <c r="S473" s="306">
        <v>3</v>
      </c>
      <c r="T473" s="821">
        <v>4449</v>
      </c>
      <c r="U473" s="25">
        <f t="shared" si="132"/>
        <v>13347</v>
      </c>
      <c r="V473" s="456"/>
      <c r="W473" s="792"/>
      <c r="X473" s="822"/>
      <c r="Y473" s="821"/>
      <c r="Z473" s="25">
        <f t="shared" si="133"/>
        <v>0</v>
      </c>
    </row>
    <row r="474" spans="1:26" ht="16.5" customHeight="1">
      <c r="A474" s="777">
        <f t="shared" si="128"/>
        <v>129</v>
      </c>
      <c r="B474" s="298" t="s">
        <v>1325</v>
      </c>
      <c r="C474" s="25">
        <f t="shared" si="129"/>
        <v>35592</v>
      </c>
      <c r="D474" s="778">
        <f t="shared" si="135"/>
        <v>62148.929912042287</v>
      </c>
      <c r="E474" s="778">
        <f t="shared" si="135"/>
        <v>19665.889100520042</v>
      </c>
      <c r="F474" s="778">
        <f t="shared" si="135"/>
        <v>42402.037365976845</v>
      </c>
      <c r="G474" s="778">
        <f t="shared" si="135"/>
        <v>3389.1874077086054</v>
      </c>
      <c r="H474" s="778">
        <f t="shared" si="135"/>
        <v>61709.504141074751</v>
      </c>
      <c r="I474" s="778">
        <f t="shared" si="135"/>
        <v>15848.74543625741</v>
      </c>
      <c r="J474" s="365">
        <f t="shared" si="135"/>
        <v>0</v>
      </c>
      <c r="K474" s="25">
        <f t="shared" si="130"/>
        <v>240755.29336357996</v>
      </c>
      <c r="L474" s="778">
        <v>158</v>
      </c>
      <c r="M474" s="778">
        <f t="shared" si="131"/>
        <v>1523.7676795163288</v>
      </c>
      <c r="N474" s="678">
        <v>963</v>
      </c>
      <c r="O474" s="678"/>
      <c r="P474" s="189" t="s">
        <v>387</v>
      </c>
      <c r="Q474" s="792">
        <v>40866</v>
      </c>
      <c r="R474" s="793"/>
      <c r="S474" s="306">
        <v>8</v>
      </c>
      <c r="T474" s="821">
        <v>4449</v>
      </c>
      <c r="U474" s="25">
        <f t="shared" si="132"/>
        <v>35592</v>
      </c>
      <c r="V474" s="456"/>
      <c r="W474" s="792"/>
      <c r="X474" s="822"/>
      <c r="Y474" s="821"/>
      <c r="Z474" s="25">
        <f t="shared" si="133"/>
        <v>0</v>
      </c>
    </row>
    <row r="475" spans="1:26" ht="16.5" customHeight="1">
      <c r="A475" s="777">
        <f t="shared" ref="A475:A538" si="136">IF(B475&lt;&gt;"",A474+1,"")</f>
        <v>130</v>
      </c>
      <c r="B475" s="298" t="s">
        <v>1326</v>
      </c>
      <c r="C475" s="25">
        <f t="shared" ref="C475:C538" si="137">U475</f>
        <v>22245</v>
      </c>
      <c r="D475" s="778">
        <f t="shared" si="135"/>
        <v>32254.507929034608</v>
      </c>
      <c r="E475" s="778">
        <f t="shared" si="135"/>
        <v>10206.347507864832</v>
      </c>
      <c r="F475" s="778">
        <f t="shared" si="135"/>
        <v>22006.12065829178</v>
      </c>
      <c r="G475" s="778">
        <f t="shared" si="135"/>
        <v>1758.9453634943395</v>
      </c>
      <c r="H475" s="778">
        <f t="shared" si="135"/>
        <v>32026.451516253986</v>
      </c>
      <c r="I475" s="778">
        <f t="shared" si="135"/>
        <v>8225.2982643867581</v>
      </c>
      <c r="J475" s="365">
        <f t="shared" si="135"/>
        <v>0</v>
      </c>
      <c r="K475" s="25">
        <f t="shared" ref="K475:K538" si="138">SUM(C475:I475)-1</f>
        <v>128721.6712393263</v>
      </c>
      <c r="L475" s="778">
        <v>82</v>
      </c>
      <c r="M475" s="778">
        <f t="shared" si="131"/>
        <v>1569.7764785283696</v>
      </c>
      <c r="N475" s="678">
        <v>1228</v>
      </c>
      <c r="O475" s="678"/>
      <c r="P475" s="189" t="s">
        <v>387</v>
      </c>
      <c r="Q475" s="792">
        <v>40866</v>
      </c>
      <c r="R475" s="793"/>
      <c r="S475" s="306">
        <v>5</v>
      </c>
      <c r="T475" s="821">
        <v>4449</v>
      </c>
      <c r="U475" s="25">
        <f t="shared" si="132"/>
        <v>22245</v>
      </c>
      <c r="V475" s="456"/>
      <c r="W475" s="792"/>
      <c r="X475" s="822"/>
      <c r="Y475" s="821"/>
      <c r="Z475" s="25">
        <f t="shared" si="133"/>
        <v>0</v>
      </c>
    </row>
    <row r="476" spans="1:26" ht="16.5" customHeight="1">
      <c r="A476" s="777">
        <f t="shared" si="136"/>
        <v>131</v>
      </c>
      <c r="B476" s="298" t="s">
        <v>1327</v>
      </c>
      <c r="C476" s="25">
        <f t="shared" si="137"/>
        <v>48939</v>
      </c>
      <c r="D476" s="778">
        <f t="shared" si="135"/>
        <v>16127.253964517304</v>
      </c>
      <c r="E476" s="778">
        <f t="shared" si="135"/>
        <v>5103.1737539324158</v>
      </c>
      <c r="F476" s="778">
        <f t="shared" si="135"/>
        <v>11003.06032914589</v>
      </c>
      <c r="G476" s="778">
        <f t="shared" si="135"/>
        <v>879.47268174716976</v>
      </c>
      <c r="H476" s="778">
        <f t="shared" si="135"/>
        <v>16013.225758126993</v>
      </c>
      <c r="I476" s="778">
        <f t="shared" si="135"/>
        <v>4112.649132193379</v>
      </c>
      <c r="J476" s="365">
        <f t="shared" si="135"/>
        <v>0</v>
      </c>
      <c r="K476" s="25">
        <f t="shared" si="138"/>
        <v>102176.83561966315</v>
      </c>
      <c r="L476" s="778">
        <v>41</v>
      </c>
      <c r="M476" s="778">
        <f t="shared" ref="M476:M539" si="139">IF(L476&lt;&gt;"",K476/L476,"")</f>
        <v>2492.1179419430036</v>
      </c>
      <c r="N476" s="678">
        <v>2499</v>
      </c>
      <c r="O476" s="678"/>
      <c r="P476" s="189" t="s">
        <v>387</v>
      </c>
      <c r="Q476" s="792">
        <v>40866</v>
      </c>
      <c r="R476" s="793"/>
      <c r="S476" s="306">
        <v>11</v>
      </c>
      <c r="T476" s="821">
        <v>4449</v>
      </c>
      <c r="U476" s="25">
        <f t="shared" ref="U476:U539" si="140">ROUND(S476*T476,0)</f>
        <v>48939</v>
      </c>
      <c r="V476" s="456"/>
      <c r="W476" s="792"/>
      <c r="X476" s="822"/>
      <c r="Y476" s="821"/>
      <c r="Z476" s="25">
        <f t="shared" ref="Z476:Z539" si="141">ROUND(X476*Y476,0)</f>
        <v>0</v>
      </c>
    </row>
    <row r="477" spans="1:26" ht="16.5" customHeight="1">
      <c r="A477" s="777">
        <f t="shared" si="136"/>
        <v>132</v>
      </c>
      <c r="B477" s="298" t="s">
        <v>759</v>
      </c>
      <c r="C477" s="25">
        <f t="shared" si="137"/>
        <v>11844</v>
      </c>
      <c r="D477" s="778">
        <f t="shared" si="135"/>
        <v>393.34765767115374</v>
      </c>
      <c r="E477" s="778">
        <f t="shared" si="135"/>
        <v>124.46765253493697</v>
      </c>
      <c r="F477" s="778">
        <f t="shared" si="135"/>
        <v>268.36732510111926</v>
      </c>
      <c r="G477" s="778">
        <f t="shared" si="135"/>
        <v>21.450553213345604</v>
      </c>
      <c r="H477" s="778">
        <f t="shared" si="135"/>
        <v>390.56648190553642</v>
      </c>
      <c r="I477" s="778">
        <f t="shared" si="135"/>
        <v>100.3085154193507</v>
      </c>
      <c r="J477" s="365">
        <f t="shared" si="135"/>
        <v>0</v>
      </c>
      <c r="K477" s="25">
        <f t="shared" si="138"/>
        <v>13141.508185845443</v>
      </c>
      <c r="L477" s="778">
        <v>1</v>
      </c>
      <c r="M477" s="778">
        <f t="shared" si="139"/>
        <v>13141.508185845443</v>
      </c>
      <c r="N477" s="678">
        <v>15136</v>
      </c>
      <c r="O477" s="678"/>
      <c r="P477" s="40" t="s">
        <v>624</v>
      </c>
      <c r="Q477" s="792">
        <v>40866</v>
      </c>
      <c r="R477" s="793"/>
      <c r="S477" s="306">
        <f>L477/2</f>
        <v>0.5</v>
      </c>
      <c r="T477" s="821">
        <v>23688</v>
      </c>
      <c r="U477" s="25">
        <f t="shared" si="140"/>
        <v>11844</v>
      </c>
      <c r="V477" s="456"/>
      <c r="W477" s="792"/>
      <c r="X477" s="822"/>
      <c r="Y477" s="821"/>
      <c r="Z477" s="25">
        <f t="shared" si="141"/>
        <v>0</v>
      </c>
    </row>
    <row r="478" spans="1:26" ht="16.5" customHeight="1">
      <c r="A478" s="777">
        <f t="shared" si="136"/>
        <v>133</v>
      </c>
      <c r="B478" s="298" t="s">
        <v>752</v>
      </c>
      <c r="C478" s="25">
        <f t="shared" si="137"/>
        <v>19638</v>
      </c>
      <c r="D478" s="778">
        <f t="shared" si="135"/>
        <v>786.69531534230748</v>
      </c>
      <c r="E478" s="778">
        <f t="shared" si="135"/>
        <v>248.93530506987395</v>
      </c>
      <c r="F478" s="778">
        <f t="shared" si="135"/>
        <v>536.73465020223853</v>
      </c>
      <c r="G478" s="778">
        <f t="shared" si="135"/>
        <v>42.901106426691207</v>
      </c>
      <c r="H478" s="778">
        <f t="shared" si="135"/>
        <v>781.13296381107284</v>
      </c>
      <c r="I478" s="778">
        <f t="shared" si="135"/>
        <v>200.6170308387014</v>
      </c>
      <c r="J478" s="365">
        <f t="shared" si="135"/>
        <v>0</v>
      </c>
      <c r="K478" s="25">
        <f t="shared" si="138"/>
        <v>22234.016371690886</v>
      </c>
      <c r="L478" s="778">
        <v>2</v>
      </c>
      <c r="M478" s="778">
        <f t="shared" si="139"/>
        <v>11117.008185845443</v>
      </c>
      <c r="N478" s="678">
        <v>16284</v>
      </c>
      <c r="O478" s="678"/>
      <c r="P478" s="189" t="s">
        <v>542</v>
      </c>
      <c r="Q478" s="792">
        <v>40866</v>
      </c>
      <c r="R478" s="793"/>
      <c r="S478" s="306">
        <v>1</v>
      </c>
      <c r="T478" s="821">
        <v>19638</v>
      </c>
      <c r="U478" s="25">
        <f t="shared" si="140"/>
        <v>19638</v>
      </c>
      <c r="V478" s="456"/>
      <c r="W478" s="792"/>
      <c r="X478" s="822"/>
      <c r="Y478" s="821"/>
      <c r="Z478" s="25">
        <f t="shared" si="141"/>
        <v>0</v>
      </c>
    </row>
    <row r="479" spans="1:26" ht="16.5" customHeight="1">
      <c r="A479" s="777">
        <f t="shared" si="136"/>
        <v>134</v>
      </c>
      <c r="B479" s="298" t="s">
        <v>1267</v>
      </c>
      <c r="C479" s="25">
        <f t="shared" si="137"/>
        <v>293034</v>
      </c>
      <c r="D479" s="778">
        <f t="shared" si="135"/>
        <v>8260.3008110942283</v>
      </c>
      <c r="E479" s="778">
        <f t="shared" si="135"/>
        <v>2613.8207032336763</v>
      </c>
      <c r="F479" s="778">
        <f t="shared" si="135"/>
        <v>5635.7138271235044</v>
      </c>
      <c r="G479" s="778">
        <f t="shared" si="135"/>
        <v>450.4616174802577</v>
      </c>
      <c r="H479" s="778">
        <f t="shared" si="135"/>
        <v>8201.8961200162648</v>
      </c>
      <c r="I479" s="778">
        <f t="shared" si="135"/>
        <v>2106.4788238063647</v>
      </c>
      <c r="J479" s="365">
        <f t="shared" si="135"/>
        <v>0</v>
      </c>
      <c r="K479" s="25">
        <f t="shared" si="138"/>
        <v>320301.67190275434</v>
      </c>
      <c r="L479" s="778">
        <v>21</v>
      </c>
      <c r="M479" s="778">
        <f t="shared" si="139"/>
        <v>15252.460566797827</v>
      </c>
      <c r="N479" s="678">
        <v>16832</v>
      </c>
      <c r="O479" s="678"/>
      <c r="P479" s="189" t="s">
        <v>549</v>
      </c>
      <c r="Q479" s="792">
        <v>40866</v>
      </c>
      <c r="R479" s="793"/>
      <c r="S479" s="306">
        <f>L479</f>
        <v>21</v>
      </c>
      <c r="T479" s="821">
        <v>13954</v>
      </c>
      <c r="U479" s="25">
        <f t="shared" si="140"/>
        <v>293034</v>
      </c>
      <c r="V479" s="456"/>
      <c r="W479" s="792"/>
      <c r="X479" s="822"/>
      <c r="Y479" s="821"/>
      <c r="Z479" s="25">
        <f t="shared" si="141"/>
        <v>0</v>
      </c>
    </row>
    <row r="480" spans="1:26" ht="16.5" customHeight="1">
      <c r="A480" s="777">
        <f t="shared" si="136"/>
        <v>135</v>
      </c>
      <c r="B480" s="298" t="s">
        <v>746</v>
      </c>
      <c r="C480" s="25">
        <f t="shared" si="137"/>
        <v>445554</v>
      </c>
      <c r="D480" s="778">
        <f t="shared" si="135"/>
        <v>20847.42585657115</v>
      </c>
      <c r="E480" s="778">
        <f t="shared" si="135"/>
        <v>6596.78558435166</v>
      </c>
      <c r="F480" s="778">
        <f t="shared" si="135"/>
        <v>14223.468230359322</v>
      </c>
      <c r="G480" s="778">
        <f t="shared" si="135"/>
        <v>1136.8793203073169</v>
      </c>
      <c r="H480" s="778">
        <f t="shared" si="135"/>
        <v>20700.023540993432</v>
      </c>
      <c r="I480" s="778">
        <f t="shared" si="135"/>
        <v>5316.3513172255871</v>
      </c>
      <c r="J480" s="365">
        <f t="shared" si="135"/>
        <v>0</v>
      </c>
      <c r="K480" s="25">
        <f t="shared" si="138"/>
        <v>514373.93384980859</v>
      </c>
      <c r="L480" s="778">
        <v>53</v>
      </c>
      <c r="M480" s="778">
        <f t="shared" si="139"/>
        <v>9705.1685632039353</v>
      </c>
      <c r="N480" s="678">
        <v>10595</v>
      </c>
      <c r="O480" s="678"/>
      <c r="P480" s="40" t="s">
        <v>649</v>
      </c>
      <c r="Q480" s="792">
        <v>40866</v>
      </c>
      <c r="R480" s="793"/>
      <c r="S480" s="306">
        <v>27</v>
      </c>
      <c r="T480" s="821">
        <v>16502</v>
      </c>
      <c r="U480" s="25">
        <f t="shared" si="140"/>
        <v>445554</v>
      </c>
      <c r="V480" s="456"/>
      <c r="W480" s="792"/>
      <c r="X480" s="822"/>
      <c r="Y480" s="821"/>
      <c r="Z480" s="25">
        <f t="shared" si="141"/>
        <v>0</v>
      </c>
    </row>
    <row r="481" spans="1:26" ht="16.5" customHeight="1">
      <c r="A481" s="777">
        <f t="shared" si="136"/>
        <v>136</v>
      </c>
      <c r="B481" s="298" t="s">
        <v>1292</v>
      </c>
      <c r="C481" s="25">
        <f t="shared" si="137"/>
        <v>60834</v>
      </c>
      <c r="D481" s="778">
        <f t="shared" si="135"/>
        <v>2360.0859460269226</v>
      </c>
      <c r="E481" s="778">
        <f t="shared" si="135"/>
        <v>746.80591520962184</v>
      </c>
      <c r="F481" s="778">
        <f t="shared" si="135"/>
        <v>1610.2039506067156</v>
      </c>
      <c r="G481" s="778">
        <f t="shared" si="135"/>
        <v>128.70331928007363</v>
      </c>
      <c r="H481" s="778">
        <f t="shared" si="135"/>
        <v>2343.3988914332185</v>
      </c>
      <c r="I481" s="778">
        <f t="shared" si="135"/>
        <v>601.85109251610425</v>
      </c>
      <c r="J481" s="365">
        <f t="shared" si="135"/>
        <v>0</v>
      </c>
      <c r="K481" s="25">
        <f t="shared" si="138"/>
        <v>68624.049115072659</v>
      </c>
      <c r="L481" s="778">
        <v>6</v>
      </c>
      <c r="M481" s="778">
        <f t="shared" si="139"/>
        <v>11437.341519178777</v>
      </c>
      <c r="N481" s="678">
        <v>13869</v>
      </c>
      <c r="O481" s="678"/>
      <c r="P481" s="40" t="s">
        <v>642</v>
      </c>
      <c r="Q481" s="792">
        <v>40866</v>
      </c>
      <c r="R481" s="793"/>
      <c r="S481" s="306">
        <f>L481/2</f>
        <v>3</v>
      </c>
      <c r="T481" s="821">
        <v>20278</v>
      </c>
      <c r="U481" s="25">
        <f t="shared" si="140"/>
        <v>60834</v>
      </c>
      <c r="V481" s="456"/>
      <c r="W481" s="792"/>
      <c r="X481" s="822"/>
      <c r="Y481" s="821"/>
      <c r="Z481" s="25">
        <f t="shared" si="141"/>
        <v>0</v>
      </c>
    </row>
    <row r="482" spans="1:26" ht="16.5" customHeight="1">
      <c r="A482" s="777">
        <f t="shared" si="136"/>
        <v>137</v>
      </c>
      <c r="B482" s="298" t="s">
        <v>750</v>
      </c>
      <c r="C482" s="25">
        <f t="shared" si="137"/>
        <v>11844</v>
      </c>
      <c r="D482" s="778">
        <f t="shared" si="135"/>
        <v>393.34765767115374</v>
      </c>
      <c r="E482" s="778">
        <f t="shared" si="135"/>
        <v>124.46765253493697</v>
      </c>
      <c r="F482" s="778">
        <f t="shared" si="135"/>
        <v>268.36732510111926</v>
      </c>
      <c r="G482" s="778">
        <f t="shared" si="135"/>
        <v>21.450553213345604</v>
      </c>
      <c r="H482" s="778">
        <f t="shared" si="135"/>
        <v>390.56648190553642</v>
      </c>
      <c r="I482" s="778">
        <f t="shared" si="135"/>
        <v>100.3085154193507</v>
      </c>
      <c r="J482" s="365">
        <f t="shared" si="135"/>
        <v>0</v>
      </c>
      <c r="K482" s="25">
        <f t="shared" si="138"/>
        <v>13141.508185845443</v>
      </c>
      <c r="L482" s="778">
        <v>1</v>
      </c>
      <c r="M482" s="778">
        <f t="shared" si="139"/>
        <v>13141.508185845443</v>
      </c>
      <c r="N482" s="678">
        <v>15618</v>
      </c>
      <c r="O482" s="678"/>
      <c r="P482" s="40" t="s">
        <v>624</v>
      </c>
      <c r="Q482" s="792">
        <v>40866</v>
      </c>
      <c r="R482" s="793"/>
      <c r="S482" s="306">
        <f>L482/2</f>
        <v>0.5</v>
      </c>
      <c r="T482" s="821">
        <v>23688</v>
      </c>
      <c r="U482" s="25">
        <f t="shared" si="140"/>
        <v>11844</v>
      </c>
      <c r="V482" s="456"/>
      <c r="W482" s="792"/>
      <c r="X482" s="822"/>
      <c r="Y482" s="821"/>
      <c r="Z482" s="25">
        <f t="shared" si="141"/>
        <v>0</v>
      </c>
    </row>
    <row r="483" spans="1:26" ht="16.5" customHeight="1">
      <c r="A483" s="777">
        <f t="shared" si="136"/>
        <v>138</v>
      </c>
      <c r="B483" s="298" t="s">
        <v>759</v>
      </c>
      <c r="C483" s="25">
        <f t="shared" si="137"/>
        <v>13954</v>
      </c>
      <c r="D483" s="778">
        <f t="shared" si="135"/>
        <v>393.34765767115374</v>
      </c>
      <c r="E483" s="778">
        <f t="shared" si="135"/>
        <v>124.46765253493697</v>
      </c>
      <c r="F483" s="778">
        <f t="shared" si="135"/>
        <v>268.36732510111926</v>
      </c>
      <c r="G483" s="778">
        <f t="shared" si="135"/>
        <v>21.450553213345604</v>
      </c>
      <c r="H483" s="778">
        <f t="shared" si="135"/>
        <v>390.56648190553642</v>
      </c>
      <c r="I483" s="778">
        <f t="shared" si="135"/>
        <v>100.3085154193507</v>
      </c>
      <c r="J483" s="365">
        <f t="shared" si="135"/>
        <v>0</v>
      </c>
      <c r="K483" s="25">
        <f t="shared" si="138"/>
        <v>15251.508185845443</v>
      </c>
      <c r="L483" s="778">
        <v>1</v>
      </c>
      <c r="M483" s="778">
        <f t="shared" si="139"/>
        <v>15251.508185845443</v>
      </c>
      <c r="N483" s="678">
        <v>15136</v>
      </c>
      <c r="O483" s="678"/>
      <c r="P483" s="189" t="s">
        <v>549</v>
      </c>
      <c r="Q483" s="792">
        <v>40866</v>
      </c>
      <c r="R483" s="793"/>
      <c r="S483" s="306">
        <f>L483</f>
        <v>1</v>
      </c>
      <c r="T483" s="821">
        <v>13954</v>
      </c>
      <c r="U483" s="25">
        <f t="shared" si="140"/>
        <v>13954</v>
      </c>
      <c r="V483" s="456"/>
      <c r="W483" s="792"/>
      <c r="X483" s="822"/>
      <c r="Y483" s="821"/>
      <c r="Z483" s="25">
        <f t="shared" si="141"/>
        <v>0</v>
      </c>
    </row>
    <row r="484" spans="1:26" ht="16.5" customHeight="1">
      <c r="A484" s="777">
        <f t="shared" si="136"/>
        <v>139</v>
      </c>
      <c r="B484" s="298" t="s">
        <v>1293</v>
      </c>
      <c r="C484" s="25">
        <f t="shared" si="137"/>
        <v>153786</v>
      </c>
      <c r="D484" s="778">
        <f t="shared" si="135"/>
        <v>4720.1718920538451</v>
      </c>
      <c r="E484" s="778">
        <f t="shared" si="135"/>
        <v>1493.6118304192437</v>
      </c>
      <c r="F484" s="778">
        <f t="shared" si="135"/>
        <v>3220.4079012134312</v>
      </c>
      <c r="G484" s="778">
        <f t="shared" si="135"/>
        <v>257.40663856014726</v>
      </c>
      <c r="H484" s="778">
        <f t="shared" si="135"/>
        <v>4686.797782866437</v>
      </c>
      <c r="I484" s="778">
        <f t="shared" si="135"/>
        <v>1203.7021850322085</v>
      </c>
      <c r="J484" s="365">
        <f t="shared" si="135"/>
        <v>0</v>
      </c>
      <c r="K484" s="25">
        <f t="shared" si="138"/>
        <v>169367.09823014532</v>
      </c>
      <c r="L484" s="778">
        <v>12</v>
      </c>
      <c r="M484" s="778">
        <f t="shared" si="139"/>
        <v>14113.924852512109</v>
      </c>
      <c r="N484" s="678">
        <v>14230</v>
      </c>
      <c r="O484" s="678"/>
      <c r="P484" s="40" t="s">
        <v>643</v>
      </c>
      <c r="Q484" s="792">
        <v>40866</v>
      </c>
      <c r="R484" s="793"/>
      <c r="S484" s="306">
        <f>L484/2</f>
        <v>6</v>
      </c>
      <c r="T484" s="821">
        <v>25631</v>
      </c>
      <c r="U484" s="25">
        <f t="shared" si="140"/>
        <v>153786</v>
      </c>
      <c r="V484" s="456"/>
      <c r="W484" s="792"/>
      <c r="X484" s="822"/>
      <c r="Y484" s="821"/>
      <c r="Z484" s="25">
        <f t="shared" si="141"/>
        <v>0</v>
      </c>
    </row>
    <row r="485" spans="1:26" ht="16.5" customHeight="1">
      <c r="A485" s="777">
        <f t="shared" si="136"/>
        <v>140</v>
      </c>
      <c r="B485" s="298" t="s">
        <v>1206</v>
      </c>
      <c r="C485" s="25">
        <f t="shared" si="137"/>
        <v>603440</v>
      </c>
      <c r="D485" s="778">
        <f t="shared" si="135"/>
        <v>157339.06306846149</v>
      </c>
      <c r="E485" s="778">
        <f t="shared" si="135"/>
        <v>49787.061013974788</v>
      </c>
      <c r="F485" s="778">
        <f t="shared" si="135"/>
        <v>107346.93004044771</v>
      </c>
      <c r="G485" s="778">
        <f t="shared" si="135"/>
        <v>8580.2212853382407</v>
      </c>
      <c r="H485" s="778">
        <f t="shared" si="135"/>
        <v>156226.59276221457</v>
      </c>
      <c r="I485" s="778">
        <f t="shared" si="135"/>
        <v>40123.406167740279</v>
      </c>
      <c r="J485" s="365">
        <f t="shared" si="135"/>
        <v>0</v>
      </c>
      <c r="K485" s="25">
        <f t="shared" si="138"/>
        <v>1122842.2743381772</v>
      </c>
      <c r="L485" s="778">
        <v>400</v>
      </c>
      <c r="M485" s="778">
        <f t="shared" si="139"/>
        <v>2807.1056858454431</v>
      </c>
      <c r="N485" s="678">
        <v>3100</v>
      </c>
      <c r="O485" s="678"/>
      <c r="P485" s="189" t="s">
        <v>579</v>
      </c>
      <c r="Q485" s="792">
        <v>40848</v>
      </c>
      <c r="R485" s="793"/>
      <c r="S485" s="306">
        <f>L485/5</f>
        <v>80</v>
      </c>
      <c r="T485" s="821">
        <v>7543</v>
      </c>
      <c r="U485" s="25">
        <f t="shared" si="140"/>
        <v>603440</v>
      </c>
      <c r="V485" s="456"/>
      <c r="W485" s="792"/>
      <c r="X485" s="822"/>
      <c r="Y485" s="821"/>
      <c r="Z485" s="25">
        <f t="shared" si="141"/>
        <v>0</v>
      </c>
    </row>
    <row r="486" spans="1:26" ht="16.5" customHeight="1">
      <c r="A486" s="777">
        <f t="shared" si="136"/>
        <v>141</v>
      </c>
      <c r="B486" s="298" t="s">
        <v>1329</v>
      </c>
      <c r="C486" s="25">
        <f t="shared" si="137"/>
        <v>1839638</v>
      </c>
      <c r="D486" s="778">
        <f t="shared" si="135"/>
        <v>47595.066578209604</v>
      </c>
      <c r="E486" s="778">
        <f t="shared" si="135"/>
        <v>15060.585956727375</v>
      </c>
      <c r="F486" s="778">
        <f t="shared" si="135"/>
        <v>32472.446337235429</v>
      </c>
      <c r="G486" s="778">
        <f t="shared" si="135"/>
        <v>2595.5169388148179</v>
      </c>
      <c r="H486" s="778">
        <f t="shared" si="135"/>
        <v>47258.544310569909</v>
      </c>
      <c r="I486" s="778">
        <f t="shared" si="135"/>
        <v>12137.330365741434</v>
      </c>
      <c r="J486" s="365">
        <f t="shared" si="135"/>
        <v>0</v>
      </c>
      <c r="K486" s="25">
        <f t="shared" si="138"/>
        <v>1996756.4904872987</v>
      </c>
      <c r="L486" s="778">
        <v>121</v>
      </c>
      <c r="M486" s="778">
        <f t="shared" si="139"/>
        <v>16502.119756093376</v>
      </c>
      <c r="N486" s="678">
        <v>18100</v>
      </c>
      <c r="O486" s="678"/>
      <c r="P486" s="40" t="s">
        <v>644</v>
      </c>
      <c r="Q486" s="792">
        <v>40870</v>
      </c>
      <c r="R486" s="793"/>
      <c r="S486" s="306">
        <v>61</v>
      </c>
      <c r="T486" s="821">
        <v>30158</v>
      </c>
      <c r="U486" s="25">
        <f t="shared" si="140"/>
        <v>1839638</v>
      </c>
      <c r="V486" s="456"/>
      <c r="W486" s="792"/>
      <c r="X486" s="822"/>
      <c r="Y486" s="821"/>
      <c r="Z486" s="25">
        <f t="shared" si="141"/>
        <v>0</v>
      </c>
    </row>
    <row r="487" spans="1:26" ht="16.5" customHeight="1">
      <c r="A487" s="777">
        <f t="shared" si="136"/>
        <v>142</v>
      </c>
      <c r="B487" s="298" t="s">
        <v>1331</v>
      </c>
      <c r="C487" s="25">
        <f t="shared" si="137"/>
        <v>1732650</v>
      </c>
      <c r="D487" s="778">
        <f t="shared" si="135"/>
        <v>39728.113424786527</v>
      </c>
      <c r="E487" s="778">
        <f t="shared" si="135"/>
        <v>12571.232906028634</v>
      </c>
      <c r="F487" s="778">
        <f t="shared" si="135"/>
        <v>27105.099835213045</v>
      </c>
      <c r="G487" s="778">
        <f t="shared" si="135"/>
        <v>2166.5058745479059</v>
      </c>
      <c r="H487" s="778">
        <f t="shared" si="135"/>
        <v>39447.21467245918</v>
      </c>
      <c r="I487" s="778">
        <f t="shared" si="135"/>
        <v>10131.16005735442</v>
      </c>
      <c r="J487" s="365">
        <f t="shared" si="135"/>
        <v>0</v>
      </c>
      <c r="K487" s="25">
        <f t="shared" si="138"/>
        <v>1863798.3267703899</v>
      </c>
      <c r="L487" s="778">
        <v>101</v>
      </c>
      <c r="M487" s="778">
        <f t="shared" si="139"/>
        <v>18453.448779904851</v>
      </c>
      <c r="N487" s="678">
        <v>23260</v>
      </c>
      <c r="O487" s="678"/>
      <c r="P487" s="40" t="s">
        <v>641</v>
      </c>
      <c r="Q487" s="792">
        <v>40870</v>
      </c>
      <c r="R487" s="793"/>
      <c r="S487" s="306">
        <v>50</v>
      </c>
      <c r="T487" s="821">
        <v>34653</v>
      </c>
      <c r="U487" s="25">
        <f t="shared" si="140"/>
        <v>1732650</v>
      </c>
      <c r="V487" s="456"/>
      <c r="W487" s="792"/>
      <c r="X487" s="822"/>
      <c r="Y487" s="821"/>
      <c r="Z487" s="25">
        <f t="shared" si="141"/>
        <v>0</v>
      </c>
    </row>
    <row r="488" spans="1:26" ht="16.5" customHeight="1">
      <c r="A488" s="777">
        <f t="shared" si="136"/>
        <v>143</v>
      </c>
      <c r="B488" s="298" t="s">
        <v>1332</v>
      </c>
      <c r="C488" s="25">
        <f t="shared" si="137"/>
        <v>2101528</v>
      </c>
      <c r="D488" s="778">
        <f t="shared" si="135"/>
        <v>47595.066578209604</v>
      </c>
      <c r="E488" s="778">
        <f t="shared" si="135"/>
        <v>15060.585956727375</v>
      </c>
      <c r="F488" s="778">
        <f t="shared" si="135"/>
        <v>32472.446337235429</v>
      </c>
      <c r="G488" s="778">
        <f t="shared" si="135"/>
        <v>2595.5169388148179</v>
      </c>
      <c r="H488" s="778">
        <f t="shared" si="135"/>
        <v>47258.544310569909</v>
      </c>
      <c r="I488" s="778">
        <f t="shared" si="135"/>
        <v>12137.330365741434</v>
      </c>
      <c r="J488" s="365">
        <f t="shared" si="135"/>
        <v>0</v>
      </c>
      <c r="K488" s="25">
        <f t="shared" si="138"/>
        <v>2258646.4904872985</v>
      </c>
      <c r="L488" s="778">
        <v>121</v>
      </c>
      <c r="M488" s="778">
        <f t="shared" si="139"/>
        <v>18666.49992138263</v>
      </c>
      <c r="N488" s="678">
        <v>20090</v>
      </c>
      <c r="O488" s="678"/>
      <c r="P488" s="189" t="s">
        <v>553</v>
      </c>
      <c r="Q488" s="792">
        <v>40870</v>
      </c>
      <c r="R488" s="793"/>
      <c r="S488" s="306">
        <f>L488</f>
        <v>121</v>
      </c>
      <c r="T488" s="821">
        <v>17368</v>
      </c>
      <c r="U488" s="25">
        <f t="shared" si="140"/>
        <v>2101528</v>
      </c>
      <c r="V488" s="456"/>
      <c r="W488" s="792"/>
      <c r="X488" s="822"/>
      <c r="Y488" s="821"/>
      <c r="Z488" s="25">
        <f t="shared" si="141"/>
        <v>0</v>
      </c>
    </row>
    <row r="489" spans="1:26" ht="16.5" customHeight="1">
      <c r="A489" s="777">
        <f t="shared" si="136"/>
        <v>144</v>
      </c>
      <c r="B489" s="298" t="s">
        <v>1333</v>
      </c>
      <c r="C489" s="25">
        <f t="shared" si="137"/>
        <v>3347538</v>
      </c>
      <c r="D489" s="778">
        <f t="shared" si="135"/>
        <v>87323.18000299613</v>
      </c>
      <c r="E489" s="778">
        <f t="shared" si="135"/>
        <v>27631.818862756008</v>
      </c>
      <c r="F489" s="778">
        <f t="shared" si="135"/>
        <v>59577.546172448478</v>
      </c>
      <c r="G489" s="778">
        <f t="shared" si="135"/>
        <v>4762.0228133627243</v>
      </c>
      <c r="H489" s="778">
        <f t="shared" si="135"/>
        <v>86705.758983029082</v>
      </c>
      <c r="I489" s="778">
        <f t="shared" si="135"/>
        <v>22268.490423095856</v>
      </c>
      <c r="J489" s="365">
        <f t="shared" si="135"/>
        <v>0</v>
      </c>
      <c r="K489" s="25">
        <f t="shared" si="138"/>
        <v>3635805.8172576879</v>
      </c>
      <c r="L489" s="778">
        <v>222</v>
      </c>
      <c r="M489" s="778">
        <f t="shared" si="139"/>
        <v>16377.503681340937</v>
      </c>
      <c r="N489" s="678">
        <v>18170</v>
      </c>
      <c r="O489" s="678"/>
      <c r="P489" s="40" t="s">
        <v>644</v>
      </c>
      <c r="Q489" s="792">
        <v>40870</v>
      </c>
      <c r="R489" s="793"/>
      <c r="S489" s="306">
        <f>L489/2</f>
        <v>111</v>
      </c>
      <c r="T489" s="821">
        <v>30158</v>
      </c>
      <c r="U489" s="25">
        <f t="shared" si="140"/>
        <v>3347538</v>
      </c>
      <c r="V489" s="456"/>
      <c r="W489" s="792"/>
      <c r="X489" s="822"/>
      <c r="Y489" s="821"/>
      <c r="Z489" s="25">
        <f t="shared" si="141"/>
        <v>0</v>
      </c>
    </row>
    <row r="490" spans="1:26" ht="16.5" customHeight="1">
      <c r="A490" s="777">
        <f t="shared" si="136"/>
        <v>145</v>
      </c>
      <c r="B490" s="298" t="s">
        <v>1334</v>
      </c>
      <c r="C490" s="25">
        <f t="shared" si="137"/>
        <v>1920996</v>
      </c>
      <c r="D490" s="778">
        <f t="shared" si="135"/>
        <v>47595.066578209604</v>
      </c>
      <c r="E490" s="778">
        <f t="shared" si="135"/>
        <v>15060.585956727375</v>
      </c>
      <c r="F490" s="778">
        <f t="shared" si="135"/>
        <v>32472.446337235429</v>
      </c>
      <c r="G490" s="778">
        <f t="shared" si="135"/>
        <v>2595.5169388148179</v>
      </c>
      <c r="H490" s="778">
        <f t="shared" si="135"/>
        <v>47258.544310569909</v>
      </c>
      <c r="I490" s="778">
        <f t="shared" si="135"/>
        <v>12137.330365741434</v>
      </c>
      <c r="J490" s="365">
        <f t="shared" si="135"/>
        <v>0</v>
      </c>
      <c r="K490" s="25">
        <f t="shared" si="138"/>
        <v>2078114.4904872987</v>
      </c>
      <c r="L490" s="778">
        <v>121</v>
      </c>
      <c r="M490" s="778">
        <f t="shared" si="139"/>
        <v>17174.499921382634</v>
      </c>
      <c r="N490" s="678">
        <v>19420</v>
      </c>
      <c r="O490" s="678"/>
      <c r="P490" s="40" t="s">
        <v>640</v>
      </c>
      <c r="Q490" s="792">
        <v>40870</v>
      </c>
      <c r="R490" s="793"/>
      <c r="S490" s="306">
        <f>L490/2</f>
        <v>60.5</v>
      </c>
      <c r="T490" s="821">
        <v>31752</v>
      </c>
      <c r="U490" s="25">
        <f t="shared" si="140"/>
        <v>1920996</v>
      </c>
      <c r="V490" s="456"/>
      <c r="W490" s="792"/>
      <c r="X490" s="822"/>
      <c r="Y490" s="821"/>
      <c r="Z490" s="25">
        <f t="shared" si="141"/>
        <v>0</v>
      </c>
    </row>
    <row r="491" spans="1:26" ht="16.5" customHeight="1">
      <c r="A491" s="777">
        <f t="shared" si="136"/>
        <v>146</v>
      </c>
      <c r="B491" s="298" t="s">
        <v>1335</v>
      </c>
      <c r="C491" s="25">
        <f t="shared" si="137"/>
        <v>1603476</v>
      </c>
      <c r="D491" s="778">
        <f t="shared" si="135"/>
        <v>39728.113424786527</v>
      </c>
      <c r="E491" s="778">
        <f t="shared" si="135"/>
        <v>12571.232906028634</v>
      </c>
      <c r="F491" s="778">
        <f t="shared" si="135"/>
        <v>27105.099835213045</v>
      </c>
      <c r="G491" s="778">
        <f t="shared" si="135"/>
        <v>2166.5058745479059</v>
      </c>
      <c r="H491" s="778">
        <f t="shared" si="135"/>
        <v>39447.21467245918</v>
      </c>
      <c r="I491" s="778">
        <f t="shared" si="135"/>
        <v>10131.16005735442</v>
      </c>
      <c r="J491" s="365">
        <f t="shared" si="135"/>
        <v>0</v>
      </c>
      <c r="K491" s="25">
        <f t="shared" si="138"/>
        <v>1734624.3267703899</v>
      </c>
      <c r="L491" s="778">
        <v>101</v>
      </c>
      <c r="M491" s="778">
        <f t="shared" si="139"/>
        <v>17174.498284855345</v>
      </c>
      <c r="N491" s="678">
        <v>19450</v>
      </c>
      <c r="O491" s="678"/>
      <c r="P491" s="40" t="s">
        <v>640</v>
      </c>
      <c r="Q491" s="792">
        <v>40870</v>
      </c>
      <c r="R491" s="793"/>
      <c r="S491" s="306">
        <f>L491/2</f>
        <v>50.5</v>
      </c>
      <c r="T491" s="821">
        <v>31752</v>
      </c>
      <c r="U491" s="25">
        <f t="shared" si="140"/>
        <v>1603476</v>
      </c>
      <c r="V491" s="456"/>
      <c r="W491" s="792"/>
      <c r="X491" s="822"/>
      <c r="Y491" s="821"/>
      <c r="Z491" s="25">
        <f t="shared" si="141"/>
        <v>0</v>
      </c>
    </row>
    <row r="492" spans="1:26" ht="16.5" customHeight="1">
      <c r="A492" s="777">
        <f t="shared" si="136"/>
        <v>147</v>
      </c>
      <c r="B492" s="298" t="s">
        <v>1336</v>
      </c>
      <c r="C492" s="25">
        <f t="shared" si="137"/>
        <v>102327</v>
      </c>
      <c r="D492" s="778">
        <f t="shared" si="135"/>
        <v>173859.66469064995</v>
      </c>
      <c r="E492" s="778">
        <f t="shared" si="135"/>
        <v>55014.70242044214</v>
      </c>
      <c r="F492" s="778">
        <f t="shared" si="135"/>
        <v>118618.35769469471</v>
      </c>
      <c r="G492" s="778">
        <f t="shared" si="135"/>
        <v>9481.1445202987561</v>
      </c>
      <c r="H492" s="778">
        <f t="shared" si="135"/>
        <v>172630.38500224709</v>
      </c>
      <c r="I492" s="778">
        <f t="shared" si="135"/>
        <v>44336.363815353012</v>
      </c>
      <c r="J492" s="365">
        <f t="shared" si="135"/>
        <v>0</v>
      </c>
      <c r="K492" s="25">
        <f t="shared" si="138"/>
        <v>676266.61814368563</v>
      </c>
      <c r="L492" s="778">
        <v>442</v>
      </c>
      <c r="M492" s="778">
        <f t="shared" si="139"/>
        <v>1530.0149731757595</v>
      </c>
      <c r="N492" s="678">
        <v>1150</v>
      </c>
      <c r="O492" s="678"/>
      <c r="P492" s="189" t="s">
        <v>387</v>
      </c>
      <c r="Q492" s="792">
        <v>40870</v>
      </c>
      <c r="R492" s="793"/>
      <c r="S492" s="306">
        <v>23</v>
      </c>
      <c r="T492" s="821">
        <v>4449</v>
      </c>
      <c r="U492" s="25">
        <f t="shared" si="140"/>
        <v>102327</v>
      </c>
      <c r="V492" s="456"/>
      <c r="W492" s="792"/>
      <c r="X492" s="822"/>
      <c r="Y492" s="821"/>
      <c r="Z492" s="25">
        <f t="shared" si="141"/>
        <v>0</v>
      </c>
    </row>
    <row r="493" spans="1:26" ht="16.5" customHeight="1">
      <c r="A493" s="777">
        <f t="shared" si="136"/>
        <v>148</v>
      </c>
      <c r="B493" s="298" t="s">
        <v>1338</v>
      </c>
      <c r="C493" s="25">
        <f t="shared" si="137"/>
        <v>57837</v>
      </c>
      <c r="D493" s="778">
        <f t="shared" si="135"/>
        <v>95190.133156419208</v>
      </c>
      <c r="E493" s="778">
        <f t="shared" si="135"/>
        <v>30121.171913454749</v>
      </c>
      <c r="F493" s="778">
        <f t="shared" si="135"/>
        <v>64944.892674470859</v>
      </c>
      <c r="G493" s="778">
        <f t="shared" si="135"/>
        <v>5191.0338776296358</v>
      </c>
      <c r="H493" s="778">
        <f t="shared" si="135"/>
        <v>94517.088621139817</v>
      </c>
      <c r="I493" s="778">
        <f t="shared" si="135"/>
        <v>24274.660731482869</v>
      </c>
      <c r="J493" s="365">
        <f t="shared" si="135"/>
        <v>0</v>
      </c>
      <c r="K493" s="25">
        <f t="shared" si="138"/>
        <v>372074.9809745971</v>
      </c>
      <c r="L493" s="778">
        <v>242</v>
      </c>
      <c r="M493" s="778">
        <f t="shared" si="139"/>
        <v>1537.4999213826327</v>
      </c>
      <c r="N493" s="678">
        <v>1360</v>
      </c>
      <c r="O493" s="678"/>
      <c r="P493" s="189" t="s">
        <v>387</v>
      </c>
      <c r="Q493" s="792">
        <v>40877</v>
      </c>
      <c r="R493" s="793"/>
      <c r="S493" s="306">
        <v>13</v>
      </c>
      <c r="T493" s="821">
        <v>4449</v>
      </c>
      <c r="U493" s="25">
        <f t="shared" si="140"/>
        <v>57837</v>
      </c>
      <c r="V493" s="456"/>
      <c r="W493" s="792"/>
      <c r="X493" s="822"/>
      <c r="Y493" s="821"/>
      <c r="Z493" s="25">
        <f t="shared" si="141"/>
        <v>0</v>
      </c>
    </row>
    <row r="494" spans="1:26" ht="16.5" customHeight="1">
      <c r="A494" s="777">
        <f t="shared" si="136"/>
        <v>149</v>
      </c>
      <c r="B494" s="298" t="s">
        <v>1339</v>
      </c>
      <c r="C494" s="25">
        <f t="shared" si="137"/>
        <v>66735</v>
      </c>
      <c r="D494" s="778">
        <f t="shared" si="135"/>
        <v>173859.66469064995</v>
      </c>
      <c r="E494" s="778">
        <f t="shared" si="135"/>
        <v>55014.70242044214</v>
      </c>
      <c r="F494" s="778">
        <f t="shared" si="135"/>
        <v>118618.35769469471</v>
      </c>
      <c r="G494" s="778">
        <f t="shared" si="135"/>
        <v>9481.1445202987561</v>
      </c>
      <c r="H494" s="778">
        <f t="shared" si="135"/>
        <v>172630.38500224709</v>
      </c>
      <c r="I494" s="778">
        <f t="shared" si="135"/>
        <v>44336.363815353012</v>
      </c>
      <c r="J494" s="365">
        <f t="shared" si="135"/>
        <v>0</v>
      </c>
      <c r="K494" s="25">
        <f t="shared" si="138"/>
        <v>640674.61814368563</v>
      </c>
      <c r="L494" s="778">
        <v>442</v>
      </c>
      <c r="M494" s="778">
        <f t="shared" si="139"/>
        <v>1449.4900862979314</v>
      </c>
      <c r="N494" s="678">
        <v>1090</v>
      </c>
      <c r="O494" s="678"/>
      <c r="P494" s="189" t="s">
        <v>387</v>
      </c>
      <c r="Q494" s="792">
        <v>40877</v>
      </c>
      <c r="R494" s="793"/>
      <c r="S494" s="306">
        <v>15</v>
      </c>
      <c r="T494" s="821">
        <v>4449</v>
      </c>
      <c r="U494" s="25">
        <f t="shared" si="140"/>
        <v>66735</v>
      </c>
      <c r="V494" s="456"/>
      <c r="W494" s="792"/>
      <c r="X494" s="822"/>
      <c r="Y494" s="821"/>
      <c r="Z494" s="25">
        <f t="shared" si="141"/>
        <v>0</v>
      </c>
    </row>
    <row r="495" spans="1:26" ht="16.5" customHeight="1">
      <c r="A495" s="777">
        <f t="shared" si="136"/>
        <v>150</v>
      </c>
      <c r="B495" s="298" t="s">
        <v>1340</v>
      </c>
      <c r="C495" s="25">
        <f t="shared" si="137"/>
        <v>49189</v>
      </c>
      <c r="D495" s="778">
        <f t="shared" si="135"/>
        <v>1966738.2883557687</v>
      </c>
      <c r="E495" s="778">
        <f t="shared" si="135"/>
        <v>622338.26267468487</v>
      </c>
      <c r="F495" s="778">
        <f t="shared" si="135"/>
        <v>1341836.6255055964</v>
      </c>
      <c r="G495" s="778">
        <f t="shared" si="135"/>
        <v>107252.76606672801</v>
      </c>
      <c r="H495" s="778">
        <f t="shared" si="135"/>
        <v>1952832.409527682</v>
      </c>
      <c r="I495" s="778">
        <f t="shared" si="135"/>
        <v>501542.57709675346</v>
      </c>
      <c r="J495" s="365">
        <f t="shared" si="135"/>
        <v>0</v>
      </c>
      <c r="K495" s="25">
        <f t="shared" si="138"/>
        <v>6541728.9292272134</v>
      </c>
      <c r="L495" s="778">
        <v>5000</v>
      </c>
      <c r="M495" s="778">
        <f t="shared" si="139"/>
        <v>1308.3457858454426</v>
      </c>
      <c r="N495" s="678">
        <v>123</v>
      </c>
      <c r="O495" s="678"/>
      <c r="P495" s="189" t="s">
        <v>638</v>
      </c>
      <c r="Q495" s="792">
        <v>40877</v>
      </c>
      <c r="R495" s="793"/>
      <c r="S495" s="306">
        <v>2</v>
      </c>
      <c r="T495" s="821">
        <v>24594.5</v>
      </c>
      <c r="U495" s="25">
        <f t="shared" si="140"/>
        <v>49189</v>
      </c>
      <c r="V495" s="456"/>
      <c r="W495" s="792"/>
      <c r="X495" s="822"/>
      <c r="Y495" s="821"/>
      <c r="Z495" s="25">
        <f t="shared" si="141"/>
        <v>0</v>
      </c>
    </row>
    <row r="496" spans="1:26" ht="16.5" customHeight="1">
      <c r="A496" s="777">
        <f t="shared" si="136"/>
        <v>151</v>
      </c>
      <c r="B496" s="298" t="s">
        <v>1341</v>
      </c>
      <c r="C496" s="25">
        <f t="shared" si="137"/>
        <v>14777420</v>
      </c>
      <c r="D496" s="778">
        <f t="shared" si="135"/>
        <v>385480.70451773069</v>
      </c>
      <c r="E496" s="778">
        <f t="shared" si="135"/>
        <v>121978.29948423823</v>
      </c>
      <c r="F496" s="778">
        <f t="shared" si="135"/>
        <v>262999.97859909688</v>
      </c>
      <c r="G496" s="778">
        <f t="shared" si="135"/>
        <v>21021.54214907869</v>
      </c>
      <c r="H496" s="778">
        <f t="shared" si="135"/>
        <v>382755.15226742567</v>
      </c>
      <c r="I496" s="778">
        <f t="shared" si="135"/>
        <v>98302.345110963681</v>
      </c>
      <c r="J496" s="365">
        <f t="shared" si="135"/>
        <v>0</v>
      </c>
      <c r="K496" s="25">
        <f t="shared" si="138"/>
        <v>16049957.022128535</v>
      </c>
      <c r="L496" s="778">
        <v>980</v>
      </c>
      <c r="M496" s="778">
        <f t="shared" si="139"/>
        <v>16377.50716543728</v>
      </c>
      <c r="N496" s="678">
        <v>17900</v>
      </c>
      <c r="O496" s="678"/>
      <c r="P496" s="40" t="s">
        <v>644</v>
      </c>
      <c r="Q496" s="792">
        <v>40877</v>
      </c>
      <c r="R496" s="793"/>
      <c r="S496" s="306">
        <f>L496/2</f>
        <v>490</v>
      </c>
      <c r="T496" s="821">
        <v>30158</v>
      </c>
      <c r="U496" s="25">
        <f t="shared" si="140"/>
        <v>14777420</v>
      </c>
      <c r="V496" s="456"/>
      <c r="W496" s="792"/>
      <c r="X496" s="822"/>
      <c r="Y496" s="821"/>
      <c r="Z496" s="25">
        <f t="shared" si="141"/>
        <v>0</v>
      </c>
    </row>
    <row r="497" spans="1:26" ht="16.5" customHeight="1">
      <c r="A497" s="777">
        <f t="shared" si="136"/>
        <v>152</v>
      </c>
      <c r="B497" s="298" t="s">
        <v>1343</v>
      </c>
      <c r="C497" s="25">
        <f t="shared" si="137"/>
        <v>13641600</v>
      </c>
      <c r="D497" s="778">
        <f t="shared" si="135"/>
        <v>782761.83876559592</v>
      </c>
      <c r="E497" s="778">
        <f t="shared" si="135"/>
        <v>247690.62854452457</v>
      </c>
      <c r="F497" s="778">
        <f t="shared" si="135"/>
        <v>534050.97695122729</v>
      </c>
      <c r="G497" s="778">
        <f t="shared" si="135"/>
        <v>42686.600894557749</v>
      </c>
      <c r="H497" s="778">
        <f t="shared" si="135"/>
        <v>777227.29899201752</v>
      </c>
      <c r="I497" s="778">
        <f t="shared" si="135"/>
        <v>199613.9456845079</v>
      </c>
      <c r="J497" s="365">
        <f t="shared" si="135"/>
        <v>0</v>
      </c>
      <c r="K497" s="25">
        <f t="shared" si="138"/>
        <v>16225630.289832428</v>
      </c>
      <c r="L497" s="778">
        <v>1990</v>
      </c>
      <c r="M497" s="778">
        <f t="shared" si="139"/>
        <v>8153.583060217301</v>
      </c>
      <c r="N497" s="678">
        <v>10900</v>
      </c>
      <c r="O497" s="678"/>
      <c r="P497" s="40" t="s">
        <v>654</v>
      </c>
      <c r="Q497" s="792">
        <v>40877</v>
      </c>
      <c r="R497" s="793"/>
      <c r="S497" s="306">
        <v>1050</v>
      </c>
      <c r="T497" s="821">
        <v>12992</v>
      </c>
      <c r="U497" s="25">
        <f t="shared" si="140"/>
        <v>13641600</v>
      </c>
      <c r="V497" s="456"/>
      <c r="W497" s="792"/>
      <c r="X497" s="822"/>
      <c r="Y497" s="821"/>
      <c r="Z497" s="25">
        <f t="shared" si="141"/>
        <v>0</v>
      </c>
    </row>
    <row r="498" spans="1:26" ht="16.5" customHeight="1">
      <c r="A498" s="777">
        <f t="shared" si="136"/>
        <v>153</v>
      </c>
      <c r="B498" s="192" t="s">
        <v>1348</v>
      </c>
      <c r="C498" s="25">
        <f t="shared" si="137"/>
        <v>7726330</v>
      </c>
      <c r="D498" s="778">
        <f t="shared" si="135"/>
        <v>184873.39910544225</v>
      </c>
      <c r="E498" s="778">
        <f t="shared" si="135"/>
        <v>58499.796691420379</v>
      </c>
      <c r="F498" s="778">
        <f t="shared" si="135"/>
        <v>126132.64279752606</v>
      </c>
      <c r="G498" s="778">
        <f t="shared" si="135"/>
        <v>10081.760010272434</v>
      </c>
      <c r="H498" s="778">
        <f t="shared" si="135"/>
        <v>183566.24649560213</v>
      </c>
      <c r="I498" s="778">
        <f t="shared" si="135"/>
        <v>47145.002247094832</v>
      </c>
      <c r="J498" s="365">
        <f t="shared" si="135"/>
        <v>0</v>
      </c>
      <c r="K498" s="25">
        <f t="shared" si="138"/>
        <v>8336627.8473473582</v>
      </c>
      <c r="L498" s="256">
        <v>470</v>
      </c>
      <c r="M498" s="778">
        <f t="shared" si="139"/>
        <v>17737.506058185867</v>
      </c>
      <c r="N498" s="678">
        <v>22000</v>
      </c>
      <c r="O498" s="678"/>
      <c r="P498" s="40" t="s">
        <v>645</v>
      </c>
      <c r="Q498" s="191">
        <v>40896</v>
      </c>
      <c r="R498" s="793"/>
      <c r="S498" s="306">
        <f>L498/2</f>
        <v>235</v>
      </c>
      <c r="T498" s="821">
        <v>32878</v>
      </c>
      <c r="U498" s="25">
        <f t="shared" si="140"/>
        <v>7726330</v>
      </c>
      <c r="V498" s="456"/>
      <c r="W498" s="792"/>
      <c r="X498" s="822"/>
      <c r="Y498" s="821"/>
      <c r="Z498" s="25">
        <f t="shared" si="141"/>
        <v>0</v>
      </c>
    </row>
    <row r="499" spans="1:26" ht="16.5" customHeight="1">
      <c r="A499" s="777">
        <f t="shared" si="136"/>
        <v>154</v>
      </c>
      <c r="B499" s="192" t="s">
        <v>1350</v>
      </c>
      <c r="C499" s="25">
        <f t="shared" si="137"/>
        <v>2331465</v>
      </c>
      <c r="D499" s="778">
        <f t="shared" si="135"/>
        <v>198640.56712393265</v>
      </c>
      <c r="E499" s="778">
        <f t="shared" si="135"/>
        <v>62856.164530143171</v>
      </c>
      <c r="F499" s="778">
        <f t="shared" si="135"/>
        <v>135525.49917606523</v>
      </c>
      <c r="G499" s="778">
        <f t="shared" si="135"/>
        <v>10832.529372739529</v>
      </c>
      <c r="H499" s="778">
        <f t="shared" si="135"/>
        <v>197236.07336229589</v>
      </c>
      <c r="I499" s="778">
        <f t="shared" si="135"/>
        <v>50655.800286772101</v>
      </c>
      <c r="J499" s="365">
        <f t="shared" si="135"/>
        <v>0</v>
      </c>
      <c r="K499" s="25">
        <f t="shared" si="138"/>
        <v>2987210.6338519491</v>
      </c>
      <c r="L499" s="256">
        <v>505</v>
      </c>
      <c r="M499" s="778">
        <f t="shared" si="139"/>
        <v>5915.2685818850478</v>
      </c>
      <c r="N499" s="678">
        <v>9500</v>
      </c>
      <c r="O499" s="678"/>
      <c r="P499" s="189" t="s">
        <v>522</v>
      </c>
      <c r="Q499" s="191">
        <v>40886</v>
      </c>
      <c r="R499" s="793"/>
      <c r="S499" s="306">
        <v>205</v>
      </c>
      <c r="T499" s="821">
        <v>11373</v>
      </c>
      <c r="U499" s="25">
        <f t="shared" si="140"/>
        <v>2331465</v>
      </c>
      <c r="V499" s="456"/>
      <c r="W499" s="792"/>
      <c r="X499" s="822"/>
      <c r="Y499" s="821"/>
      <c r="Z499" s="25">
        <f t="shared" si="141"/>
        <v>0</v>
      </c>
    </row>
    <row r="500" spans="1:26" ht="16.5" customHeight="1">
      <c r="A500" s="777">
        <f t="shared" si="136"/>
        <v>155</v>
      </c>
      <c r="B500" s="192" t="s">
        <v>1304</v>
      </c>
      <c r="C500" s="25">
        <f t="shared" si="137"/>
        <v>17427</v>
      </c>
      <c r="D500" s="778">
        <f t="shared" si="135"/>
        <v>786.69531534230748</v>
      </c>
      <c r="E500" s="778">
        <f t="shared" si="135"/>
        <v>248.93530506987395</v>
      </c>
      <c r="F500" s="778">
        <f t="shared" si="135"/>
        <v>536.73465020223853</v>
      </c>
      <c r="G500" s="778">
        <f t="shared" si="135"/>
        <v>42.901106426691207</v>
      </c>
      <c r="H500" s="778">
        <f t="shared" si="135"/>
        <v>781.13296381107284</v>
      </c>
      <c r="I500" s="778">
        <f t="shared" si="135"/>
        <v>200.6170308387014</v>
      </c>
      <c r="J500" s="365">
        <f t="shared" si="135"/>
        <v>0</v>
      </c>
      <c r="K500" s="25">
        <f t="shared" si="138"/>
        <v>20023.016371690886</v>
      </c>
      <c r="L500" s="256">
        <v>2</v>
      </c>
      <c r="M500" s="778">
        <f t="shared" si="139"/>
        <v>10011.508185845443</v>
      </c>
      <c r="N500" s="678">
        <v>9449</v>
      </c>
      <c r="O500" s="678"/>
      <c r="P500" s="189" t="s">
        <v>490</v>
      </c>
      <c r="Q500" s="191">
        <v>40897</v>
      </c>
      <c r="R500" s="793"/>
      <c r="S500" s="306">
        <v>1</v>
      </c>
      <c r="T500" s="821">
        <v>17427</v>
      </c>
      <c r="U500" s="25">
        <f t="shared" si="140"/>
        <v>17427</v>
      </c>
      <c r="V500" s="456"/>
      <c r="W500" s="792"/>
      <c r="X500" s="822"/>
      <c r="Y500" s="821"/>
      <c r="Z500" s="25">
        <f t="shared" si="141"/>
        <v>0</v>
      </c>
    </row>
    <row r="501" spans="1:26" ht="16.5" customHeight="1">
      <c r="A501" s="777">
        <f t="shared" si="136"/>
        <v>156</v>
      </c>
      <c r="B501" s="192" t="s">
        <v>1353</v>
      </c>
      <c r="C501" s="25">
        <f t="shared" si="137"/>
        <v>32878</v>
      </c>
      <c r="D501" s="778">
        <f t="shared" si="135"/>
        <v>1966.7382883557686</v>
      </c>
      <c r="E501" s="778">
        <f t="shared" si="135"/>
        <v>622.33826267468487</v>
      </c>
      <c r="F501" s="778">
        <f t="shared" si="135"/>
        <v>1341.8366255055962</v>
      </c>
      <c r="G501" s="778">
        <f t="shared" si="135"/>
        <v>107.25276606672801</v>
      </c>
      <c r="H501" s="778">
        <f t="shared" si="135"/>
        <v>1952.8324095276821</v>
      </c>
      <c r="I501" s="778">
        <f t="shared" si="135"/>
        <v>501.54257709675346</v>
      </c>
      <c r="J501" s="365">
        <f t="shared" si="135"/>
        <v>0</v>
      </c>
      <c r="K501" s="25">
        <f t="shared" si="138"/>
        <v>39369.540929227209</v>
      </c>
      <c r="L501" s="256">
        <v>5</v>
      </c>
      <c r="M501" s="778">
        <f t="shared" si="139"/>
        <v>7873.9081858454419</v>
      </c>
      <c r="N501" s="678">
        <v>8637</v>
      </c>
      <c r="O501" s="678"/>
      <c r="P501" s="40" t="s">
        <v>645</v>
      </c>
      <c r="Q501" s="191">
        <v>40897</v>
      </c>
      <c r="R501" s="793"/>
      <c r="S501" s="306">
        <v>1</v>
      </c>
      <c r="T501" s="821">
        <v>32878</v>
      </c>
      <c r="U501" s="25">
        <f t="shared" si="140"/>
        <v>32878</v>
      </c>
      <c r="V501" s="456"/>
      <c r="W501" s="792"/>
      <c r="X501" s="822"/>
      <c r="Y501" s="821"/>
      <c r="Z501" s="25">
        <f t="shared" si="141"/>
        <v>0</v>
      </c>
    </row>
    <row r="502" spans="1:26" ht="16.5" customHeight="1">
      <c r="A502" s="777">
        <f t="shared" si="136"/>
        <v>157</v>
      </c>
      <c r="B502" s="192" t="s">
        <v>748</v>
      </c>
      <c r="C502" s="25">
        <f t="shared" si="137"/>
        <v>349272</v>
      </c>
      <c r="D502" s="778">
        <f t="shared" si="135"/>
        <v>12980.472703148074</v>
      </c>
      <c r="E502" s="778">
        <f t="shared" si="135"/>
        <v>4107.43253365292</v>
      </c>
      <c r="F502" s="778">
        <f t="shared" si="135"/>
        <v>8856.1217283369351</v>
      </c>
      <c r="G502" s="778">
        <f t="shared" si="135"/>
        <v>707.86825604040496</v>
      </c>
      <c r="H502" s="778">
        <f t="shared" si="135"/>
        <v>12888.693902882702</v>
      </c>
      <c r="I502" s="778">
        <f t="shared" si="135"/>
        <v>3310.1810088385732</v>
      </c>
      <c r="J502" s="365">
        <f t="shared" si="135"/>
        <v>0</v>
      </c>
      <c r="K502" s="25">
        <f t="shared" si="138"/>
        <v>392121.77013289963</v>
      </c>
      <c r="L502" s="256">
        <v>33</v>
      </c>
      <c r="M502" s="778">
        <f t="shared" si="139"/>
        <v>11882.477882815141</v>
      </c>
      <c r="N502" s="678">
        <v>12946</v>
      </c>
      <c r="O502" s="678"/>
      <c r="P502" s="40" t="s">
        <v>640</v>
      </c>
      <c r="Q502" s="191">
        <v>40897</v>
      </c>
      <c r="R502" s="793"/>
      <c r="S502" s="306">
        <v>11</v>
      </c>
      <c r="T502" s="821">
        <v>31752</v>
      </c>
      <c r="U502" s="25">
        <f t="shared" si="140"/>
        <v>349272</v>
      </c>
      <c r="V502" s="456"/>
      <c r="W502" s="792"/>
      <c r="X502" s="822"/>
      <c r="Y502" s="821"/>
      <c r="Z502" s="25">
        <f t="shared" si="141"/>
        <v>0</v>
      </c>
    </row>
    <row r="503" spans="1:26" ht="16.5" customHeight="1">
      <c r="A503" s="777">
        <f t="shared" si="136"/>
        <v>158</v>
      </c>
      <c r="B503" s="192" t="s">
        <v>1354</v>
      </c>
      <c r="C503" s="25">
        <f t="shared" si="137"/>
        <v>1977885</v>
      </c>
      <c r="D503" s="778">
        <f t="shared" si="135"/>
        <v>57822.105677659601</v>
      </c>
      <c r="E503" s="778">
        <f t="shared" si="135"/>
        <v>18296.744922635735</v>
      </c>
      <c r="F503" s="778">
        <f t="shared" si="135"/>
        <v>39449.996789864534</v>
      </c>
      <c r="G503" s="778">
        <f t="shared" si="135"/>
        <v>3153.2313223618039</v>
      </c>
      <c r="H503" s="778">
        <f t="shared" si="135"/>
        <v>57413.272840113852</v>
      </c>
      <c r="I503" s="778">
        <f t="shared" si="135"/>
        <v>14745.351766644553</v>
      </c>
      <c r="J503" s="365">
        <f t="shared" si="135"/>
        <v>0</v>
      </c>
      <c r="K503" s="25">
        <f t="shared" si="138"/>
        <v>2168764.7033192804</v>
      </c>
      <c r="L503" s="256">
        <v>147</v>
      </c>
      <c r="M503" s="778">
        <f t="shared" si="139"/>
        <v>14753.501383124356</v>
      </c>
      <c r="N503" s="678">
        <v>14013</v>
      </c>
      <c r="O503" s="678"/>
      <c r="P503" s="40" t="s">
        <v>655</v>
      </c>
      <c r="Q503" s="191">
        <v>40897</v>
      </c>
      <c r="R503" s="793"/>
      <c r="S503" s="306">
        <f>L503</f>
        <v>147</v>
      </c>
      <c r="T503" s="821">
        <v>13455</v>
      </c>
      <c r="U503" s="25">
        <f t="shared" si="140"/>
        <v>1977885</v>
      </c>
      <c r="V503" s="456"/>
      <c r="W503" s="792"/>
      <c r="X503" s="822"/>
      <c r="Y503" s="821"/>
      <c r="Z503" s="25">
        <f t="shared" si="141"/>
        <v>0</v>
      </c>
    </row>
    <row r="504" spans="1:26" ht="16.5" customHeight="1">
      <c r="A504" s="777">
        <f t="shared" si="136"/>
        <v>159</v>
      </c>
      <c r="B504" s="192" t="s">
        <v>1355</v>
      </c>
      <c r="C504" s="25">
        <f t="shared" si="137"/>
        <v>699660</v>
      </c>
      <c r="D504" s="778">
        <f t="shared" si="135"/>
        <v>20454.078198899995</v>
      </c>
      <c r="E504" s="778">
        <f t="shared" si="135"/>
        <v>6472.3179318167222</v>
      </c>
      <c r="F504" s="778">
        <f t="shared" si="135"/>
        <v>13955.100905258201</v>
      </c>
      <c r="G504" s="778">
        <f t="shared" si="135"/>
        <v>1115.4287670939714</v>
      </c>
      <c r="H504" s="778">
        <f t="shared" si="135"/>
        <v>20309.457059087894</v>
      </c>
      <c r="I504" s="778">
        <f t="shared" si="135"/>
        <v>5216.0428018062366</v>
      </c>
      <c r="J504" s="365">
        <f t="shared" si="135"/>
        <v>0</v>
      </c>
      <c r="K504" s="25">
        <f t="shared" si="138"/>
        <v>767181.42566396296</v>
      </c>
      <c r="L504" s="256">
        <v>52</v>
      </c>
      <c r="M504" s="778">
        <f t="shared" si="139"/>
        <v>14753.488955076211</v>
      </c>
      <c r="N504" s="678">
        <v>17521</v>
      </c>
      <c r="O504" s="678"/>
      <c r="P504" s="40" t="s">
        <v>655</v>
      </c>
      <c r="Q504" s="191">
        <v>40897</v>
      </c>
      <c r="R504" s="793"/>
      <c r="S504" s="306">
        <f>L504</f>
        <v>52</v>
      </c>
      <c r="T504" s="821">
        <v>13455</v>
      </c>
      <c r="U504" s="25">
        <f t="shared" si="140"/>
        <v>699660</v>
      </c>
      <c r="V504" s="456"/>
      <c r="W504" s="792"/>
      <c r="X504" s="822"/>
      <c r="Y504" s="821"/>
      <c r="Z504" s="25">
        <f t="shared" si="141"/>
        <v>0</v>
      </c>
    </row>
    <row r="505" spans="1:26" ht="16.5" customHeight="1">
      <c r="A505" s="777">
        <f t="shared" si="136"/>
        <v>160</v>
      </c>
      <c r="B505" s="192" t="s">
        <v>1356</v>
      </c>
      <c r="C505" s="25">
        <f t="shared" si="137"/>
        <v>1006622</v>
      </c>
      <c r="D505" s="778">
        <f t="shared" si="135"/>
        <v>23994.207117940379</v>
      </c>
      <c r="E505" s="778">
        <f t="shared" si="135"/>
        <v>7592.5268046311558</v>
      </c>
      <c r="F505" s="778">
        <f t="shared" si="135"/>
        <v>16370.406831168275</v>
      </c>
      <c r="G505" s="778">
        <f t="shared" si="135"/>
        <v>1308.4837460140818</v>
      </c>
      <c r="H505" s="778">
        <f t="shared" si="135"/>
        <v>23824.555396237723</v>
      </c>
      <c r="I505" s="778">
        <f t="shared" si="135"/>
        <v>6118.8194405803924</v>
      </c>
      <c r="J505" s="365">
        <f t="shared" si="135"/>
        <v>0</v>
      </c>
      <c r="K505" s="25">
        <f t="shared" si="138"/>
        <v>1085829.9993365719</v>
      </c>
      <c r="L505" s="256">
        <v>61</v>
      </c>
      <c r="M505" s="778">
        <f t="shared" si="139"/>
        <v>17800.49179240282</v>
      </c>
      <c r="N505" s="678">
        <v>18867</v>
      </c>
      <c r="O505" s="678"/>
      <c r="P505" s="40" t="s">
        <v>649</v>
      </c>
      <c r="Q505" s="191">
        <v>40897</v>
      </c>
      <c r="R505" s="793"/>
      <c r="S505" s="306">
        <v>61</v>
      </c>
      <c r="T505" s="821">
        <v>16502</v>
      </c>
      <c r="U505" s="25">
        <f t="shared" si="140"/>
        <v>1006622</v>
      </c>
      <c r="V505" s="456"/>
      <c r="W505" s="792"/>
      <c r="X505" s="822"/>
      <c r="Y505" s="821"/>
      <c r="Z505" s="25">
        <f t="shared" si="141"/>
        <v>0</v>
      </c>
    </row>
    <row r="506" spans="1:26" ht="16.5" customHeight="1">
      <c r="A506" s="777">
        <f t="shared" si="136"/>
        <v>161</v>
      </c>
      <c r="B506" s="192" t="s">
        <v>1357</v>
      </c>
      <c r="C506" s="25">
        <f t="shared" si="137"/>
        <v>8398655</v>
      </c>
      <c r="D506" s="778">
        <f t="shared" si="135"/>
        <v>198640.56712393265</v>
      </c>
      <c r="E506" s="778">
        <f t="shared" si="135"/>
        <v>62856.164530143171</v>
      </c>
      <c r="F506" s="778">
        <f t="shared" si="135"/>
        <v>135525.49917606523</v>
      </c>
      <c r="G506" s="778">
        <f t="shared" si="135"/>
        <v>10832.529372739529</v>
      </c>
      <c r="H506" s="778">
        <f t="shared" si="135"/>
        <v>197236.07336229589</v>
      </c>
      <c r="I506" s="778">
        <f t="shared" si="135"/>
        <v>50655.800286772101</v>
      </c>
      <c r="J506" s="365">
        <f t="shared" si="135"/>
        <v>0</v>
      </c>
      <c r="K506" s="25">
        <f t="shared" si="138"/>
        <v>9054400.6338519473</v>
      </c>
      <c r="L506" s="256">
        <v>505</v>
      </c>
      <c r="M506" s="778">
        <f t="shared" si="139"/>
        <v>17929.50620564742</v>
      </c>
      <c r="N506" s="678">
        <v>18984</v>
      </c>
      <c r="O506" s="678"/>
      <c r="P506" s="40" t="s">
        <v>656</v>
      </c>
      <c r="Q506" s="191">
        <v>40897</v>
      </c>
      <c r="R506" s="793"/>
      <c r="S506" s="306">
        <f>L506</f>
        <v>505</v>
      </c>
      <c r="T506" s="821">
        <v>16631</v>
      </c>
      <c r="U506" s="25">
        <f t="shared" si="140"/>
        <v>8398655</v>
      </c>
      <c r="V506" s="456"/>
      <c r="W506" s="792"/>
      <c r="X506" s="822"/>
      <c r="Y506" s="821"/>
      <c r="Z506" s="25">
        <f t="shared" si="141"/>
        <v>0</v>
      </c>
    </row>
    <row r="507" spans="1:26" ht="16.5" customHeight="1">
      <c r="A507" s="777">
        <f t="shared" si="136"/>
        <v>162</v>
      </c>
      <c r="B507" s="192" t="s">
        <v>1358</v>
      </c>
      <c r="C507" s="25">
        <f t="shared" si="137"/>
        <v>607194</v>
      </c>
      <c r="D507" s="778">
        <f t="shared" si="135"/>
        <v>23994.207117940379</v>
      </c>
      <c r="E507" s="778">
        <f t="shared" si="135"/>
        <v>7592.5268046311558</v>
      </c>
      <c r="F507" s="778">
        <f t="shared" si="135"/>
        <v>16370.406831168275</v>
      </c>
      <c r="G507" s="778">
        <f t="shared" si="135"/>
        <v>1308.4837460140818</v>
      </c>
      <c r="H507" s="778">
        <f t="shared" si="135"/>
        <v>23824.555396237723</v>
      </c>
      <c r="I507" s="778">
        <f t="shared" ref="D507:J544" si="142">IF($L$588&lt;&gt;0,I$588/$L$588*$L507,0)</f>
        <v>6118.8194405803924</v>
      </c>
      <c r="J507" s="365">
        <f t="shared" si="142"/>
        <v>0</v>
      </c>
      <c r="K507" s="25">
        <f t="shared" si="138"/>
        <v>686401.99933657201</v>
      </c>
      <c r="L507" s="256">
        <v>61</v>
      </c>
      <c r="M507" s="778">
        <f t="shared" si="139"/>
        <v>11252.49179240282</v>
      </c>
      <c r="N507" s="678">
        <v>12799</v>
      </c>
      <c r="O507" s="678"/>
      <c r="P507" s="189" t="s">
        <v>630</v>
      </c>
      <c r="Q507" s="191">
        <v>40897</v>
      </c>
      <c r="R507" s="793"/>
      <c r="S507" s="306">
        <f>L507</f>
        <v>61</v>
      </c>
      <c r="T507" s="821">
        <v>9954</v>
      </c>
      <c r="U507" s="25">
        <f t="shared" si="140"/>
        <v>607194</v>
      </c>
      <c r="V507" s="456"/>
      <c r="W507" s="792"/>
      <c r="X507" s="822"/>
      <c r="Y507" s="821"/>
      <c r="Z507" s="25">
        <f t="shared" si="141"/>
        <v>0</v>
      </c>
    </row>
    <row r="508" spans="1:26" ht="16.5" customHeight="1">
      <c r="A508" s="777">
        <f t="shared" si="136"/>
        <v>163</v>
      </c>
      <c r="B508" s="192" t="s">
        <v>747</v>
      </c>
      <c r="C508" s="25">
        <f t="shared" si="137"/>
        <v>34854</v>
      </c>
      <c r="D508" s="778">
        <f t="shared" si="142"/>
        <v>1573.390630684615</v>
      </c>
      <c r="E508" s="778">
        <f t="shared" si="142"/>
        <v>497.8706101397479</v>
      </c>
      <c r="F508" s="778">
        <f t="shared" si="142"/>
        <v>1073.4693004044771</v>
      </c>
      <c r="G508" s="778">
        <f t="shared" si="142"/>
        <v>85.802212853382414</v>
      </c>
      <c r="H508" s="778">
        <f t="shared" si="142"/>
        <v>1562.2659276221457</v>
      </c>
      <c r="I508" s="778">
        <f t="shared" si="142"/>
        <v>401.23406167740279</v>
      </c>
      <c r="J508" s="365">
        <f t="shared" si="142"/>
        <v>0</v>
      </c>
      <c r="K508" s="25">
        <f t="shared" si="138"/>
        <v>40047.032743381773</v>
      </c>
      <c r="L508" s="256">
        <v>4</v>
      </c>
      <c r="M508" s="778">
        <f t="shared" si="139"/>
        <v>10011.758185845443</v>
      </c>
      <c r="N508" s="678">
        <v>11321</v>
      </c>
      <c r="O508" s="678"/>
      <c r="P508" s="189" t="s">
        <v>490</v>
      </c>
      <c r="Q508" s="191">
        <v>40897</v>
      </c>
      <c r="R508" s="793"/>
      <c r="S508" s="306">
        <v>2</v>
      </c>
      <c r="T508" s="821">
        <v>17427</v>
      </c>
      <c r="U508" s="25">
        <f t="shared" si="140"/>
        <v>34854</v>
      </c>
      <c r="V508" s="456"/>
      <c r="W508" s="792"/>
      <c r="X508" s="822"/>
      <c r="Y508" s="821"/>
      <c r="Z508" s="25">
        <f t="shared" si="141"/>
        <v>0</v>
      </c>
    </row>
    <row r="509" spans="1:26" ht="16.5" customHeight="1">
      <c r="A509" s="777">
        <f t="shared" si="136"/>
        <v>164</v>
      </c>
      <c r="B509" s="192" t="s">
        <v>1359</v>
      </c>
      <c r="C509" s="25">
        <f t="shared" si="137"/>
        <v>278832</v>
      </c>
      <c r="D509" s="778">
        <f t="shared" si="142"/>
        <v>6293.5625227384598</v>
      </c>
      <c r="E509" s="778">
        <f t="shared" si="142"/>
        <v>1991.4824405589916</v>
      </c>
      <c r="F509" s="778">
        <f t="shared" si="142"/>
        <v>4293.8772016179082</v>
      </c>
      <c r="G509" s="778">
        <f t="shared" si="142"/>
        <v>343.20885141352966</v>
      </c>
      <c r="H509" s="778">
        <f t="shared" si="142"/>
        <v>6249.0637104885827</v>
      </c>
      <c r="I509" s="778">
        <f t="shared" si="142"/>
        <v>1604.9362467096112</v>
      </c>
      <c r="J509" s="365">
        <f t="shared" si="142"/>
        <v>0</v>
      </c>
      <c r="K509" s="25">
        <f t="shared" si="138"/>
        <v>299607.13097352715</v>
      </c>
      <c r="L509" s="256">
        <v>16</v>
      </c>
      <c r="M509" s="778">
        <f t="shared" si="139"/>
        <v>18725.445685845447</v>
      </c>
      <c r="N509" s="678">
        <v>18928</v>
      </c>
      <c r="O509" s="678"/>
      <c r="P509" s="189" t="s">
        <v>490</v>
      </c>
      <c r="Q509" s="191">
        <v>40897</v>
      </c>
      <c r="R509" s="793"/>
      <c r="S509" s="306">
        <f>L509</f>
        <v>16</v>
      </c>
      <c r="T509" s="821">
        <v>17427</v>
      </c>
      <c r="U509" s="25">
        <f t="shared" si="140"/>
        <v>278832</v>
      </c>
      <c r="V509" s="456"/>
      <c r="W509" s="792"/>
      <c r="X509" s="822"/>
      <c r="Y509" s="821"/>
      <c r="Z509" s="25">
        <f t="shared" si="141"/>
        <v>0</v>
      </c>
    </row>
    <row r="510" spans="1:26" ht="16.5" customHeight="1">
      <c r="A510" s="777">
        <f t="shared" si="136"/>
        <v>165</v>
      </c>
      <c r="B510" s="192" t="s">
        <v>1360</v>
      </c>
      <c r="C510" s="25">
        <f t="shared" si="137"/>
        <v>154430</v>
      </c>
      <c r="D510" s="778">
        <f t="shared" si="142"/>
        <v>3933.4765767115373</v>
      </c>
      <c r="E510" s="778">
        <f t="shared" si="142"/>
        <v>1244.6765253493697</v>
      </c>
      <c r="F510" s="778">
        <f t="shared" si="142"/>
        <v>2683.6732510111924</v>
      </c>
      <c r="G510" s="778">
        <f t="shared" si="142"/>
        <v>214.50553213345603</v>
      </c>
      <c r="H510" s="778">
        <f t="shared" si="142"/>
        <v>3905.6648190553642</v>
      </c>
      <c r="I510" s="778">
        <f t="shared" si="142"/>
        <v>1003.0851541935069</v>
      </c>
      <c r="J510" s="365">
        <f t="shared" si="142"/>
        <v>0</v>
      </c>
      <c r="K510" s="25">
        <f t="shared" si="138"/>
        <v>167414.08185845445</v>
      </c>
      <c r="L510" s="256">
        <v>10</v>
      </c>
      <c r="M510" s="778">
        <f t="shared" si="139"/>
        <v>16741.408185845445</v>
      </c>
      <c r="N510" s="678">
        <v>15524</v>
      </c>
      <c r="O510" s="678"/>
      <c r="P510" s="40" t="s">
        <v>650</v>
      </c>
      <c r="Q510" s="191">
        <v>40897</v>
      </c>
      <c r="R510" s="793"/>
      <c r="S510" s="306">
        <f>L510</f>
        <v>10</v>
      </c>
      <c r="T510" s="821">
        <v>15443</v>
      </c>
      <c r="U510" s="25">
        <f t="shared" si="140"/>
        <v>154430</v>
      </c>
      <c r="V510" s="456"/>
      <c r="W510" s="792"/>
      <c r="X510" s="822"/>
      <c r="Y510" s="821"/>
      <c r="Z510" s="25">
        <f t="shared" si="141"/>
        <v>0</v>
      </c>
    </row>
    <row r="511" spans="1:26" ht="16.5" customHeight="1">
      <c r="A511" s="777">
        <f t="shared" si="136"/>
        <v>166</v>
      </c>
      <c r="B511" s="192" t="s">
        <v>1361</v>
      </c>
      <c r="C511" s="25">
        <f t="shared" si="137"/>
        <v>2737530</v>
      </c>
      <c r="D511" s="778">
        <f t="shared" si="142"/>
        <v>52708.586127934599</v>
      </c>
      <c r="E511" s="778">
        <f t="shared" si="142"/>
        <v>16678.665439681554</v>
      </c>
      <c r="F511" s="778">
        <f t="shared" si="142"/>
        <v>35961.221563549982</v>
      </c>
      <c r="G511" s="778">
        <f t="shared" si="142"/>
        <v>2874.3741305883109</v>
      </c>
      <c r="H511" s="778">
        <f t="shared" si="142"/>
        <v>52335.908575341877</v>
      </c>
      <c r="I511" s="778">
        <f t="shared" si="142"/>
        <v>13441.341066192994</v>
      </c>
      <c r="J511" s="365">
        <f t="shared" si="142"/>
        <v>0</v>
      </c>
      <c r="K511" s="25">
        <f t="shared" si="138"/>
        <v>2911529.0969032897</v>
      </c>
      <c r="L511" s="256">
        <v>134</v>
      </c>
      <c r="M511" s="778">
        <f t="shared" si="139"/>
        <v>21727.829081367832</v>
      </c>
      <c r="N511" s="678">
        <v>24159</v>
      </c>
      <c r="O511" s="678"/>
      <c r="P511" s="40" t="s">
        <v>642</v>
      </c>
      <c r="Q511" s="191">
        <v>40897</v>
      </c>
      <c r="R511" s="793"/>
      <c r="S511" s="306">
        <v>135</v>
      </c>
      <c r="T511" s="821">
        <v>20278</v>
      </c>
      <c r="U511" s="25">
        <f t="shared" si="140"/>
        <v>2737530</v>
      </c>
      <c r="V511" s="456"/>
      <c r="W511" s="792"/>
      <c r="X511" s="822"/>
      <c r="Y511" s="821"/>
      <c r="Z511" s="25">
        <f t="shared" si="141"/>
        <v>0</v>
      </c>
    </row>
    <row r="512" spans="1:26" ht="16.5" customHeight="1">
      <c r="A512" s="777">
        <f t="shared" si="136"/>
        <v>167</v>
      </c>
      <c r="B512" s="192" t="s">
        <v>1270</v>
      </c>
      <c r="C512" s="25">
        <f t="shared" si="137"/>
        <v>3000465</v>
      </c>
      <c r="D512" s="778">
        <f t="shared" si="142"/>
        <v>87716.527660667285</v>
      </c>
      <c r="E512" s="778">
        <f t="shared" si="142"/>
        <v>27756.286515290943</v>
      </c>
      <c r="F512" s="778">
        <f t="shared" si="142"/>
        <v>59845.913497549598</v>
      </c>
      <c r="G512" s="778">
        <f t="shared" si="142"/>
        <v>4783.4733665760696</v>
      </c>
      <c r="H512" s="778">
        <f t="shared" si="142"/>
        <v>87096.32546493462</v>
      </c>
      <c r="I512" s="778">
        <f t="shared" si="142"/>
        <v>22368.798938515207</v>
      </c>
      <c r="J512" s="365">
        <f t="shared" si="142"/>
        <v>0</v>
      </c>
      <c r="K512" s="25">
        <f t="shared" si="138"/>
        <v>3290031.3254435337</v>
      </c>
      <c r="L512" s="256">
        <v>223</v>
      </c>
      <c r="M512" s="778">
        <f t="shared" si="139"/>
        <v>14753.503701540511</v>
      </c>
      <c r="N512" s="678">
        <v>14535</v>
      </c>
      <c r="O512" s="678"/>
      <c r="P512" s="40" t="s">
        <v>655</v>
      </c>
      <c r="Q512" s="191">
        <v>40897</v>
      </c>
      <c r="R512" s="793"/>
      <c r="S512" s="306">
        <f t="shared" ref="S512:S520" si="143">L512</f>
        <v>223</v>
      </c>
      <c r="T512" s="821">
        <v>13455</v>
      </c>
      <c r="U512" s="25">
        <f t="shared" si="140"/>
        <v>3000465</v>
      </c>
      <c r="V512" s="456"/>
      <c r="W512" s="792"/>
      <c r="X512" s="822"/>
      <c r="Y512" s="821"/>
      <c r="Z512" s="25">
        <f t="shared" si="141"/>
        <v>0</v>
      </c>
    </row>
    <row r="513" spans="1:26" ht="16.5" customHeight="1">
      <c r="A513" s="777">
        <f t="shared" si="136"/>
        <v>168</v>
      </c>
      <c r="B513" s="192" t="s">
        <v>1362</v>
      </c>
      <c r="C513" s="25">
        <f t="shared" si="137"/>
        <v>173740</v>
      </c>
      <c r="D513" s="778">
        <f t="shared" si="142"/>
        <v>3933.4765767115373</v>
      </c>
      <c r="E513" s="778">
        <f t="shared" si="142"/>
        <v>1244.6765253493697</v>
      </c>
      <c r="F513" s="778">
        <f t="shared" si="142"/>
        <v>2683.6732510111924</v>
      </c>
      <c r="G513" s="778">
        <f t="shared" si="142"/>
        <v>214.50553213345603</v>
      </c>
      <c r="H513" s="778">
        <f t="shared" si="142"/>
        <v>3905.6648190553642</v>
      </c>
      <c r="I513" s="778">
        <f t="shared" si="142"/>
        <v>1003.0851541935069</v>
      </c>
      <c r="J513" s="365">
        <f t="shared" si="142"/>
        <v>0</v>
      </c>
      <c r="K513" s="25">
        <f t="shared" si="138"/>
        <v>186724.08185845445</v>
      </c>
      <c r="L513" s="256">
        <v>10</v>
      </c>
      <c r="M513" s="778">
        <f t="shared" si="139"/>
        <v>18672.408185845445</v>
      </c>
      <c r="N513" s="678">
        <v>19562</v>
      </c>
      <c r="O513" s="678"/>
      <c r="P513" s="40" t="s">
        <v>598</v>
      </c>
      <c r="Q513" s="191">
        <v>40897</v>
      </c>
      <c r="R513" s="793"/>
      <c r="S513" s="306">
        <f t="shared" si="143"/>
        <v>10</v>
      </c>
      <c r="T513" s="294">
        <v>17374</v>
      </c>
      <c r="U513" s="25">
        <f t="shared" si="140"/>
        <v>173740</v>
      </c>
      <c r="V513" s="456"/>
      <c r="W513" s="792"/>
      <c r="X513" s="822"/>
      <c r="Y513" s="821"/>
      <c r="Z513" s="25">
        <f t="shared" si="141"/>
        <v>0</v>
      </c>
    </row>
    <row r="514" spans="1:26" ht="16.5" customHeight="1">
      <c r="A514" s="777">
        <f t="shared" si="136"/>
        <v>169</v>
      </c>
      <c r="B514" s="192" t="s">
        <v>1267</v>
      </c>
      <c r="C514" s="25">
        <f t="shared" si="137"/>
        <v>308860</v>
      </c>
      <c r="D514" s="778">
        <f t="shared" si="142"/>
        <v>7866.9531534230746</v>
      </c>
      <c r="E514" s="778">
        <f t="shared" si="142"/>
        <v>2489.3530506987395</v>
      </c>
      <c r="F514" s="778">
        <f t="shared" si="142"/>
        <v>5367.3465020223848</v>
      </c>
      <c r="G514" s="778">
        <f t="shared" si="142"/>
        <v>429.01106426691206</v>
      </c>
      <c r="H514" s="778">
        <f t="shared" si="142"/>
        <v>7811.3296381107284</v>
      </c>
      <c r="I514" s="778">
        <f t="shared" si="142"/>
        <v>2006.1703083870138</v>
      </c>
      <c r="J514" s="365">
        <f t="shared" si="142"/>
        <v>0</v>
      </c>
      <c r="K514" s="25">
        <f t="shared" si="138"/>
        <v>334829.16371690889</v>
      </c>
      <c r="L514" s="256">
        <v>20</v>
      </c>
      <c r="M514" s="778">
        <f t="shared" si="139"/>
        <v>16741.458185845444</v>
      </c>
      <c r="N514" s="678">
        <v>16832</v>
      </c>
      <c r="O514" s="678"/>
      <c r="P514" s="40" t="s">
        <v>650</v>
      </c>
      <c r="Q514" s="191">
        <v>40897</v>
      </c>
      <c r="R514" s="793"/>
      <c r="S514" s="306">
        <f t="shared" si="143"/>
        <v>20</v>
      </c>
      <c r="T514" s="821">
        <v>15443</v>
      </c>
      <c r="U514" s="25">
        <f t="shared" si="140"/>
        <v>308860</v>
      </c>
      <c r="V514" s="456"/>
      <c r="W514" s="792"/>
      <c r="X514" s="822"/>
      <c r="Y514" s="821"/>
      <c r="Z514" s="25">
        <f t="shared" si="141"/>
        <v>0</v>
      </c>
    </row>
    <row r="515" spans="1:26" ht="16.5" customHeight="1">
      <c r="A515" s="777">
        <f t="shared" si="136"/>
        <v>170</v>
      </c>
      <c r="B515" s="192" t="s">
        <v>1298</v>
      </c>
      <c r="C515" s="25">
        <f t="shared" si="137"/>
        <v>26910</v>
      </c>
      <c r="D515" s="778">
        <f t="shared" si="142"/>
        <v>786.69531534230748</v>
      </c>
      <c r="E515" s="778">
        <f t="shared" si="142"/>
        <v>248.93530506987395</v>
      </c>
      <c r="F515" s="778">
        <f t="shared" si="142"/>
        <v>536.73465020223853</v>
      </c>
      <c r="G515" s="778">
        <f t="shared" si="142"/>
        <v>42.901106426691207</v>
      </c>
      <c r="H515" s="778">
        <f t="shared" si="142"/>
        <v>781.13296381107284</v>
      </c>
      <c r="I515" s="778">
        <f t="shared" si="142"/>
        <v>200.6170308387014</v>
      </c>
      <c r="J515" s="365">
        <f t="shared" si="142"/>
        <v>0</v>
      </c>
      <c r="K515" s="25">
        <f t="shared" si="138"/>
        <v>29506.016371690886</v>
      </c>
      <c r="L515" s="256">
        <v>2</v>
      </c>
      <c r="M515" s="778">
        <f t="shared" si="139"/>
        <v>14753.008185845443</v>
      </c>
      <c r="N515" s="678">
        <v>14836</v>
      </c>
      <c r="O515" s="678"/>
      <c r="P515" s="40" t="s">
        <v>655</v>
      </c>
      <c r="Q515" s="191">
        <v>40897</v>
      </c>
      <c r="R515" s="793"/>
      <c r="S515" s="306">
        <f t="shared" si="143"/>
        <v>2</v>
      </c>
      <c r="T515" s="821">
        <v>13455</v>
      </c>
      <c r="U515" s="25">
        <f t="shared" si="140"/>
        <v>26910</v>
      </c>
      <c r="V515" s="456"/>
      <c r="W515" s="792"/>
      <c r="X515" s="822"/>
      <c r="Y515" s="821"/>
      <c r="Z515" s="25">
        <f t="shared" si="141"/>
        <v>0</v>
      </c>
    </row>
    <row r="516" spans="1:26" ht="16.5" customHeight="1">
      <c r="A516" s="777">
        <f t="shared" si="136"/>
        <v>171</v>
      </c>
      <c r="B516" s="192" t="s">
        <v>1363</v>
      </c>
      <c r="C516" s="25">
        <f t="shared" si="137"/>
        <v>6584746</v>
      </c>
      <c r="D516" s="778">
        <f t="shared" si="142"/>
        <v>149078.76225736726</v>
      </c>
      <c r="E516" s="778">
        <f t="shared" si="142"/>
        <v>47173.240310741116</v>
      </c>
      <c r="F516" s="778">
        <f t="shared" si="142"/>
        <v>101711.21621332419</v>
      </c>
      <c r="G516" s="778">
        <f t="shared" si="142"/>
        <v>8129.7596678579839</v>
      </c>
      <c r="H516" s="778">
        <f t="shared" si="142"/>
        <v>148024.69664219831</v>
      </c>
      <c r="I516" s="778">
        <f t="shared" si="142"/>
        <v>38016.927343933916</v>
      </c>
      <c r="J516" s="365">
        <f t="shared" si="142"/>
        <v>0</v>
      </c>
      <c r="K516" s="25">
        <f t="shared" si="138"/>
        <v>7076879.6024354221</v>
      </c>
      <c r="L516" s="256">
        <v>379</v>
      </c>
      <c r="M516" s="778">
        <f t="shared" si="139"/>
        <v>18672.505547323013</v>
      </c>
      <c r="N516" s="678">
        <v>22739</v>
      </c>
      <c r="O516" s="678"/>
      <c r="P516" s="40" t="s">
        <v>598</v>
      </c>
      <c r="Q516" s="191">
        <v>40897</v>
      </c>
      <c r="R516" s="793"/>
      <c r="S516" s="306">
        <f t="shared" si="143"/>
        <v>379</v>
      </c>
      <c r="T516" s="821">
        <v>17374</v>
      </c>
      <c r="U516" s="25">
        <f t="shared" si="140"/>
        <v>6584746</v>
      </c>
      <c r="V516" s="456"/>
      <c r="W516" s="792"/>
      <c r="X516" s="822"/>
      <c r="Y516" s="821"/>
      <c r="Z516" s="25">
        <f t="shared" si="141"/>
        <v>0</v>
      </c>
    </row>
    <row r="517" spans="1:26" ht="16.5" customHeight="1">
      <c r="A517" s="777">
        <f t="shared" si="136"/>
        <v>172</v>
      </c>
      <c r="B517" s="192" t="s">
        <v>1364</v>
      </c>
      <c r="C517" s="25">
        <f t="shared" si="137"/>
        <v>1363742</v>
      </c>
      <c r="D517" s="778">
        <f t="shared" si="142"/>
        <v>32254.507929034608</v>
      </c>
      <c r="E517" s="778">
        <f t="shared" si="142"/>
        <v>10206.347507864832</v>
      </c>
      <c r="F517" s="778">
        <f t="shared" si="142"/>
        <v>22006.12065829178</v>
      </c>
      <c r="G517" s="778">
        <f t="shared" si="142"/>
        <v>1758.9453634943395</v>
      </c>
      <c r="H517" s="778">
        <f t="shared" si="142"/>
        <v>32026.451516253986</v>
      </c>
      <c r="I517" s="778">
        <f t="shared" si="142"/>
        <v>8225.2982643867581</v>
      </c>
      <c r="J517" s="365">
        <f t="shared" si="142"/>
        <v>0</v>
      </c>
      <c r="K517" s="25">
        <f t="shared" si="138"/>
        <v>1470218.6712393262</v>
      </c>
      <c r="L517" s="256">
        <v>82</v>
      </c>
      <c r="M517" s="778">
        <f t="shared" si="139"/>
        <v>17929.495990723492</v>
      </c>
      <c r="N517" s="678">
        <v>23012</v>
      </c>
      <c r="O517" s="678"/>
      <c r="P517" s="40" t="s">
        <v>656</v>
      </c>
      <c r="Q517" s="191">
        <v>40897</v>
      </c>
      <c r="R517" s="793"/>
      <c r="S517" s="306">
        <f t="shared" si="143"/>
        <v>82</v>
      </c>
      <c r="T517" s="821">
        <v>16631</v>
      </c>
      <c r="U517" s="25">
        <f t="shared" si="140"/>
        <v>1363742</v>
      </c>
      <c r="V517" s="456"/>
      <c r="W517" s="792"/>
      <c r="X517" s="822"/>
      <c r="Y517" s="821"/>
      <c r="Z517" s="25">
        <f t="shared" si="141"/>
        <v>0</v>
      </c>
    </row>
    <row r="518" spans="1:26" ht="16.5" customHeight="1">
      <c r="A518" s="777">
        <f t="shared" si="136"/>
        <v>173</v>
      </c>
      <c r="B518" s="192" t="s">
        <v>1365</v>
      </c>
      <c r="C518" s="25">
        <f t="shared" si="137"/>
        <v>968760</v>
      </c>
      <c r="D518" s="778">
        <f t="shared" si="142"/>
        <v>28321.031352323069</v>
      </c>
      <c r="E518" s="778">
        <f t="shared" si="142"/>
        <v>8961.6709825154612</v>
      </c>
      <c r="F518" s="778">
        <f t="shared" si="142"/>
        <v>19322.447407280586</v>
      </c>
      <c r="G518" s="778">
        <f t="shared" si="142"/>
        <v>1544.4398313608835</v>
      </c>
      <c r="H518" s="778">
        <f t="shared" si="142"/>
        <v>28120.786697198622</v>
      </c>
      <c r="I518" s="778">
        <f t="shared" si="142"/>
        <v>7222.21311019325</v>
      </c>
      <c r="J518" s="365">
        <f t="shared" si="142"/>
        <v>0</v>
      </c>
      <c r="K518" s="25">
        <f t="shared" si="138"/>
        <v>1062251.5893808717</v>
      </c>
      <c r="L518" s="256">
        <v>72</v>
      </c>
      <c r="M518" s="778">
        <f t="shared" si="139"/>
        <v>14753.494296956553</v>
      </c>
      <c r="N518" s="678">
        <v>15805</v>
      </c>
      <c r="O518" s="678"/>
      <c r="P518" s="40" t="s">
        <v>655</v>
      </c>
      <c r="Q518" s="191">
        <v>40897</v>
      </c>
      <c r="R518" s="793"/>
      <c r="S518" s="306">
        <f t="shared" si="143"/>
        <v>72</v>
      </c>
      <c r="T518" s="821">
        <v>13455</v>
      </c>
      <c r="U518" s="25">
        <f t="shared" si="140"/>
        <v>968760</v>
      </c>
      <c r="V518" s="456"/>
      <c r="W518" s="792"/>
      <c r="X518" s="822"/>
      <c r="Y518" s="821"/>
      <c r="Z518" s="25">
        <f t="shared" si="141"/>
        <v>0</v>
      </c>
    </row>
    <row r="519" spans="1:26" ht="16.5" customHeight="1">
      <c r="A519" s="777">
        <f t="shared" si="136"/>
        <v>174</v>
      </c>
      <c r="B519" s="192" t="s">
        <v>1366</v>
      </c>
      <c r="C519" s="25">
        <f t="shared" si="137"/>
        <v>699660</v>
      </c>
      <c r="D519" s="778">
        <f t="shared" si="142"/>
        <v>20454.078198899995</v>
      </c>
      <c r="E519" s="778">
        <f t="shared" si="142"/>
        <v>6472.3179318167222</v>
      </c>
      <c r="F519" s="778">
        <f t="shared" si="142"/>
        <v>13955.100905258201</v>
      </c>
      <c r="G519" s="778">
        <f t="shared" si="142"/>
        <v>1115.4287670939714</v>
      </c>
      <c r="H519" s="778">
        <f t="shared" si="142"/>
        <v>20309.457059087894</v>
      </c>
      <c r="I519" s="778">
        <f t="shared" si="142"/>
        <v>5216.0428018062366</v>
      </c>
      <c r="J519" s="365">
        <f t="shared" si="142"/>
        <v>0</v>
      </c>
      <c r="K519" s="25">
        <f t="shared" si="138"/>
        <v>767181.42566396296</v>
      </c>
      <c r="L519" s="256">
        <v>52</v>
      </c>
      <c r="M519" s="778">
        <f t="shared" si="139"/>
        <v>14753.488955076211</v>
      </c>
      <c r="N519" s="678">
        <v>15264</v>
      </c>
      <c r="O519" s="678"/>
      <c r="P519" s="40" t="s">
        <v>655</v>
      </c>
      <c r="Q519" s="191">
        <v>40897</v>
      </c>
      <c r="R519" s="793"/>
      <c r="S519" s="306">
        <f t="shared" si="143"/>
        <v>52</v>
      </c>
      <c r="T519" s="821">
        <v>13455</v>
      </c>
      <c r="U519" s="25">
        <f t="shared" si="140"/>
        <v>699660</v>
      </c>
      <c r="V519" s="456"/>
      <c r="W519" s="792"/>
      <c r="X519" s="822"/>
      <c r="Y519" s="821"/>
      <c r="Z519" s="25">
        <f t="shared" si="141"/>
        <v>0</v>
      </c>
    </row>
    <row r="520" spans="1:26" ht="16.5" customHeight="1">
      <c r="A520" s="777">
        <f t="shared" si="136"/>
        <v>175</v>
      </c>
      <c r="B520" s="192" t="s">
        <v>1367</v>
      </c>
      <c r="C520" s="25">
        <f t="shared" si="137"/>
        <v>686205</v>
      </c>
      <c r="D520" s="778">
        <f t="shared" si="142"/>
        <v>20060.730541228841</v>
      </c>
      <c r="E520" s="778">
        <f t="shared" si="142"/>
        <v>6347.8502792817853</v>
      </c>
      <c r="F520" s="778">
        <f t="shared" si="142"/>
        <v>13686.733580157083</v>
      </c>
      <c r="G520" s="778">
        <f t="shared" si="142"/>
        <v>1093.9782138806258</v>
      </c>
      <c r="H520" s="778">
        <f t="shared" si="142"/>
        <v>19918.890577182356</v>
      </c>
      <c r="I520" s="778">
        <f t="shared" si="142"/>
        <v>5115.7342863868853</v>
      </c>
      <c r="J520" s="365">
        <f t="shared" si="142"/>
        <v>0</v>
      </c>
      <c r="K520" s="25">
        <f t="shared" si="138"/>
        <v>752427.91747811751</v>
      </c>
      <c r="L520" s="256">
        <v>51</v>
      </c>
      <c r="M520" s="778">
        <f t="shared" si="139"/>
        <v>14753.488578002303</v>
      </c>
      <c r="N520" s="678">
        <v>16123</v>
      </c>
      <c r="O520" s="678"/>
      <c r="P520" s="40" t="s">
        <v>655</v>
      </c>
      <c r="Q520" s="191">
        <v>40897</v>
      </c>
      <c r="R520" s="793"/>
      <c r="S520" s="306">
        <f t="shared" si="143"/>
        <v>51</v>
      </c>
      <c r="T520" s="821">
        <v>13455</v>
      </c>
      <c r="U520" s="25">
        <f t="shared" si="140"/>
        <v>686205</v>
      </c>
      <c r="V520" s="456"/>
      <c r="W520" s="792"/>
      <c r="X520" s="822"/>
      <c r="Y520" s="821"/>
      <c r="Z520" s="25">
        <f t="shared" si="141"/>
        <v>0</v>
      </c>
    </row>
    <row r="521" spans="1:26" ht="16.5" customHeight="1">
      <c r="A521" s="777">
        <f t="shared" si="136"/>
        <v>176</v>
      </c>
      <c r="B521" s="192" t="s">
        <v>1368</v>
      </c>
      <c r="C521" s="25">
        <f t="shared" si="137"/>
        <v>838389</v>
      </c>
      <c r="D521" s="778">
        <f t="shared" si="142"/>
        <v>20060.730541228841</v>
      </c>
      <c r="E521" s="778">
        <f t="shared" si="142"/>
        <v>6347.8502792817853</v>
      </c>
      <c r="F521" s="778">
        <f t="shared" si="142"/>
        <v>13686.733580157083</v>
      </c>
      <c r="G521" s="778">
        <f t="shared" si="142"/>
        <v>1093.9782138806258</v>
      </c>
      <c r="H521" s="778">
        <f t="shared" si="142"/>
        <v>19918.890577182356</v>
      </c>
      <c r="I521" s="778">
        <f t="shared" si="142"/>
        <v>5115.7342863868853</v>
      </c>
      <c r="J521" s="365">
        <f t="shared" si="142"/>
        <v>0</v>
      </c>
      <c r="K521" s="25">
        <f t="shared" si="138"/>
        <v>904611.91747811751</v>
      </c>
      <c r="L521" s="256">
        <v>51</v>
      </c>
      <c r="M521" s="778">
        <f t="shared" si="139"/>
        <v>17737.488578002303</v>
      </c>
      <c r="N521" s="678">
        <v>19891</v>
      </c>
      <c r="O521" s="678"/>
      <c r="P521" s="40" t="s">
        <v>645</v>
      </c>
      <c r="Q521" s="191">
        <v>40897</v>
      </c>
      <c r="R521" s="793"/>
      <c r="S521" s="306">
        <f>L521/2</f>
        <v>25.5</v>
      </c>
      <c r="T521" s="821">
        <v>32878</v>
      </c>
      <c r="U521" s="25">
        <f t="shared" si="140"/>
        <v>838389</v>
      </c>
      <c r="V521" s="456"/>
      <c r="W521" s="792"/>
      <c r="X521" s="822"/>
      <c r="Y521" s="821"/>
      <c r="Z521" s="25">
        <f t="shared" si="141"/>
        <v>0</v>
      </c>
    </row>
    <row r="522" spans="1:26" ht="16.5" customHeight="1">
      <c r="A522" s="777">
        <f t="shared" si="136"/>
        <v>177</v>
      </c>
      <c r="B522" s="192" t="s">
        <v>1369</v>
      </c>
      <c r="C522" s="25">
        <f t="shared" si="137"/>
        <v>937023</v>
      </c>
      <c r="D522" s="778">
        <f t="shared" si="142"/>
        <v>22420.816487255765</v>
      </c>
      <c r="E522" s="778">
        <f t="shared" si="142"/>
        <v>7094.6561944914074</v>
      </c>
      <c r="F522" s="778">
        <f t="shared" si="142"/>
        <v>15296.937530763798</v>
      </c>
      <c r="G522" s="778">
        <f t="shared" si="142"/>
        <v>1222.6815331606995</v>
      </c>
      <c r="H522" s="778">
        <f t="shared" si="142"/>
        <v>22262.289468615578</v>
      </c>
      <c r="I522" s="778">
        <f t="shared" si="142"/>
        <v>5717.5853789029898</v>
      </c>
      <c r="J522" s="365">
        <f t="shared" si="142"/>
        <v>0</v>
      </c>
      <c r="K522" s="25">
        <f t="shared" si="138"/>
        <v>1011036.9665931902</v>
      </c>
      <c r="L522" s="256">
        <v>57</v>
      </c>
      <c r="M522" s="778">
        <f t="shared" si="139"/>
        <v>17737.490641985794</v>
      </c>
      <c r="N522" s="678">
        <v>20859</v>
      </c>
      <c r="O522" s="678"/>
      <c r="P522" s="40" t="s">
        <v>645</v>
      </c>
      <c r="Q522" s="191">
        <v>40897</v>
      </c>
      <c r="R522" s="793"/>
      <c r="S522" s="306">
        <f>L522/2</f>
        <v>28.5</v>
      </c>
      <c r="T522" s="821">
        <v>32878</v>
      </c>
      <c r="U522" s="25">
        <f t="shared" si="140"/>
        <v>937023</v>
      </c>
      <c r="V522" s="456"/>
      <c r="W522" s="792"/>
      <c r="X522" s="822"/>
      <c r="Y522" s="821"/>
      <c r="Z522" s="25">
        <f t="shared" si="141"/>
        <v>0</v>
      </c>
    </row>
    <row r="523" spans="1:26" ht="16.5" customHeight="1">
      <c r="A523" s="777">
        <f t="shared" si="136"/>
        <v>178</v>
      </c>
      <c r="B523" s="192" t="s">
        <v>1325</v>
      </c>
      <c r="C523" s="25">
        <f t="shared" si="137"/>
        <v>34748</v>
      </c>
      <c r="D523" s="778">
        <f t="shared" si="142"/>
        <v>59002.148650673058</v>
      </c>
      <c r="E523" s="778">
        <f t="shared" si="142"/>
        <v>18670.147880240547</v>
      </c>
      <c r="F523" s="778">
        <f t="shared" si="142"/>
        <v>40255.098765167888</v>
      </c>
      <c r="G523" s="778">
        <f t="shared" si="142"/>
        <v>3217.5829820018407</v>
      </c>
      <c r="H523" s="778">
        <f t="shared" si="142"/>
        <v>58584.972285830459</v>
      </c>
      <c r="I523" s="778">
        <f t="shared" si="142"/>
        <v>15046.277312902605</v>
      </c>
      <c r="J523" s="365">
        <f t="shared" si="142"/>
        <v>0</v>
      </c>
      <c r="K523" s="25">
        <f t="shared" si="138"/>
        <v>229523.22787681641</v>
      </c>
      <c r="L523" s="256">
        <v>150</v>
      </c>
      <c r="M523" s="778">
        <f t="shared" si="139"/>
        <v>1530.1548525121093</v>
      </c>
      <c r="N523" s="678">
        <v>963</v>
      </c>
      <c r="O523" s="678"/>
      <c r="P523" s="40" t="s">
        <v>598</v>
      </c>
      <c r="Q523" s="191">
        <v>40897</v>
      </c>
      <c r="R523" s="793"/>
      <c r="S523" s="306">
        <v>2</v>
      </c>
      <c r="T523" s="821">
        <v>17374</v>
      </c>
      <c r="U523" s="25">
        <f t="shared" si="140"/>
        <v>34748</v>
      </c>
      <c r="V523" s="456"/>
      <c r="W523" s="792"/>
      <c r="X523" s="822"/>
      <c r="Y523" s="821"/>
      <c r="Z523" s="25">
        <f t="shared" si="141"/>
        <v>0</v>
      </c>
    </row>
    <row r="524" spans="1:26" ht="16.5" customHeight="1">
      <c r="A524" s="777">
        <f t="shared" si="136"/>
        <v>179</v>
      </c>
      <c r="B524" s="192" t="s">
        <v>1316</v>
      </c>
      <c r="C524" s="25">
        <f t="shared" si="137"/>
        <v>108101</v>
      </c>
      <c r="D524" s="778">
        <f t="shared" si="142"/>
        <v>123904.51216641343</v>
      </c>
      <c r="E524" s="778">
        <f t="shared" si="142"/>
        <v>39207.310548505149</v>
      </c>
      <c r="F524" s="778">
        <f t="shared" si="142"/>
        <v>84535.707406852569</v>
      </c>
      <c r="G524" s="778">
        <f t="shared" si="142"/>
        <v>6756.9242622038655</v>
      </c>
      <c r="H524" s="778">
        <f t="shared" si="142"/>
        <v>123028.44180024398</v>
      </c>
      <c r="I524" s="778">
        <f t="shared" si="142"/>
        <v>31597.182357095469</v>
      </c>
      <c r="J524" s="365">
        <f t="shared" si="142"/>
        <v>0</v>
      </c>
      <c r="K524" s="25">
        <f t="shared" si="138"/>
        <v>517130.07854131446</v>
      </c>
      <c r="L524" s="256">
        <v>315</v>
      </c>
      <c r="M524" s="778">
        <f t="shared" si="139"/>
        <v>1641.6827890200459</v>
      </c>
      <c r="N524" s="678">
        <v>1025</v>
      </c>
      <c r="O524" s="678"/>
      <c r="P524" s="40" t="s">
        <v>650</v>
      </c>
      <c r="Q524" s="191">
        <v>40897</v>
      </c>
      <c r="R524" s="793"/>
      <c r="S524" s="306">
        <v>7</v>
      </c>
      <c r="T524" s="821">
        <v>15443</v>
      </c>
      <c r="U524" s="25">
        <f t="shared" si="140"/>
        <v>108101</v>
      </c>
      <c r="V524" s="456"/>
      <c r="W524" s="792"/>
      <c r="X524" s="822"/>
      <c r="Y524" s="821"/>
      <c r="Z524" s="25">
        <f t="shared" si="141"/>
        <v>0</v>
      </c>
    </row>
    <row r="525" spans="1:26" ht="16.5" customHeight="1">
      <c r="A525" s="777">
        <f t="shared" si="136"/>
        <v>180</v>
      </c>
      <c r="B525" s="192" t="s">
        <v>1318</v>
      </c>
      <c r="C525" s="25">
        <f t="shared" si="137"/>
        <v>69496</v>
      </c>
      <c r="D525" s="778">
        <f t="shared" si="142"/>
        <v>47201.718920538449</v>
      </c>
      <c r="E525" s="778">
        <f t="shared" si="142"/>
        <v>14936.118304192438</v>
      </c>
      <c r="F525" s="778">
        <f t="shared" si="142"/>
        <v>32204.079012134313</v>
      </c>
      <c r="G525" s="778">
        <f t="shared" si="142"/>
        <v>2574.0663856014726</v>
      </c>
      <c r="H525" s="778">
        <f t="shared" si="142"/>
        <v>46867.97782866437</v>
      </c>
      <c r="I525" s="778">
        <f t="shared" si="142"/>
        <v>12037.021850322084</v>
      </c>
      <c r="J525" s="365">
        <f t="shared" si="142"/>
        <v>0</v>
      </c>
      <c r="K525" s="25">
        <f t="shared" si="138"/>
        <v>225315.98230145313</v>
      </c>
      <c r="L525" s="256">
        <v>120</v>
      </c>
      <c r="M525" s="778">
        <f t="shared" si="139"/>
        <v>1877.6331858454428</v>
      </c>
      <c r="N525" s="678">
        <v>1152</v>
      </c>
      <c r="O525" s="678"/>
      <c r="P525" s="40" t="s">
        <v>598</v>
      </c>
      <c r="Q525" s="191">
        <v>40897</v>
      </c>
      <c r="R525" s="793"/>
      <c r="S525" s="306">
        <v>4</v>
      </c>
      <c r="T525" s="821">
        <v>17374</v>
      </c>
      <c r="U525" s="25">
        <f t="shared" si="140"/>
        <v>69496</v>
      </c>
      <c r="V525" s="456"/>
      <c r="W525" s="792"/>
      <c r="X525" s="822"/>
      <c r="Y525" s="821"/>
      <c r="Z525" s="25">
        <f t="shared" si="141"/>
        <v>0</v>
      </c>
    </row>
    <row r="526" spans="1:26" ht="16.5" customHeight="1">
      <c r="A526" s="777">
        <f t="shared" si="136"/>
        <v>181</v>
      </c>
      <c r="B526" s="192" t="s">
        <v>1315</v>
      </c>
      <c r="C526" s="25">
        <f t="shared" si="137"/>
        <v>69496</v>
      </c>
      <c r="D526" s="778">
        <f t="shared" si="142"/>
        <v>47201.718920538449</v>
      </c>
      <c r="E526" s="778">
        <f t="shared" si="142"/>
        <v>14936.118304192438</v>
      </c>
      <c r="F526" s="778">
        <f t="shared" si="142"/>
        <v>32204.079012134313</v>
      </c>
      <c r="G526" s="778">
        <f t="shared" si="142"/>
        <v>2574.0663856014726</v>
      </c>
      <c r="H526" s="778">
        <f t="shared" si="142"/>
        <v>46867.97782866437</v>
      </c>
      <c r="I526" s="778">
        <f t="shared" si="142"/>
        <v>12037.021850322084</v>
      </c>
      <c r="J526" s="365">
        <f t="shared" si="142"/>
        <v>0</v>
      </c>
      <c r="K526" s="25">
        <f t="shared" si="138"/>
        <v>225315.98230145313</v>
      </c>
      <c r="L526" s="256">
        <v>120</v>
      </c>
      <c r="M526" s="778">
        <f t="shared" si="139"/>
        <v>1877.6331858454428</v>
      </c>
      <c r="N526" s="678">
        <v>1087</v>
      </c>
      <c r="O526" s="678"/>
      <c r="P526" s="40" t="s">
        <v>598</v>
      </c>
      <c r="Q526" s="191">
        <v>40897</v>
      </c>
      <c r="R526" s="793"/>
      <c r="S526" s="306">
        <v>4</v>
      </c>
      <c r="T526" s="821">
        <v>17374</v>
      </c>
      <c r="U526" s="25">
        <f t="shared" si="140"/>
        <v>69496</v>
      </c>
      <c r="V526" s="456"/>
      <c r="W526" s="792"/>
      <c r="X526" s="822"/>
      <c r="Y526" s="821"/>
      <c r="Z526" s="25">
        <f t="shared" si="141"/>
        <v>0</v>
      </c>
    </row>
    <row r="527" spans="1:26" ht="16.5" customHeight="1">
      <c r="A527" s="777">
        <f t="shared" si="136"/>
        <v>182</v>
      </c>
      <c r="B527" s="192" t="s">
        <v>1370</v>
      </c>
      <c r="C527" s="25">
        <f t="shared" si="137"/>
        <v>232740</v>
      </c>
      <c r="D527" s="778">
        <f t="shared" si="142"/>
        <v>106990.56288655382</v>
      </c>
      <c r="E527" s="778">
        <f t="shared" si="142"/>
        <v>33855.201489502855</v>
      </c>
      <c r="F527" s="778">
        <f t="shared" si="142"/>
        <v>72995.912427504445</v>
      </c>
      <c r="G527" s="778">
        <f t="shared" si="142"/>
        <v>5834.5504740300039</v>
      </c>
      <c r="H527" s="778">
        <f t="shared" si="142"/>
        <v>106234.08307830591</v>
      </c>
      <c r="I527" s="778">
        <f t="shared" si="142"/>
        <v>27283.916194063389</v>
      </c>
      <c r="J527" s="365">
        <f t="shared" si="142"/>
        <v>0</v>
      </c>
      <c r="K527" s="25">
        <f t="shared" si="138"/>
        <v>585933.22654996044</v>
      </c>
      <c r="L527" s="256">
        <v>272</v>
      </c>
      <c r="M527" s="778">
        <f t="shared" si="139"/>
        <v>2154.1662740807369</v>
      </c>
      <c r="N527" s="678">
        <v>1254</v>
      </c>
      <c r="O527" s="678"/>
      <c r="P527" s="189" t="s">
        <v>507</v>
      </c>
      <c r="Q527" s="191">
        <v>40897</v>
      </c>
      <c r="R527" s="793"/>
      <c r="S527" s="306">
        <v>27</v>
      </c>
      <c r="T527" s="821">
        <v>8620</v>
      </c>
      <c r="U527" s="25">
        <f t="shared" si="140"/>
        <v>232740</v>
      </c>
      <c r="V527" s="456"/>
      <c r="W527" s="792"/>
      <c r="X527" s="822"/>
      <c r="Y527" s="821"/>
      <c r="Z527" s="25">
        <f t="shared" si="141"/>
        <v>0</v>
      </c>
    </row>
    <row r="528" spans="1:26" ht="16.5" customHeight="1">
      <c r="A528" s="777">
        <f t="shared" si="136"/>
        <v>183</v>
      </c>
      <c r="B528" s="192" t="s">
        <v>1324</v>
      </c>
      <c r="C528" s="25">
        <f t="shared" si="137"/>
        <v>17374</v>
      </c>
      <c r="D528" s="778">
        <f t="shared" si="142"/>
        <v>11800.429730134612</v>
      </c>
      <c r="E528" s="778">
        <f t="shared" si="142"/>
        <v>3734.0295760481094</v>
      </c>
      <c r="F528" s="778">
        <f t="shared" si="142"/>
        <v>8051.0197530335781</v>
      </c>
      <c r="G528" s="778">
        <f t="shared" si="142"/>
        <v>643.51659640036814</v>
      </c>
      <c r="H528" s="778">
        <f t="shared" si="142"/>
        <v>11716.994457166093</v>
      </c>
      <c r="I528" s="778">
        <f t="shared" si="142"/>
        <v>3009.255462580521</v>
      </c>
      <c r="J528" s="365">
        <f t="shared" si="142"/>
        <v>0</v>
      </c>
      <c r="K528" s="25">
        <f t="shared" si="138"/>
        <v>56328.245575363282</v>
      </c>
      <c r="L528" s="256">
        <v>30</v>
      </c>
      <c r="M528" s="778">
        <f t="shared" si="139"/>
        <v>1877.6081858454427</v>
      </c>
      <c r="N528" s="678">
        <v>1384</v>
      </c>
      <c r="O528" s="678"/>
      <c r="P528" s="40" t="s">
        <v>598</v>
      </c>
      <c r="Q528" s="191">
        <v>40897</v>
      </c>
      <c r="R528" s="793"/>
      <c r="S528" s="306">
        <v>1</v>
      </c>
      <c r="T528" s="821">
        <v>17374</v>
      </c>
      <c r="U528" s="25">
        <f t="shared" si="140"/>
        <v>17374</v>
      </c>
      <c r="V528" s="456"/>
      <c r="W528" s="792"/>
      <c r="X528" s="822"/>
      <c r="Y528" s="821"/>
      <c r="Z528" s="25">
        <f t="shared" si="141"/>
        <v>0</v>
      </c>
    </row>
    <row r="529" spans="1:26" ht="16.5" customHeight="1">
      <c r="A529" s="777">
        <f t="shared" si="136"/>
        <v>184</v>
      </c>
      <c r="B529" s="192" t="s">
        <v>1371</v>
      </c>
      <c r="C529" s="25">
        <f t="shared" si="137"/>
        <v>34748</v>
      </c>
      <c r="D529" s="778">
        <f t="shared" si="142"/>
        <v>23600.859460269225</v>
      </c>
      <c r="E529" s="778">
        <f t="shared" si="142"/>
        <v>7468.0591520962189</v>
      </c>
      <c r="F529" s="778">
        <f t="shared" si="142"/>
        <v>16102.039506067156</v>
      </c>
      <c r="G529" s="778">
        <f t="shared" si="142"/>
        <v>1287.0331928007363</v>
      </c>
      <c r="H529" s="778">
        <f t="shared" si="142"/>
        <v>23433.988914332185</v>
      </c>
      <c r="I529" s="778">
        <f t="shared" si="142"/>
        <v>6018.510925161042</v>
      </c>
      <c r="J529" s="365">
        <f t="shared" si="142"/>
        <v>0</v>
      </c>
      <c r="K529" s="25">
        <f t="shared" si="138"/>
        <v>112657.49115072656</v>
      </c>
      <c r="L529" s="256">
        <v>60</v>
      </c>
      <c r="M529" s="778">
        <f t="shared" si="139"/>
        <v>1877.6248525121093</v>
      </c>
      <c r="N529" s="678">
        <v>1220</v>
      </c>
      <c r="O529" s="678"/>
      <c r="P529" s="40" t="s">
        <v>598</v>
      </c>
      <c r="Q529" s="191">
        <v>40897</v>
      </c>
      <c r="R529" s="793"/>
      <c r="S529" s="306">
        <v>2</v>
      </c>
      <c r="T529" s="821">
        <v>17374</v>
      </c>
      <c r="U529" s="25">
        <f t="shared" si="140"/>
        <v>34748</v>
      </c>
      <c r="V529" s="456"/>
      <c r="W529" s="792"/>
      <c r="X529" s="822"/>
      <c r="Y529" s="821"/>
      <c r="Z529" s="25">
        <f t="shared" si="141"/>
        <v>0</v>
      </c>
    </row>
    <row r="530" spans="1:26" ht="16.5" customHeight="1">
      <c r="A530" s="777">
        <f t="shared" si="136"/>
        <v>185</v>
      </c>
      <c r="B530" s="192" t="s">
        <v>1320</v>
      </c>
      <c r="C530" s="25">
        <f t="shared" si="137"/>
        <v>82510</v>
      </c>
      <c r="D530" s="778">
        <f t="shared" si="142"/>
        <v>59002.148650673058</v>
      </c>
      <c r="E530" s="778">
        <f t="shared" si="142"/>
        <v>18670.147880240547</v>
      </c>
      <c r="F530" s="778">
        <f t="shared" si="142"/>
        <v>40255.098765167888</v>
      </c>
      <c r="G530" s="778">
        <f t="shared" si="142"/>
        <v>3217.5829820018407</v>
      </c>
      <c r="H530" s="778">
        <f t="shared" si="142"/>
        <v>58584.972285830459</v>
      </c>
      <c r="I530" s="778">
        <f t="shared" si="142"/>
        <v>15046.277312902605</v>
      </c>
      <c r="J530" s="365">
        <f t="shared" si="142"/>
        <v>0</v>
      </c>
      <c r="K530" s="25">
        <f t="shared" si="138"/>
        <v>277285.22787681641</v>
      </c>
      <c r="L530" s="256">
        <v>150</v>
      </c>
      <c r="M530" s="778">
        <f t="shared" si="139"/>
        <v>1848.5681858454427</v>
      </c>
      <c r="N530" s="678">
        <v>1463</v>
      </c>
      <c r="O530" s="678"/>
      <c r="P530" s="40" t="s">
        <v>649</v>
      </c>
      <c r="Q530" s="191">
        <v>40897</v>
      </c>
      <c r="R530" s="793"/>
      <c r="S530" s="306">
        <v>5</v>
      </c>
      <c r="T530" s="821">
        <v>16502</v>
      </c>
      <c r="U530" s="25">
        <f t="shared" si="140"/>
        <v>82510</v>
      </c>
      <c r="V530" s="456"/>
      <c r="W530" s="792"/>
      <c r="X530" s="822"/>
      <c r="Y530" s="821"/>
      <c r="Z530" s="25">
        <f t="shared" si="141"/>
        <v>0</v>
      </c>
    </row>
    <row r="531" spans="1:26" ht="16.5" customHeight="1">
      <c r="A531" s="777">
        <f t="shared" si="136"/>
        <v>186</v>
      </c>
      <c r="B531" s="192" t="s">
        <v>1321</v>
      </c>
      <c r="C531" s="25">
        <f t="shared" si="137"/>
        <v>65756</v>
      </c>
      <c r="D531" s="778">
        <f t="shared" si="142"/>
        <v>53495.281443276908</v>
      </c>
      <c r="E531" s="778">
        <f t="shared" si="142"/>
        <v>16927.600744751428</v>
      </c>
      <c r="F531" s="778">
        <f t="shared" si="142"/>
        <v>36497.956213752223</v>
      </c>
      <c r="G531" s="778">
        <f t="shared" si="142"/>
        <v>2917.2752370150019</v>
      </c>
      <c r="H531" s="778">
        <f t="shared" si="142"/>
        <v>53117.041539152953</v>
      </c>
      <c r="I531" s="778">
        <f t="shared" si="142"/>
        <v>13641.958097031695</v>
      </c>
      <c r="J531" s="365">
        <f t="shared" si="142"/>
        <v>0</v>
      </c>
      <c r="K531" s="25">
        <f t="shared" si="138"/>
        <v>242352.11327498022</v>
      </c>
      <c r="L531" s="256">
        <v>136</v>
      </c>
      <c r="M531" s="778">
        <f t="shared" si="139"/>
        <v>1782.0008329042664</v>
      </c>
      <c r="N531" s="678">
        <v>1288</v>
      </c>
      <c r="O531" s="678"/>
      <c r="P531" s="40" t="s">
        <v>645</v>
      </c>
      <c r="Q531" s="191">
        <v>40897</v>
      </c>
      <c r="R531" s="793"/>
      <c r="S531" s="306">
        <v>2</v>
      </c>
      <c r="T531" s="821">
        <v>32878</v>
      </c>
      <c r="U531" s="25">
        <f t="shared" si="140"/>
        <v>65756</v>
      </c>
      <c r="V531" s="456"/>
      <c r="W531" s="792"/>
      <c r="X531" s="822"/>
      <c r="Y531" s="821"/>
      <c r="Z531" s="25">
        <f t="shared" si="141"/>
        <v>0</v>
      </c>
    </row>
    <row r="532" spans="1:26" ht="16.5" customHeight="1">
      <c r="A532" s="777">
        <f t="shared" si="136"/>
        <v>187</v>
      </c>
      <c r="B532" s="192" t="s">
        <v>1323</v>
      </c>
      <c r="C532" s="25">
        <f t="shared" si="137"/>
        <v>8620</v>
      </c>
      <c r="D532" s="778">
        <f t="shared" si="142"/>
        <v>5900.2148650673062</v>
      </c>
      <c r="E532" s="778">
        <f t="shared" si="142"/>
        <v>1867.0147880240547</v>
      </c>
      <c r="F532" s="778">
        <f t="shared" si="142"/>
        <v>4025.5098765167891</v>
      </c>
      <c r="G532" s="778">
        <f t="shared" si="142"/>
        <v>321.75829820018407</v>
      </c>
      <c r="H532" s="778">
        <f t="shared" si="142"/>
        <v>5858.4972285830463</v>
      </c>
      <c r="I532" s="778">
        <f t="shared" si="142"/>
        <v>1504.6277312902605</v>
      </c>
      <c r="J532" s="365">
        <f t="shared" si="142"/>
        <v>0</v>
      </c>
      <c r="K532" s="25">
        <f t="shared" si="138"/>
        <v>28096.622787681641</v>
      </c>
      <c r="L532" s="256">
        <v>15</v>
      </c>
      <c r="M532" s="778">
        <f t="shared" si="139"/>
        <v>1873.1081858454427</v>
      </c>
      <c r="N532" s="678">
        <v>1581</v>
      </c>
      <c r="O532" s="678"/>
      <c r="P532" s="189" t="s">
        <v>507</v>
      </c>
      <c r="Q532" s="191">
        <v>40897</v>
      </c>
      <c r="R532" s="793"/>
      <c r="S532" s="306">
        <v>1</v>
      </c>
      <c r="T532" s="821">
        <v>8620</v>
      </c>
      <c r="U532" s="25">
        <f t="shared" si="140"/>
        <v>8620</v>
      </c>
      <c r="V532" s="456"/>
      <c r="W532" s="792"/>
      <c r="X532" s="822"/>
      <c r="Y532" s="821"/>
      <c r="Z532" s="25">
        <f t="shared" si="141"/>
        <v>0</v>
      </c>
    </row>
    <row r="533" spans="1:26" ht="16.5" customHeight="1">
      <c r="A533" s="777">
        <f t="shared" si="136"/>
        <v>188</v>
      </c>
      <c r="B533" s="192" t="s">
        <v>1319</v>
      </c>
      <c r="C533" s="25">
        <f t="shared" si="137"/>
        <v>54566</v>
      </c>
      <c r="D533" s="778">
        <f t="shared" si="142"/>
        <v>29501.074325336529</v>
      </c>
      <c r="E533" s="778">
        <f t="shared" si="142"/>
        <v>9335.0739401202736</v>
      </c>
      <c r="F533" s="778">
        <f t="shared" si="142"/>
        <v>20127.549382583944</v>
      </c>
      <c r="G533" s="778">
        <f t="shared" si="142"/>
        <v>1608.7914910009204</v>
      </c>
      <c r="H533" s="778">
        <f t="shared" si="142"/>
        <v>29292.48614291523</v>
      </c>
      <c r="I533" s="778">
        <f t="shared" si="142"/>
        <v>7523.1386564513023</v>
      </c>
      <c r="J533" s="365">
        <f t="shared" si="142"/>
        <v>0</v>
      </c>
      <c r="K533" s="25">
        <f t="shared" si="138"/>
        <v>151953.11393840821</v>
      </c>
      <c r="L533" s="256">
        <v>75</v>
      </c>
      <c r="M533" s="778">
        <f t="shared" si="139"/>
        <v>2026.0415191787761</v>
      </c>
      <c r="N533" s="678">
        <v>1660</v>
      </c>
      <c r="O533" s="678"/>
      <c r="P533" s="40" t="s">
        <v>639</v>
      </c>
      <c r="Q533" s="191">
        <v>40897</v>
      </c>
      <c r="R533" s="793"/>
      <c r="S533" s="306">
        <v>2</v>
      </c>
      <c r="T533" s="821">
        <v>27283</v>
      </c>
      <c r="U533" s="25">
        <f t="shared" si="140"/>
        <v>54566</v>
      </c>
      <c r="V533" s="456"/>
      <c r="W533" s="792"/>
      <c r="X533" s="822"/>
      <c r="Y533" s="821"/>
      <c r="Z533" s="25">
        <f t="shared" si="141"/>
        <v>0</v>
      </c>
    </row>
    <row r="534" spans="1:26" ht="16.5" customHeight="1">
      <c r="A534" s="777">
        <f t="shared" si="136"/>
        <v>189</v>
      </c>
      <c r="B534" s="192" t="s">
        <v>1364</v>
      </c>
      <c r="C534" s="25">
        <f t="shared" si="137"/>
        <v>3775237</v>
      </c>
      <c r="D534" s="778">
        <f t="shared" si="142"/>
        <v>89289.918291351903</v>
      </c>
      <c r="E534" s="778">
        <f t="shared" si="142"/>
        <v>28254.157125430695</v>
      </c>
      <c r="F534" s="778">
        <f t="shared" si="142"/>
        <v>60919.382797954073</v>
      </c>
      <c r="G534" s="778">
        <f t="shared" si="142"/>
        <v>4869.2755794294517</v>
      </c>
      <c r="H534" s="778">
        <f t="shared" si="142"/>
        <v>88658.591392556773</v>
      </c>
      <c r="I534" s="778">
        <f t="shared" si="142"/>
        <v>22770.033000192609</v>
      </c>
      <c r="J534" s="365">
        <f t="shared" si="142"/>
        <v>0</v>
      </c>
      <c r="K534" s="25">
        <f t="shared" si="138"/>
        <v>4069997.3581869151</v>
      </c>
      <c r="L534" s="256">
        <v>227</v>
      </c>
      <c r="M534" s="778">
        <f t="shared" si="139"/>
        <v>17929.503780559098</v>
      </c>
      <c r="N534" s="678">
        <v>23012</v>
      </c>
      <c r="O534" s="678"/>
      <c r="P534" s="40" t="s">
        <v>656</v>
      </c>
      <c r="Q534" s="191">
        <v>40898</v>
      </c>
      <c r="R534" s="793"/>
      <c r="S534" s="306">
        <f>L534</f>
        <v>227</v>
      </c>
      <c r="T534" s="821">
        <v>16631</v>
      </c>
      <c r="U534" s="25">
        <f t="shared" si="140"/>
        <v>3775237</v>
      </c>
      <c r="V534" s="456"/>
      <c r="W534" s="792"/>
      <c r="X534" s="822"/>
      <c r="Y534" s="821"/>
      <c r="Z534" s="25">
        <f t="shared" si="141"/>
        <v>0</v>
      </c>
    </row>
    <row r="535" spans="1:26" ht="16.5" customHeight="1">
      <c r="A535" s="777">
        <f t="shared" si="136"/>
        <v>190</v>
      </c>
      <c r="B535" s="192" t="s">
        <v>1359</v>
      </c>
      <c r="C535" s="25">
        <f t="shared" si="137"/>
        <v>3243045</v>
      </c>
      <c r="D535" s="778">
        <f t="shared" si="142"/>
        <v>76702.793245874986</v>
      </c>
      <c r="E535" s="778">
        <f t="shared" si="142"/>
        <v>24271.192244312711</v>
      </c>
      <c r="F535" s="778">
        <f t="shared" si="142"/>
        <v>52331.628394718253</v>
      </c>
      <c r="G535" s="778">
        <f t="shared" si="142"/>
        <v>4182.8578766023929</v>
      </c>
      <c r="H535" s="778">
        <f t="shared" si="142"/>
        <v>76160.463971579607</v>
      </c>
      <c r="I535" s="778">
        <f t="shared" si="142"/>
        <v>19560.160506773387</v>
      </c>
      <c r="J535" s="365">
        <f t="shared" si="142"/>
        <v>0</v>
      </c>
      <c r="K535" s="25">
        <f t="shared" si="138"/>
        <v>3496253.0962398611</v>
      </c>
      <c r="L535" s="256">
        <v>195</v>
      </c>
      <c r="M535" s="778">
        <f t="shared" si="139"/>
        <v>17929.503057640315</v>
      </c>
      <c r="N535" s="678">
        <v>18928</v>
      </c>
      <c r="O535" s="678"/>
      <c r="P535" s="40" t="s">
        <v>656</v>
      </c>
      <c r="Q535" s="191">
        <v>40898</v>
      </c>
      <c r="R535" s="793"/>
      <c r="S535" s="306">
        <f>L535</f>
        <v>195</v>
      </c>
      <c r="T535" s="821">
        <v>16631</v>
      </c>
      <c r="U535" s="25">
        <f t="shared" si="140"/>
        <v>3243045</v>
      </c>
      <c r="V535" s="456"/>
      <c r="W535" s="792"/>
      <c r="X535" s="822"/>
      <c r="Y535" s="821"/>
      <c r="Z535" s="25">
        <f t="shared" si="141"/>
        <v>0</v>
      </c>
    </row>
    <row r="536" spans="1:26" ht="16.5" customHeight="1">
      <c r="A536" s="777">
        <f t="shared" si="136"/>
        <v>191</v>
      </c>
      <c r="B536" s="192" t="s">
        <v>1373</v>
      </c>
      <c r="C536" s="25">
        <f t="shared" si="137"/>
        <v>3813848</v>
      </c>
      <c r="D536" s="778">
        <f t="shared" si="142"/>
        <v>91256.656579707662</v>
      </c>
      <c r="E536" s="778">
        <f t="shared" si="142"/>
        <v>28876.495388105377</v>
      </c>
      <c r="F536" s="778">
        <f t="shared" si="142"/>
        <v>62261.219423459668</v>
      </c>
      <c r="G536" s="778">
        <f t="shared" si="142"/>
        <v>4976.52834549618</v>
      </c>
      <c r="H536" s="778">
        <f t="shared" si="142"/>
        <v>90611.42380208445</v>
      </c>
      <c r="I536" s="778">
        <f t="shared" si="142"/>
        <v>23271.575577289361</v>
      </c>
      <c r="J536" s="365">
        <f t="shared" si="142"/>
        <v>0</v>
      </c>
      <c r="K536" s="25">
        <f t="shared" si="138"/>
        <v>4115100.8991161431</v>
      </c>
      <c r="L536" s="256">
        <v>232</v>
      </c>
      <c r="M536" s="778">
        <f t="shared" si="139"/>
        <v>17737.503875500617</v>
      </c>
      <c r="N536" s="678">
        <v>20070</v>
      </c>
      <c r="O536" s="678"/>
      <c r="P536" s="40" t="s">
        <v>645</v>
      </c>
      <c r="Q536" s="191">
        <v>40898</v>
      </c>
      <c r="R536" s="793"/>
      <c r="S536" s="306">
        <f>L536/2</f>
        <v>116</v>
      </c>
      <c r="T536" s="821">
        <v>32878</v>
      </c>
      <c r="U536" s="25">
        <f t="shared" si="140"/>
        <v>3813848</v>
      </c>
      <c r="V536" s="456"/>
      <c r="W536" s="792"/>
      <c r="X536" s="822"/>
      <c r="Y536" s="821"/>
      <c r="Z536" s="25">
        <f t="shared" si="141"/>
        <v>0</v>
      </c>
    </row>
    <row r="537" spans="1:26" ht="16.5" customHeight="1">
      <c r="A537" s="777">
        <f t="shared" si="136"/>
        <v>192</v>
      </c>
      <c r="B537" s="192" t="s">
        <v>1374</v>
      </c>
      <c r="C537" s="25">
        <f t="shared" si="137"/>
        <v>315989</v>
      </c>
      <c r="D537" s="778">
        <f t="shared" si="142"/>
        <v>29894.421983007684</v>
      </c>
      <c r="E537" s="778">
        <f t="shared" si="142"/>
        <v>9459.5415926552105</v>
      </c>
      <c r="F537" s="778">
        <f t="shared" si="142"/>
        <v>20395.916707685064</v>
      </c>
      <c r="G537" s="778">
        <f t="shared" si="142"/>
        <v>1630.2420442142659</v>
      </c>
      <c r="H537" s="778">
        <f t="shared" si="142"/>
        <v>29683.052624820768</v>
      </c>
      <c r="I537" s="778">
        <f t="shared" si="142"/>
        <v>7623.4471718706527</v>
      </c>
      <c r="J537" s="365">
        <f t="shared" si="142"/>
        <v>0</v>
      </c>
      <c r="K537" s="25">
        <f t="shared" si="138"/>
        <v>414674.62212425371</v>
      </c>
      <c r="L537" s="256">
        <v>76</v>
      </c>
      <c r="M537" s="778">
        <f t="shared" si="139"/>
        <v>5456.2450279507066</v>
      </c>
      <c r="N537" s="678">
        <v>6275</v>
      </c>
      <c r="O537" s="678"/>
      <c r="P537" s="40" t="s">
        <v>656</v>
      </c>
      <c r="Q537" s="191">
        <v>40899</v>
      </c>
      <c r="R537" s="793"/>
      <c r="S537" s="306">
        <v>19</v>
      </c>
      <c r="T537" s="821">
        <v>16631</v>
      </c>
      <c r="U537" s="25">
        <f t="shared" si="140"/>
        <v>315989</v>
      </c>
      <c r="V537" s="456"/>
      <c r="W537" s="792"/>
      <c r="X537" s="822"/>
      <c r="Y537" s="821"/>
      <c r="Z537" s="25">
        <f t="shared" si="141"/>
        <v>0</v>
      </c>
    </row>
    <row r="538" spans="1:26" ht="16.5" customHeight="1">
      <c r="A538" s="777">
        <f t="shared" si="136"/>
        <v>193</v>
      </c>
      <c r="B538" s="192" t="s">
        <v>1376</v>
      </c>
      <c r="C538" s="25">
        <f t="shared" si="137"/>
        <v>2249820</v>
      </c>
      <c r="D538" s="778">
        <f t="shared" si="142"/>
        <v>102663.73865217113</v>
      </c>
      <c r="E538" s="778">
        <f t="shared" si="142"/>
        <v>32486.057311618551</v>
      </c>
      <c r="F538" s="778">
        <f t="shared" si="142"/>
        <v>70043.871851392134</v>
      </c>
      <c r="G538" s="778">
        <f t="shared" si="142"/>
        <v>5598.5943886832029</v>
      </c>
      <c r="H538" s="778">
        <f t="shared" si="142"/>
        <v>101937.851777345</v>
      </c>
      <c r="I538" s="778">
        <f t="shared" si="142"/>
        <v>26180.522524450531</v>
      </c>
      <c r="J538" s="365">
        <f t="shared" si="142"/>
        <v>0</v>
      </c>
      <c r="K538" s="25">
        <f t="shared" si="138"/>
        <v>2588729.6365056606</v>
      </c>
      <c r="L538" s="256">
        <v>261</v>
      </c>
      <c r="M538" s="778">
        <f t="shared" si="139"/>
        <v>9918.5043544278178</v>
      </c>
      <c r="N538" s="678">
        <v>10678</v>
      </c>
      <c r="O538" s="678"/>
      <c r="P538" s="189" t="s">
        <v>507</v>
      </c>
      <c r="Q538" s="191">
        <v>40899</v>
      </c>
      <c r="R538" s="793"/>
      <c r="S538" s="306">
        <f>L538</f>
        <v>261</v>
      </c>
      <c r="T538" s="821">
        <v>8620</v>
      </c>
      <c r="U538" s="25">
        <f t="shared" si="140"/>
        <v>2249820</v>
      </c>
      <c r="V538" s="456"/>
      <c r="W538" s="792"/>
      <c r="X538" s="822"/>
      <c r="Y538" s="821"/>
      <c r="Z538" s="25">
        <f t="shared" si="141"/>
        <v>0</v>
      </c>
    </row>
    <row r="539" spans="1:26" ht="16.5" customHeight="1">
      <c r="A539" s="777">
        <f t="shared" ref="A539:A586" si="144">IF(B539&lt;&gt;"",A538+1,"")</f>
        <v>194</v>
      </c>
      <c r="B539" s="192" t="s">
        <v>903</v>
      </c>
      <c r="C539" s="25">
        <f t="shared" ref="C539:C586" si="145">U539</f>
        <v>538251</v>
      </c>
      <c r="D539" s="778">
        <f t="shared" si="142"/>
        <v>25567.597748624994</v>
      </c>
      <c r="E539" s="778">
        <f t="shared" si="142"/>
        <v>8090.3974147709032</v>
      </c>
      <c r="F539" s="778">
        <f t="shared" si="142"/>
        <v>17443.876131572753</v>
      </c>
      <c r="G539" s="778">
        <f t="shared" si="142"/>
        <v>1394.2859588674642</v>
      </c>
      <c r="H539" s="778">
        <f t="shared" si="142"/>
        <v>25386.821323859869</v>
      </c>
      <c r="I539" s="778">
        <f t="shared" si="142"/>
        <v>6520.0535022577951</v>
      </c>
      <c r="J539" s="365">
        <f t="shared" si="142"/>
        <v>0</v>
      </c>
      <c r="K539" s="25">
        <f t="shared" ref="K539:K586" si="146">SUM(C539:I539)-1</f>
        <v>622653.03207995382</v>
      </c>
      <c r="L539" s="256">
        <v>65</v>
      </c>
      <c r="M539" s="778">
        <f t="shared" si="139"/>
        <v>9579.2774166146737</v>
      </c>
      <c r="N539" s="678">
        <v>10501</v>
      </c>
      <c r="O539" s="678"/>
      <c r="P539" s="40" t="s">
        <v>643</v>
      </c>
      <c r="Q539" s="191">
        <v>40899</v>
      </c>
      <c r="R539" s="793"/>
      <c r="S539" s="306">
        <v>21</v>
      </c>
      <c r="T539" s="821">
        <v>25631</v>
      </c>
      <c r="U539" s="25">
        <f t="shared" si="140"/>
        <v>538251</v>
      </c>
      <c r="V539" s="456"/>
      <c r="W539" s="792"/>
      <c r="X539" s="822"/>
      <c r="Y539" s="821"/>
      <c r="Z539" s="25">
        <f t="shared" si="141"/>
        <v>0</v>
      </c>
    </row>
    <row r="540" spans="1:26" ht="16.5" customHeight="1">
      <c r="A540" s="777">
        <f t="shared" si="144"/>
        <v>195</v>
      </c>
      <c r="B540" s="192" t="s">
        <v>932</v>
      </c>
      <c r="C540" s="25">
        <f t="shared" si="145"/>
        <v>7198425</v>
      </c>
      <c r="D540" s="778">
        <f t="shared" si="142"/>
        <v>420488.64605046337</v>
      </c>
      <c r="E540" s="778">
        <f t="shared" si="142"/>
        <v>133055.92055984761</v>
      </c>
      <c r="F540" s="778">
        <f t="shared" si="142"/>
        <v>286884.67053309648</v>
      </c>
      <c r="G540" s="778">
        <f t="shared" si="142"/>
        <v>22930.64138506645</v>
      </c>
      <c r="H540" s="778">
        <f t="shared" si="142"/>
        <v>417515.56915701844</v>
      </c>
      <c r="I540" s="778">
        <f t="shared" si="142"/>
        <v>107229.8029832859</v>
      </c>
      <c r="J540" s="365">
        <f t="shared" si="142"/>
        <v>0</v>
      </c>
      <c r="K540" s="25">
        <f t="shared" si="146"/>
        <v>8586529.250668779</v>
      </c>
      <c r="L540" s="256">
        <v>1069</v>
      </c>
      <c r="M540" s="778">
        <f t="shared" ref="M540:M586" si="147">IF(L540&lt;&gt;"",K540/L540,"")</f>
        <v>8032.3005151251436</v>
      </c>
      <c r="N540" s="678">
        <v>11840</v>
      </c>
      <c r="O540" s="678"/>
      <c r="P540" s="40" t="s">
        <v>655</v>
      </c>
      <c r="Q540" s="191">
        <v>40899</v>
      </c>
      <c r="R540" s="793"/>
      <c r="S540" s="306">
        <v>535</v>
      </c>
      <c r="T540" s="821">
        <v>13455</v>
      </c>
      <c r="U540" s="25">
        <f t="shared" ref="U540:U586" si="148">ROUND(S540*T540,0)</f>
        <v>7198425</v>
      </c>
      <c r="V540" s="456"/>
      <c r="W540" s="792"/>
      <c r="X540" s="822"/>
      <c r="Y540" s="821"/>
      <c r="Z540" s="25">
        <f t="shared" ref="Z540:Z586" si="149">ROUND(X540*Y540,0)</f>
        <v>0</v>
      </c>
    </row>
    <row r="541" spans="1:26" ht="16.5" customHeight="1">
      <c r="A541" s="777">
        <f t="shared" si="144"/>
        <v>196</v>
      </c>
      <c r="B541" s="192" t="s">
        <v>904</v>
      </c>
      <c r="C541" s="25">
        <f t="shared" si="145"/>
        <v>3713580</v>
      </c>
      <c r="D541" s="778">
        <f t="shared" si="142"/>
        <v>108563.95351723843</v>
      </c>
      <c r="E541" s="778">
        <f t="shared" si="142"/>
        <v>34353.072099642603</v>
      </c>
      <c r="F541" s="778">
        <f t="shared" si="142"/>
        <v>74069.381727908913</v>
      </c>
      <c r="G541" s="778">
        <f t="shared" si="142"/>
        <v>5920.3526868833869</v>
      </c>
      <c r="H541" s="778">
        <f t="shared" si="142"/>
        <v>107796.34900592806</v>
      </c>
      <c r="I541" s="778">
        <f t="shared" si="142"/>
        <v>27685.150255740791</v>
      </c>
      <c r="J541" s="365">
        <f t="shared" si="142"/>
        <v>0</v>
      </c>
      <c r="K541" s="25">
        <f t="shared" si="146"/>
        <v>4071967.2592933425</v>
      </c>
      <c r="L541" s="256">
        <v>276</v>
      </c>
      <c r="M541" s="778">
        <f t="shared" si="147"/>
        <v>14753.504562657037</v>
      </c>
      <c r="N541" s="678">
        <v>13258</v>
      </c>
      <c r="O541" s="678"/>
      <c r="P541" s="40" t="s">
        <v>655</v>
      </c>
      <c r="Q541" s="191">
        <v>40899</v>
      </c>
      <c r="R541" s="793"/>
      <c r="S541" s="306">
        <f>L541</f>
        <v>276</v>
      </c>
      <c r="T541" s="821">
        <v>13455</v>
      </c>
      <c r="U541" s="25">
        <f t="shared" si="148"/>
        <v>3713580</v>
      </c>
      <c r="V541" s="456"/>
      <c r="W541" s="792"/>
      <c r="X541" s="822"/>
      <c r="Y541" s="821"/>
      <c r="Z541" s="25">
        <f t="shared" si="149"/>
        <v>0</v>
      </c>
    </row>
    <row r="542" spans="1:26" ht="16.5" customHeight="1">
      <c r="A542" s="777">
        <f t="shared" si="144"/>
        <v>197</v>
      </c>
      <c r="B542" s="192" t="s">
        <v>1359</v>
      </c>
      <c r="C542" s="25">
        <f t="shared" si="145"/>
        <v>789072</v>
      </c>
      <c r="D542" s="778">
        <f t="shared" si="142"/>
        <v>18487.339910544226</v>
      </c>
      <c r="E542" s="778">
        <f t="shared" si="142"/>
        <v>5849.9796691420379</v>
      </c>
      <c r="F542" s="778">
        <f t="shared" si="142"/>
        <v>12613.264279752606</v>
      </c>
      <c r="G542" s="778">
        <f t="shared" si="142"/>
        <v>1008.1760010272434</v>
      </c>
      <c r="H542" s="778">
        <f t="shared" si="142"/>
        <v>18356.62464956021</v>
      </c>
      <c r="I542" s="778">
        <f t="shared" si="142"/>
        <v>4714.5002247094826</v>
      </c>
      <c r="J542" s="365">
        <f t="shared" si="142"/>
        <v>0</v>
      </c>
      <c r="K542" s="25">
        <f t="shared" si="146"/>
        <v>850100.88473473582</v>
      </c>
      <c r="L542" s="256">
        <v>47</v>
      </c>
      <c r="M542" s="778">
        <f t="shared" si="147"/>
        <v>18087.252866696508</v>
      </c>
      <c r="N542" s="678">
        <v>18928</v>
      </c>
      <c r="O542" s="678"/>
      <c r="P542" s="40" t="s">
        <v>645</v>
      </c>
      <c r="Q542" s="191">
        <v>40899</v>
      </c>
      <c r="R542" s="793"/>
      <c r="S542" s="306">
        <v>24</v>
      </c>
      <c r="T542" s="821">
        <v>32878</v>
      </c>
      <c r="U542" s="25">
        <f t="shared" si="148"/>
        <v>789072</v>
      </c>
      <c r="V542" s="456"/>
      <c r="W542" s="792"/>
      <c r="X542" s="822"/>
      <c r="Y542" s="821"/>
      <c r="Z542" s="25">
        <f t="shared" si="149"/>
        <v>0</v>
      </c>
    </row>
    <row r="543" spans="1:26" ht="16.5" customHeight="1">
      <c r="A543" s="777">
        <f t="shared" si="144"/>
        <v>198</v>
      </c>
      <c r="B543" s="192" t="s">
        <v>1364</v>
      </c>
      <c r="C543" s="25">
        <f t="shared" si="145"/>
        <v>4324060</v>
      </c>
      <c r="D543" s="778">
        <f t="shared" si="142"/>
        <v>102270.39099449998</v>
      </c>
      <c r="E543" s="778">
        <f t="shared" si="142"/>
        <v>32361.589659083613</v>
      </c>
      <c r="F543" s="778">
        <f t="shared" si="142"/>
        <v>69775.504526291013</v>
      </c>
      <c r="G543" s="778">
        <f t="shared" si="142"/>
        <v>5577.1438354698566</v>
      </c>
      <c r="H543" s="778">
        <f t="shared" si="142"/>
        <v>101547.28529543948</v>
      </c>
      <c r="I543" s="778">
        <f t="shared" si="142"/>
        <v>26080.21400903118</v>
      </c>
      <c r="J543" s="365">
        <f t="shared" si="142"/>
        <v>0</v>
      </c>
      <c r="K543" s="25">
        <f t="shared" si="146"/>
        <v>4661671.1283198157</v>
      </c>
      <c r="L543" s="256">
        <v>260</v>
      </c>
      <c r="M543" s="778">
        <f t="shared" si="147"/>
        <v>17929.504339691601</v>
      </c>
      <c r="N543" s="678">
        <v>23012</v>
      </c>
      <c r="O543" s="678"/>
      <c r="P543" s="40" t="s">
        <v>656</v>
      </c>
      <c r="Q543" s="191">
        <v>40899</v>
      </c>
      <c r="R543" s="793"/>
      <c r="S543" s="306">
        <f>L543</f>
        <v>260</v>
      </c>
      <c r="T543" s="821">
        <v>16631</v>
      </c>
      <c r="U543" s="25">
        <f t="shared" si="148"/>
        <v>4324060</v>
      </c>
      <c r="V543" s="456"/>
      <c r="W543" s="792"/>
      <c r="X543" s="822"/>
      <c r="Y543" s="821"/>
      <c r="Z543" s="25">
        <f t="shared" si="149"/>
        <v>0</v>
      </c>
    </row>
    <row r="544" spans="1:26" ht="16.5" customHeight="1">
      <c r="A544" s="777">
        <f t="shared" si="144"/>
        <v>199</v>
      </c>
      <c r="B544" s="192" t="s">
        <v>1377</v>
      </c>
      <c r="C544" s="25">
        <f t="shared" si="145"/>
        <v>190981</v>
      </c>
      <c r="D544" s="778">
        <f t="shared" si="142"/>
        <v>107777.25820189613</v>
      </c>
      <c r="E544" s="778">
        <f t="shared" ref="D544:J580" si="150">IF($L$588&lt;&gt;0,E$588/$L$588*$L544,0)</f>
        <v>34104.136794572732</v>
      </c>
      <c r="F544" s="778">
        <f t="shared" si="150"/>
        <v>73532.647077706672</v>
      </c>
      <c r="G544" s="778">
        <f t="shared" si="150"/>
        <v>5877.4515804566954</v>
      </c>
      <c r="H544" s="778">
        <f t="shared" si="150"/>
        <v>107015.21604211698</v>
      </c>
      <c r="I544" s="778">
        <f t="shared" si="150"/>
        <v>27484.53322490209</v>
      </c>
      <c r="J544" s="365">
        <f t="shared" si="150"/>
        <v>0</v>
      </c>
      <c r="K544" s="25">
        <f t="shared" si="146"/>
        <v>546771.24292165134</v>
      </c>
      <c r="L544" s="256">
        <v>274</v>
      </c>
      <c r="M544" s="778">
        <f t="shared" si="147"/>
        <v>1995.5154851155157</v>
      </c>
      <c r="N544" s="678">
        <v>1474</v>
      </c>
      <c r="O544" s="678"/>
      <c r="P544" s="40" t="s">
        <v>639</v>
      </c>
      <c r="Q544" s="191">
        <v>40899</v>
      </c>
      <c r="R544" s="793"/>
      <c r="S544" s="306">
        <v>7</v>
      </c>
      <c r="T544" s="821">
        <v>27283</v>
      </c>
      <c r="U544" s="25">
        <f t="shared" si="148"/>
        <v>190981</v>
      </c>
      <c r="V544" s="456"/>
      <c r="W544" s="792"/>
      <c r="X544" s="822"/>
      <c r="Y544" s="821"/>
      <c r="Z544" s="25">
        <f t="shared" si="149"/>
        <v>0</v>
      </c>
    </row>
    <row r="545" spans="1:26" ht="16.5" customHeight="1">
      <c r="A545" s="777">
        <f t="shared" si="144"/>
        <v>200</v>
      </c>
      <c r="B545" s="192" t="s">
        <v>1378</v>
      </c>
      <c r="C545" s="25">
        <f t="shared" si="145"/>
        <v>27283</v>
      </c>
      <c r="D545" s="778">
        <f t="shared" si="150"/>
        <v>17307.296937530766</v>
      </c>
      <c r="E545" s="778">
        <f t="shared" si="150"/>
        <v>5476.5767115372273</v>
      </c>
      <c r="F545" s="778">
        <f t="shared" si="150"/>
        <v>11808.162304449248</v>
      </c>
      <c r="G545" s="778">
        <f t="shared" si="150"/>
        <v>943.82434138720657</v>
      </c>
      <c r="H545" s="778">
        <f t="shared" si="150"/>
        <v>17184.925203843603</v>
      </c>
      <c r="I545" s="778">
        <f t="shared" si="150"/>
        <v>4413.5746784514304</v>
      </c>
      <c r="J545" s="365">
        <f t="shared" si="150"/>
        <v>0</v>
      </c>
      <c r="K545" s="25">
        <f t="shared" si="146"/>
        <v>84416.360177199487</v>
      </c>
      <c r="L545" s="256">
        <v>44</v>
      </c>
      <c r="M545" s="778">
        <f t="shared" si="147"/>
        <v>1918.5536403908975</v>
      </c>
      <c r="N545" s="678">
        <v>1146</v>
      </c>
      <c r="O545" s="678"/>
      <c r="P545" s="40" t="s">
        <v>639</v>
      </c>
      <c r="Q545" s="191">
        <v>40899</v>
      </c>
      <c r="R545" s="793"/>
      <c r="S545" s="306">
        <v>1</v>
      </c>
      <c r="T545" s="821">
        <v>27283</v>
      </c>
      <c r="U545" s="25">
        <f t="shared" si="148"/>
        <v>27283</v>
      </c>
      <c r="V545" s="456"/>
      <c r="W545" s="792"/>
      <c r="X545" s="822"/>
      <c r="Y545" s="821"/>
      <c r="Z545" s="25">
        <f t="shared" si="149"/>
        <v>0</v>
      </c>
    </row>
    <row r="546" spans="1:26" ht="16.5" customHeight="1">
      <c r="A546" s="777">
        <f t="shared" si="144"/>
        <v>201</v>
      </c>
      <c r="B546" s="192" t="s">
        <v>1379</v>
      </c>
      <c r="C546" s="25">
        <f t="shared" si="145"/>
        <v>95256</v>
      </c>
      <c r="D546" s="778">
        <f t="shared" si="150"/>
        <v>103057.08630984229</v>
      </c>
      <c r="E546" s="778">
        <f t="shared" si="150"/>
        <v>32610.524964153487</v>
      </c>
      <c r="F546" s="778">
        <f t="shared" si="150"/>
        <v>70312.23917649324</v>
      </c>
      <c r="G546" s="778">
        <f t="shared" si="150"/>
        <v>5620.0449418965482</v>
      </c>
      <c r="H546" s="778">
        <f t="shared" si="150"/>
        <v>102328.41825925054</v>
      </c>
      <c r="I546" s="778">
        <f t="shared" si="150"/>
        <v>26280.831039869881</v>
      </c>
      <c r="J546" s="365">
        <f t="shared" si="150"/>
        <v>0</v>
      </c>
      <c r="K546" s="25">
        <f t="shared" si="146"/>
        <v>435464.14469150599</v>
      </c>
      <c r="L546" s="256">
        <v>262</v>
      </c>
      <c r="M546" s="778">
        <f t="shared" si="147"/>
        <v>1662.0768881355191</v>
      </c>
      <c r="N546" s="678">
        <v>1187</v>
      </c>
      <c r="O546" s="678"/>
      <c r="P546" s="40" t="s">
        <v>640</v>
      </c>
      <c r="Q546" s="191">
        <v>40899</v>
      </c>
      <c r="R546" s="793"/>
      <c r="S546" s="306">
        <v>3</v>
      </c>
      <c r="T546" s="821">
        <v>31752</v>
      </c>
      <c r="U546" s="25">
        <f t="shared" si="148"/>
        <v>95256</v>
      </c>
      <c r="V546" s="456"/>
      <c r="W546" s="792"/>
      <c r="X546" s="822"/>
      <c r="Y546" s="821"/>
      <c r="Z546" s="25">
        <f t="shared" si="149"/>
        <v>0</v>
      </c>
    </row>
    <row r="547" spans="1:26" ht="16.5" customHeight="1">
      <c r="A547" s="777">
        <f t="shared" si="144"/>
        <v>202</v>
      </c>
      <c r="B547" s="192" t="s">
        <v>1380</v>
      </c>
      <c r="C547" s="25">
        <f t="shared" si="145"/>
        <v>232740</v>
      </c>
      <c r="D547" s="778">
        <f t="shared" si="150"/>
        <v>103057.08630984229</v>
      </c>
      <c r="E547" s="778">
        <f t="shared" si="150"/>
        <v>32610.524964153487</v>
      </c>
      <c r="F547" s="778">
        <f t="shared" si="150"/>
        <v>70312.23917649324</v>
      </c>
      <c r="G547" s="778">
        <f t="shared" si="150"/>
        <v>5620.0449418965482</v>
      </c>
      <c r="H547" s="778">
        <f t="shared" si="150"/>
        <v>102328.41825925054</v>
      </c>
      <c r="I547" s="778">
        <f t="shared" si="150"/>
        <v>26280.831039869881</v>
      </c>
      <c r="J547" s="365">
        <f t="shared" si="150"/>
        <v>0</v>
      </c>
      <c r="K547" s="25">
        <f t="shared" si="146"/>
        <v>572948.14469150605</v>
      </c>
      <c r="L547" s="256">
        <v>262</v>
      </c>
      <c r="M547" s="778">
        <f t="shared" si="147"/>
        <v>2186.8249797385729</v>
      </c>
      <c r="N547" s="678">
        <v>1515</v>
      </c>
      <c r="O547" s="678"/>
      <c r="P547" s="189" t="s">
        <v>507</v>
      </c>
      <c r="Q547" s="191">
        <v>40899</v>
      </c>
      <c r="R547" s="793"/>
      <c r="S547" s="306">
        <v>27</v>
      </c>
      <c r="T547" s="821">
        <v>8620</v>
      </c>
      <c r="U547" s="25">
        <f t="shared" si="148"/>
        <v>232740</v>
      </c>
      <c r="V547" s="456"/>
      <c r="W547" s="792"/>
      <c r="X547" s="822"/>
      <c r="Y547" s="821"/>
      <c r="Z547" s="25">
        <f t="shared" si="149"/>
        <v>0</v>
      </c>
    </row>
    <row r="548" spans="1:26" ht="16.5" customHeight="1">
      <c r="A548" s="777">
        <f t="shared" si="144"/>
        <v>203</v>
      </c>
      <c r="B548" s="192" t="s">
        <v>1381</v>
      </c>
      <c r="C548" s="25">
        <f t="shared" si="145"/>
        <v>245547</v>
      </c>
      <c r="D548" s="778">
        <f t="shared" si="150"/>
        <v>125084.55513942688</v>
      </c>
      <c r="E548" s="778">
        <f t="shared" si="150"/>
        <v>39580.713506109954</v>
      </c>
      <c r="F548" s="778">
        <f t="shared" si="150"/>
        <v>85340.809382155931</v>
      </c>
      <c r="G548" s="778">
        <f t="shared" si="150"/>
        <v>6821.2759218439023</v>
      </c>
      <c r="H548" s="778">
        <f t="shared" si="150"/>
        <v>124200.14124596058</v>
      </c>
      <c r="I548" s="778">
        <f t="shared" si="150"/>
        <v>31898.107903353521</v>
      </c>
      <c r="J548" s="365">
        <f t="shared" si="150"/>
        <v>0</v>
      </c>
      <c r="K548" s="25">
        <f t="shared" si="146"/>
        <v>658471.60309885081</v>
      </c>
      <c r="L548" s="256">
        <v>318</v>
      </c>
      <c r="M548" s="778">
        <f t="shared" si="147"/>
        <v>2070.6654185498455</v>
      </c>
      <c r="N548" s="678">
        <v>1556</v>
      </c>
      <c r="O548" s="678"/>
      <c r="P548" s="40" t="s">
        <v>639</v>
      </c>
      <c r="Q548" s="191">
        <v>40899</v>
      </c>
      <c r="R548" s="793"/>
      <c r="S548" s="306">
        <v>9</v>
      </c>
      <c r="T548" s="821">
        <v>27283</v>
      </c>
      <c r="U548" s="25">
        <f t="shared" si="148"/>
        <v>245547</v>
      </c>
      <c r="V548" s="456"/>
      <c r="W548" s="792"/>
      <c r="X548" s="822"/>
      <c r="Y548" s="821"/>
      <c r="Z548" s="25">
        <f t="shared" si="149"/>
        <v>0</v>
      </c>
    </row>
    <row r="549" spans="1:26" ht="16.5" customHeight="1">
      <c r="A549" s="777">
        <f t="shared" si="144"/>
        <v>204</v>
      </c>
      <c r="B549" s="192" t="s">
        <v>1382</v>
      </c>
      <c r="C549" s="25">
        <f t="shared" si="145"/>
        <v>2637180</v>
      </c>
      <c r="D549" s="778">
        <f t="shared" si="150"/>
        <v>154192.28180709228</v>
      </c>
      <c r="E549" s="778">
        <f t="shared" si="150"/>
        <v>48791.319793695293</v>
      </c>
      <c r="F549" s="778">
        <f t="shared" si="150"/>
        <v>105199.99143963875</v>
      </c>
      <c r="G549" s="778">
        <f t="shared" si="150"/>
        <v>8408.6168596314765</v>
      </c>
      <c r="H549" s="778">
        <f t="shared" si="150"/>
        <v>153102.06090697029</v>
      </c>
      <c r="I549" s="778">
        <f t="shared" si="150"/>
        <v>39320.938044385475</v>
      </c>
      <c r="J549" s="365">
        <f t="shared" si="150"/>
        <v>0</v>
      </c>
      <c r="K549" s="25">
        <f t="shared" si="146"/>
        <v>3146194.2088514138</v>
      </c>
      <c r="L549" s="256">
        <v>392</v>
      </c>
      <c r="M549" s="778">
        <f t="shared" si="147"/>
        <v>8026.0056348250355</v>
      </c>
      <c r="N549" s="678">
        <v>11800</v>
      </c>
      <c r="O549" s="678"/>
      <c r="P549" s="40" t="s">
        <v>655</v>
      </c>
      <c r="Q549" s="191">
        <v>40907</v>
      </c>
      <c r="R549" s="793"/>
      <c r="S549" s="306">
        <v>196</v>
      </c>
      <c r="T549" s="821">
        <v>13455</v>
      </c>
      <c r="U549" s="25">
        <f t="shared" si="148"/>
        <v>2637180</v>
      </c>
      <c r="V549" s="456"/>
      <c r="W549" s="792"/>
      <c r="X549" s="822"/>
      <c r="Y549" s="821"/>
      <c r="Z549" s="25">
        <f t="shared" si="149"/>
        <v>0</v>
      </c>
    </row>
    <row r="550" spans="1:26" ht="16.5" customHeight="1">
      <c r="A550" s="777">
        <f t="shared" si="144"/>
        <v>205</v>
      </c>
      <c r="B550" s="192" t="s">
        <v>1384</v>
      </c>
      <c r="C550" s="25">
        <f t="shared" si="145"/>
        <v>1068535</v>
      </c>
      <c r="D550" s="778">
        <f t="shared" si="150"/>
        <v>25567.597748624994</v>
      </c>
      <c r="E550" s="778">
        <f t="shared" si="150"/>
        <v>8090.3974147709032</v>
      </c>
      <c r="F550" s="778">
        <f t="shared" si="150"/>
        <v>17443.876131572753</v>
      </c>
      <c r="G550" s="778">
        <f t="shared" si="150"/>
        <v>1394.2859588674642</v>
      </c>
      <c r="H550" s="778">
        <f t="shared" si="150"/>
        <v>25386.821323859869</v>
      </c>
      <c r="I550" s="778">
        <f t="shared" si="150"/>
        <v>6520.0535022577951</v>
      </c>
      <c r="J550" s="365">
        <f t="shared" si="150"/>
        <v>0</v>
      </c>
      <c r="K550" s="25">
        <f t="shared" si="146"/>
        <v>1152937.0320799539</v>
      </c>
      <c r="L550" s="256">
        <v>65</v>
      </c>
      <c r="M550" s="778">
        <f t="shared" si="147"/>
        <v>17737.492801230059</v>
      </c>
      <c r="N550" s="678">
        <v>22324</v>
      </c>
      <c r="O550" s="678"/>
      <c r="P550" s="40" t="s">
        <v>645</v>
      </c>
      <c r="Q550" s="191">
        <v>40907</v>
      </c>
      <c r="R550" s="793"/>
      <c r="S550" s="306">
        <f>L550/2</f>
        <v>32.5</v>
      </c>
      <c r="T550" s="821">
        <v>32878</v>
      </c>
      <c r="U550" s="25">
        <f t="shared" si="148"/>
        <v>1068535</v>
      </c>
      <c r="V550" s="456"/>
      <c r="W550" s="792"/>
      <c r="X550" s="822"/>
      <c r="Y550" s="821"/>
      <c r="Z550" s="25">
        <f t="shared" si="149"/>
        <v>0</v>
      </c>
    </row>
    <row r="551" spans="1:26" ht="16.5" customHeight="1">
      <c r="A551" s="777">
        <f t="shared" si="144"/>
        <v>206</v>
      </c>
      <c r="B551" s="192" t="s">
        <v>1385</v>
      </c>
      <c r="C551" s="25">
        <f t="shared" si="145"/>
        <v>174270</v>
      </c>
      <c r="D551" s="778">
        <f t="shared" si="150"/>
        <v>3933.4765767115373</v>
      </c>
      <c r="E551" s="778">
        <f t="shared" si="150"/>
        <v>1244.6765253493697</v>
      </c>
      <c r="F551" s="778">
        <f t="shared" si="150"/>
        <v>2683.6732510111924</v>
      </c>
      <c r="G551" s="778">
        <f t="shared" si="150"/>
        <v>214.50553213345603</v>
      </c>
      <c r="H551" s="778">
        <f t="shared" si="150"/>
        <v>3905.6648190553642</v>
      </c>
      <c r="I551" s="778">
        <f t="shared" si="150"/>
        <v>1003.0851541935069</v>
      </c>
      <c r="J551" s="365">
        <f t="shared" si="150"/>
        <v>0</v>
      </c>
      <c r="K551" s="25">
        <f t="shared" si="146"/>
        <v>187254.08185845445</v>
      </c>
      <c r="L551" s="256">
        <v>10</v>
      </c>
      <c r="M551" s="778">
        <f t="shared" si="147"/>
        <v>18725.408185845445</v>
      </c>
      <c r="N551" s="678">
        <v>18984</v>
      </c>
      <c r="O551" s="678"/>
      <c r="P551" s="189" t="s">
        <v>490</v>
      </c>
      <c r="Q551" s="191">
        <v>40907</v>
      </c>
      <c r="R551" s="793"/>
      <c r="S551" s="306">
        <f>L551</f>
        <v>10</v>
      </c>
      <c r="T551" s="821">
        <v>17427</v>
      </c>
      <c r="U551" s="25">
        <f t="shared" si="148"/>
        <v>174270</v>
      </c>
      <c r="V551" s="456"/>
      <c r="W551" s="792"/>
      <c r="X551" s="822"/>
      <c r="Y551" s="821"/>
      <c r="Z551" s="25">
        <f t="shared" si="149"/>
        <v>0</v>
      </c>
    </row>
    <row r="552" spans="1:26" ht="16.5" customHeight="1">
      <c r="A552" s="777">
        <f t="shared" si="144"/>
        <v>207</v>
      </c>
      <c r="B552" s="192" t="s">
        <v>1386</v>
      </c>
      <c r="C552" s="25">
        <f t="shared" si="145"/>
        <v>1762886</v>
      </c>
      <c r="D552" s="778">
        <f t="shared" si="150"/>
        <v>41694.8517131423</v>
      </c>
      <c r="E552" s="778">
        <f t="shared" si="150"/>
        <v>13193.57116870332</v>
      </c>
      <c r="F552" s="778">
        <f t="shared" si="150"/>
        <v>28446.936460718644</v>
      </c>
      <c r="G552" s="778">
        <f t="shared" si="150"/>
        <v>2273.7586406146338</v>
      </c>
      <c r="H552" s="778">
        <f t="shared" si="150"/>
        <v>41400.047081986864</v>
      </c>
      <c r="I552" s="778">
        <f t="shared" si="150"/>
        <v>10632.702634451174</v>
      </c>
      <c r="J552" s="365">
        <f t="shared" si="150"/>
        <v>0</v>
      </c>
      <c r="K552" s="25">
        <f t="shared" si="146"/>
        <v>1900526.8676996171</v>
      </c>
      <c r="L552" s="256">
        <v>106</v>
      </c>
      <c r="M552" s="778">
        <f t="shared" si="147"/>
        <v>17929.49875188318</v>
      </c>
      <c r="N552" s="678">
        <v>24273</v>
      </c>
      <c r="O552" s="678"/>
      <c r="P552" s="40" t="s">
        <v>656</v>
      </c>
      <c r="Q552" s="191">
        <v>40907</v>
      </c>
      <c r="R552" s="793"/>
      <c r="S552" s="306">
        <f>L552</f>
        <v>106</v>
      </c>
      <c r="T552" s="821">
        <v>16631</v>
      </c>
      <c r="U552" s="25">
        <f t="shared" si="148"/>
        <v>1762886</v>
      </c>
      <c r="V552" s="456"/>
      <c r="W552" s="792"/>
      <c r="X552" s="822"/>
      <c r="Y552" s="821"/>
      <c r="Z552" s="25">
        <f t="shared" si="149"/>
        <v>0</v>
      </c>
    </row>
    <row r="553" spans="1:26" ht="16.5" customHeight="1">
      <c r="A553" s="777">
        <f t="shared" si="144"/>
        <v>208</v>
      </c>
      <c r="B553" s="192" t="s">
        <v>1387</v>
      </c>
      <c r="C553" s="25">
        <f t="shared" si="145"/>
        <v>1022580</v>
      </c>
      <c r="D553" s="778">
        <f t="shared" si="150"/>
        <v>29894.421983007684</v>
      </c>
      <c r="E553" s="778">
        <f t="shared" si="150"/>
        <v>9459.5415926552105</v>
      </c>
      <c r="F553" s="778">
        <f t="shared" si="150"/>
        <v>20395.916707685064</v>
      </c>
      <c r="G553" s="778">
        <f t="shared" si="150"/>
        <v>1630.2420442142659</v>
      </c>
      <c r="H553" s="778">
        <f t="shared" si="150"/>
        <v>29683.052624820768</v>
      </c>
      <c r="I553" s="778">
        <f t="shared" si="150"/>
        <v>7623.4471718706527</v>
      </c>
      <c r="J553" s="365">
        <f t="shared" si="150"/>
        <v>0</v>
      </c>
      <c r="K553" s="25">
        <f t="shared" si="146"/>
        <v>1121265.6221242533</v>
      </c>
      <c r="L553" s="256">
        <v>76</v>
      </c>
      <c r="M553" s="778">
        <f t="shared" si="147"/>
        <v>14753.495027950701</v>
      </c>
      <c r="N553" s="678">
        <v>17216</v>
      </c>
      <c r="O553" s="678"/>
      <c r="P553" s="40" t="s">
        <v>655</v>
      </c>
      <c r="Q553" s="191">
        <v>40907</v>
      </c>
      <c r="R553" s="793"/>
      <c r="S553" s="306">
        <f>L553</f>
        <v>76</v>
      </c>
      <c r="T553" s="821">
        <v>13455</v>
      </c>
      <c r="U553" s="25">
        <f t="shared" si="148"/>
        <v>1022580</v>
      </c>
      <c r="V553" s="456"/>
      <c r="W553" s="792"/>
      <c r="X553" s="822"/>
      <c r="Y553" s="821"/>
      <c r="Z553" s="25">
        <f t="shared" si="149"/>
        <v>0</v>
      </c>
    </row>
    <row r="554" spans="1:26" ht="16.5" customHeight="1">
      <c r="A554" s="777">
        <f t="shared" si="144"/>
        <v>209</v>
      </c>
      <c r="B554" s="192" t="s">
        <v>1364</v>
      </c>
      <c r="C554" s="25">
        <f t="shared" si="145"/>
        <v>3459248</v>
      </c>
      <c r="D554" s="778">
        <f t="shared" si="150"/>
        <v>81816.312795599981</v>
      </c>
      <c r="E554" s="778">
        <f t="shared" si="150"/>
        <v>25889.271727266889</v>
      </c>
      <c r="F554" s="778">
        <f t="shared" si="150"/>
        <v>55820.403621032805</v>
      </c>
      <c r="G554" s="778">
        <f t="shared" si="150"/>
        <v>4461.7150683758855</v>
      </c>
      <c r="H554" s="778">
        <f t="shared" si="150"/>
        <v>81237.828236351575</v>
      </c>
      <c r="I554" s="778">
        <f t="shared" si="150"/>
        <v>20864.171207224947</v>
      </c>
      <c r="J554" s="365">
        <f t="shared" si="150"/>
        <v>0</v>
      </c>
      <c r="K554" s="25">
        <f t="shared" si="146"/>
        <v>3729336.7026558518</v>
      </c>
      <c r="L554" s="256">
        <v>208</v>
      </c>
      <c r="M554" s="778">
        <f t="shared" si="147"/>
        <v>17929.503378153135</v>
      </c>
      <c r="N554" s="678">
        <v>23012</v>
      </c>
      <c r="O554" s="678"/>
      <c r="P554" s="40" t="s">
        <v>656</v>
      </c>
      <c r="Q554" s="191">
        <v>40907</v>
      </c>
      <c r="R554" s="793"/>
      <c r="S554" s="306">
        <f>L554</f>
        <v>208</v>
      </c>
      <c r="T554" s="821">
        <v>16631</v>
      </c>
      <c r="U554" s="25">
        <f t="shared" si="148"/>
        <v>3459248</v>
      </c>
      <c r="V554" s="456"/>
      <c r="W554" s="792"/>
      <c r="X554" s="822"/>
      <c r="Y554" s="821"/>
      <c r="Z554" s="25">
        <f t="shared" si="149"/>
        <v>0</v>
      </c>
    </row>
    <row r="555" spans="1:26" ht="16.5" customHeight="1">
      <c r="A555" s="777">
        <f t="shared" si="144"/>
        <v>210</v>
      </c>
      <c r="B555" s="192" t="s">
        <v>1388</v>
      </c>
      <c r="C555" s="25">
        <f t="shared" si="145"/>
        <v>8620</v>
      </c>
      <c r="D555" s="778">
        <f t="shared" si="150"/>
        <v>393.34765767115374</v>
      </c>
      <c r="E555" s="778">
        <f t="shared" si="150"/>
        <v>124.46765253493697</v>
      </c>
      <c r="F555" s="778">
        <f t="shared" si="150"/>
        <v>268.36732510111926</v>
      </c>
      <c r="G555" s="778">
        <f t="shared" si="150"/>
        <v>21.450553213345604</v>
      </c>
      <c r="H555" s="778">
        <f t="shared" si="150"/>
        <v>390.56648190553642</v>
      </c>
      <c r="I555" s="778">
        <f t="shared" si="150"/>
        <v>100.3085154193507</v>
      </c>
      <c r="J555" s="365">
        <f t="shared" si="150"/>
        <v>0</v>
      </c>
      <c r="K555" s="25">
        <f t="shared" si="146"/>
        <v>9917.5081858454432</v>
      </c>
      <c r="L555" s="256">
        <v>1</v>
      </c>
      <c r="M555" s="778">
        <f t="shared" si="147"/>
        <v>9917.5081858454432</v>
      </c>
      <c r="N555" s="678">
        <v>10643</v>
      </c>
      <c r="O555" s="678"/>
      <c r="P555" s="189" t="s">
        <v>507</v>
      </c>
      <c r="Q555" s="191">
        <v>40907</v>
      </c>
      <c r="R555" s="793"/>
      <c r="S555" s="306">
        <f>L555</f>
        <v>1</v>
      </c>
      <c r="T555" s="821">
        <v>8620</v>
      </c>
      <c r="U555" s="25">
        <f t="shared" si="148"/>
        <v>8620</v>
      </c>
      <c r="V555" s="456"/>
      <c r="W555" s="792"/>
      <c r="X555" s="822"/>
      <c r="Y555" s="821"/>
      <c r="Z555" s="25">
        <f t="shared" si="149"/>
        <v>0</v>
      </c>
    </row>
    <row r="556" spans="1:26" ht="16.5" customHeight="1">
      <c r="A556" s="777">
        <f t="shared" si="144"/>
        <v>211</v>
      </c>
      <c r="B556" s="192" t="s">
        <v>1389</v>
      </c>
      <c r="C556" s="25">
        <f t="shared" si="145"/>
        <v>131512</v>
      </c>
      <c r="D556" s="778">
        <f t="shared" si="150"/>
        <v>4720.1718920538451</v>
      </c>
      <c r="E556" s="778">
        <f t="shared" si="150"/>
        <v>1493.6118304192437</v>
      </c>
      <c r="F556" s="778">
        <f t="shared" si="150"/>
        <v>3220.4079012134312</v>
      </c>
      <c r="G556" s="778">
        <f t="shared" si="150"/>
        <v>257.40663856014726</v>
      </c>
      <c r="H556" s="778">
        <f t="shared" si="150"/>
        <v>4686.797782866437</v>
      </c>
      <c r="I556" s="778">
        <f t="shared" si="150"/>
        <v>1203.7021850322085</v>
      </c>
      <c r="J556" s="365">
        <f t="shared" si="150"/>
        <v>0</v>
      </c>
      <c r="K556" s="25">
        <f t="shared" si="146"/>
        <v>147093.09823014532</v>
      </c>
      <c r="L556" s="256">
        <v>12</v>
      </c>
      <c r="M556" s="778">
        <f t="shared" si="147"/>
        <v>12257.758185845443</v>
      </c>
      <c r="N556" s="678">
        <v>14530</v>
      </c>
      <c r="O556" s="678"/>
      <c r="P556" s="40" t="s">
        <v>645</v>
      </c>
      <c r="Q556" s="191">
        <v>40907</v>
      </c>
      <c r="R556" s="793"/>
      <c r="S556" s="306">
        <v>4</v>
      </c>
      <c r="T556" s="821">
        <v>32878</v>
      </c>
      <c r="U556" s="25">
        <f t="shared" si="148"/>
        <v>131512</v>
      </c>
      <c r="V556" s="456"/>
      <c r="W556" s="792"/>
      <c r="X556" s="822"/>
      <c r="Y556" s="821"/>
      <c r="Z556" s="25">
        <f t="shared" si="149"/>
        <v>0</v>
      </c>
    </row>
    <row r="557" spans="1:26" ht="16.5" customHeight="1">
      <c r="A557" s="777">
        <f t="shared" si="144"/>
        <v>212</v>
      </c>
      <c r="B557" s="192" t="s">
        <v>932</v>
      </c>
      <c r="C557" s="25">
        <f t="shared" si="145"/>
        <v>905814</v>
      </c>
      <c r="D557" s="778">
        <f t="shared" si="150"/>
        <v>35794.636848074988</v>
      </c>
      <c r="E557" s="778">
        <f t="shared" si="150"/>
        <v>11326.556380679265</v>
      </c>
      <c r="F557" s="778">
        <f t="shared" si="150"/>
        <v>24421.426584201854</v>
      </c>
      <c r="G557" s="778">
        <f t="shared" si="150"/>
        <v>1952.00034241445</v>
      </c>
      <c r="H557" s="778">
        <f t="shared" si="150"/>
        <v>35541.549853403812</v>
      </c>
      <c r="I557" s="778">
        <f t="shared" si="150"/>
        <v>9128.0749031609139</v>
      </c>
      <c r="J557" s="365">
        <f t="shared" si="150"/>
        <v>0</v>
      </c>
      <c r="K557" s="25">
        <f t="shared" si="146"/>
        <v>1023977.2449119353</v>
      </c>
      <c r="L557" s="256">
        <v>91</v>
      </c>
      <c r="M557" s="778">
        <f t="shared" si="147"/>
        <v>11252.497196834454</v>
      </c>
      <c r="N557" s="678">
        <v>11840</v>
      </c>
      <c r="O557" s="678"/>
      <c r="P557" s="189" t="s">
        <v>630</v>
      </c>
      <c r="Q557" s="191">
        <v>40907</v>
      </c>
      <c r="R557" s="793"/>
      <c r="S557" s="306">
        <f>L557</f>
        <v>91</v>
      </c>
      <c r="T557" s="821">
        <v>9954</v>
      </c>
      <c r="U557" s="25">
        <f t="shared" si="148"/>
        <v>905814</v>
      </c>
      <c r="V557" s="456"/>
      <c r="W557" s="792"/>
      <c r="X557" s="822"/>
      <c r="Y557" s="821"/>
      <c r="Z557" s="25">
        <f t="shared" si="149"/>
        <v>0</v>
      </c>
    </row>
    <row r="558" spans="1:26" ht="16.5" customHeight="1">
      <c r="A558" s="777">
        <f t="shared" si="144"/>
        <v>213</v>
      </c>
      <c r="B558" s="192" t="s">
        <v>1390</v>
      </c>
      <c r="C558" s="25">
        <f t="shared" si="145"/>
        <v>537516</v>
      </c>
      <c r="D558" s="778">
        <f t="shared" si="150"/>
        <v>448416.32974511525</v>
      </c>
      <c r="E558" s="778">
        <f t="shared" si="150"/>
        <v>141893.12388982816</v>
      </c>
      <c r="F558" s="778">
        <f t="shared" si="150"/>
        <v>305938.75061527599</v>
      </c>
      <c r="G558" s="778">
        <f t="shared" si="150"/>
        <v>24453.630663213989</v>
      </c>
      <c r="H558" s="778">
        <f t="shared" si="150"/>
        <v>445245.7893723115</v>
      </c>
      <c r="I558" s="778">
        <f t="shared" si="150"/>
        <v>114351.7075780598</v>
      </c>
      <c r="J558" s="365">
        <f t="shared" si="150"/>
        <v>0</v>
      </c>
      <c r="K558" s="25">
        <f t="shared" si="146"/>
        <v>2017814.3318638045</v>
      </c>
      <c r="L558" s="256">
        <v>1140</v>
      </c>
      <c r="M558" s="778">
        <f t="shared" si="147"/>
        <v>1770.0125718103548</v>
      </c>
      <c r="N558" s="678">
        <v>1310</v>
      </c>
      <c r="O558" s="678"/>
      <c r="P558" s="189" t="s">
        <v>630</v>
      </c>
      <c r="Q558" s="191">
        <v>40907</v>
      </c>
      <c r="R558" s="793"/>
      <c r="S558" s="306">
        <v>54</v>
      </c>
      <c r="T558" s="821">
        <v>9954</v>
      </c>
      <c r="U558" s="25">
        <f t="shared" si="148"/>
        <v>537516</v>
      </c>
      <c r="V558" s="456"/>
      <c r="W558" s="792"/>
      <c r="X558" s="822"/>
      <c r="Y558" s="821"/>
      <c r="Z558" s="25">
        <f t="shared" si="149"/>
        <v>0</v>
      </c>
    </row>
    <row r="559" spans="1:26" ht="16.5" customHeight="1">
      <c r="A559" s="777">
        <f t="shared" si="144"/>
        <v>214</v>
      </c>
      <c r="B559" s="192" t="s">
        <v>1381</v>
      </c>
      <c r="C559" s="25">
        <f t="shared" si="145"/>
        <v>537516</v>
      </c>
      <c r="D559" s="778">
        <f t="shared" si="150"/>
        <v>448416.32974511525</v>
      </c>
      <c r="E559" s="778">
        <f t="shared" si="150"/>
        <v>141893.12388982816</v>
      </c>
      <c r="F559" s="778">
        <f t="shared" si="150"/>
        <v>305938.75061527599</v>
      </c>
      <c r="G559" s="778">
        <f t="shared" si="150"/>
        <v>24453.630663213989</v>
      </c>
      <c r="H559" s="778">
        <f t="shared" si="150"/>
        <v>445245.7893723115</v>
      </c>
      <c r="I559" s="778">
        <f t="shared" si="150"/>
        <v>114351.7075780598</v>
      </c>
      <c r="J559" s="365">
        <f t="shared" si="150"/>
        <v>0</v>
      </c>
      <c r="K559" s="25">
        <f t="shared" si="146"/>
        <v>2017814.3318638045</v>
      </c>
      <c r="L559" s="256">
        <v>1140</v>
      </c>
      <c r="M559" s="778">
        <f t="shared" si="147"/>
        <v>1770.0125718103548</v>
      </c>
      <c r="N559" s="678">
        <v>1556</v>
      </c>
      <c r="O559" s="678"/>
      <c r="P559" s="189" t="s">
        <v>630</v>
      </c>
      <c r="Q559" s="191">
        <v>40907</v>
      </c>
      <c r="R559" s="793"/>
      <c r="S559" s="306">
        <v>54</v>
      </c>
      <c r="T559" s="821">
        <v>9954</v>
      </c>
      <c r="U559" s="25">
        <f t="shared" si="148"/>
        <v>537516</v>
      </c>
      <c r="V559" s="456"/>
      <c r="W559" s="792"/>
      <c r="X559" s="822"/>
      <c r="Y559" s="821"/>
      <c r="Z559" s="25">
        <f t="shared" si="149"/>
        <v>0</v>
      </c>
    </row>
    <row r="560" spans="1:26" ht="16.5" customHeight="1">
      <c r="A560" s="777">
        <f t="shared" si="144"/>
        <v>215</v>
      </c>
      <c r="B560" s="192" t="s">
        <v>1359</v>
      </c>
      <c r="C560" s="25">
        <f t="shared" si="145"/>
        <v>17427</v>
      </c>
      <c r="D560" s="778">
        <f t="shared" si="150"/>
        <v>393.34765767115374</v>
      </c>
      <c r="E560" s="778">
        <f t="shared" si="150"/>
        <v>124.46765253493697</v>
      </c>
      <c r="F560" s="778">
        <f t="shared" si="150"/>
        <v>268.36732510111926</v>
      </c>
      <c r="G560" s="778">
        <f t="shared" si="150"/>
        <v>21.450553213345604</v>
      </c>
      <c r="H560" s="778">
        <f t="shared" si="150"/>
        <v>390.56648190553642</v>
      </c>
      <c r="I560" s="778">
        <f t="shared" si="150"/>
        <v>100.3085154193507</v>
      </c>
      <c r="J560" s="365">
        <f t="shared" si="150"/>
        <v>0</v>
      </c>
      <c r="K560" s="25">
        <f t="shared" si="146"/>
        <v>18724.508185845447</v>
      </c>
      <c r="L560" s="256">
        <v>1</v>
      </c>
      <c r="M560" s="778">
        <f t="shared" si="147"/>
        <v>18724.508185845447</v>
      </c>
      <c r="N560" s="678">
        <v>18928</v>
      </c>
      <c r="O560" s="678"/>
      <c r="P560" s="189" t="s">
        <v>490</v>
      </c>
      <c r="Q560" s="191">
        <v>40907</v>
      </c>
      <c r="R560" s="793"/>
      <c r="S560" s="306">
        <f t="shared" ref="S560:S567" si="151">L560</f>
        <v>1</v>
      </c>
      <c r="T560" s="821">
        <v>17427</v>
      </c>
      <c r="U560" s="25">
        <f t="shared" si="148"/>
        <v>17427</v>
      </c>
      <c r="V560" s="456"/>
      <c r="W560" s="792"/>
      <c r="X560" s="822"/>
      <c r="Y560" s="821"/>
      <c r="Z560" s="25">
        <f t="shared" si="149"/>
        <v>0</v>
      </c>
    </row>
    <row r="561" spans="1:26" ht="16.5" customHeight="1">
      <c r="A561" s="777">
        <f t="shared" si="144"/>
        <v>216</v>
      </c>
      <c r="B561" s="192" t="s">
        <v>1391</v>
      </c>
      <c r="C561" s="25">
        <f t="shared" si="145"/>
        <v>108101</v>
      </c>
      <c r="D561" s="778">
        <f t="shared" si="150"/>
        <v>2753.4336036980762</v>
      </c>
      <c r="E561" s="778">
        <f t="shared" si="150"/>
        <v>871.27356774455882</v>
      </c>
      <c r="F561" s="778">
        <f t="shared" si="150"/>
        <v>1878.571275707835</v>
      </c>
      <c r="G561" s="778">
        <f t="shared" si="150"/>
        <v>150.15387249341921</v>
      </c>
      <c r="H561" s="778">
        <f t="shared" si="150"/>
        <v>2733.9653733387549</v>
      </c>
      <c r="I561" s="778">
        <f t="shared" si="150"/>
        <v>702.15960793545491</v>
      </c>
      <c r="J561" s="365">
        <f t="shared" si="150"/>
        <v>0</v>
      </c>
      <c r="K561" s="25">
        <f t="shared" si="146"/>
        <v>117189.5573009181</v>
      </c>
      <c r="L561" s="256">
        <v>7</v>
      </c>
      <c r="M561" s="778">
        <f t="shared" si="147"/>
        <v>16741.365328702585</v>
      </c>
      <c r="N561" s="678">
        <v>17667</v>
      </c>
      <c r="O561" s="678"/>
      <c r="P561" s="40" t="s">
        <v>650</v>
      </c>
      <c r="Q561" s="191">
        <v>40907</v>
      </c>
      <c r="R561" s="793"/>
      <c r="S561" s="306">
        <f t="shared" si="151"/>
        <v>7</v>
      </c>
      <c r="T561" s="821">
        <v>15443</v>
      </c>
      <c r="U561" s="25">
        <f t="shared" si="148"/>
        <v>108101</v>
      </c>
      <c r="V561" s="456"/>
      <c r="W561" s="792"/>
      <c r="X561" s="822"/>
      <c r="Y561" s="821"/>
      <c r="Z561" s="25">
        <f t="shared" si="149"/>
        <v>0</v>
      </c>
    </row>
    <row r="562" spans="1:26" ht="16.5" customHeight="1">
      <c r="A562" s="777">
        <f t="shared" si="144"/>
        <v>217</v>
      </c>
      <c r="B562" s="192" t="s">
        <v>1364</v>
      </c>
      <c r="C562" s="25">
        <f t="shared" si="145"/>
        <v>405560</v>
      </c>
      <c r="D562" s="778">
        <f t="shared" si="150"/>
        <v>7866.9531534230746</v>
      </c>
      <c r="E562" s="778">
        <f t="shared" si="150"/>
        <v>2489.3530506987395</v>
      </c>
      <c r="F562" s="778">
        <f t="shared" si="150"/>
        <v>5367.3465020223848</v>
      </c>
      <c r="G562" s="778">
        <f t="shared" si="150"/>
        <v>429.01106426691206</v>
      </c>
      <c r="H562" s="778">
        <f t="shared" si="150"/>
        <v>7811.3296381107284</v>
      </c>
      <c r="I562" s="778">
        <f t="shared" si="150"/>
        <v>2006.1703083870138</v>
      </c>
      <c r="J562" s="365">
        <f t="shared" si="150"/>
        <v>0</v>
      </c>
      <c r="K562" s="25">
        <f t="shared" si="146"/>
        <v>431529.16371690889</v>
      </c>
      <c r="L562" s="256">
        <v>20</v>
      </c>
      <c r="M562" s="778">
        <f t="shared" si="147"/>
        <v>21576.458185845444</v>
      </c>
      <c r="N562" s="678">
        <v>23117</v>
      </c>
      <c r="O562" s="678"/>
      <c r="P562" s="40" t="s">
        <v>642</v>
      </c>
      <c r="Q562" s="191">
        <v>40907</v>
      </c>
      <c r="R562" s="793"/>
      <c r="S562" s="306">
        <f t="shared" si="151"/>
        <v>20</v>
      </c>
      <c r="T562" s="821">
        <v>20278</v>
      </c>
      <c r="U562" s="25">
        <f t="shared" si="148"/>
        <v>405560</v>
      </c>
      <c r="V562" s="456"/>
      <c r="W562" s="792"/>
      <c r="X562" s="822"/>
      <c r="Y562" s="821"/>
      <c r="Z562" s="25">
        <f t="shared" si="149"/>
        <v>0</v>
      </c>
    </row>
    <row r="563" spans="1:26" ht="16.5" customHeight="1">
      <c r="A563" s="777">
        <f t="shared" si="144"/>
        <v>218</v>
      </c>
      <c r="B563" s="192" t="s">
        <v>1392</v>
      </c>
      <c r="C563" s="25">
        <f t="shared" si="145"/>
        <v>173740</v>
      </c>
      <c r="D563" s="778">
        <f t="shared" si="150"/>
        <v>3933.4765767115373</v>
      </c>
      <c r="E563" s="778">
        <f t="shared" si="150"/>
        <v>1244.6765253493697</v>
      </c>
      <c r="F563" s="778">
        <f t="shared" si="150"/>
        <v>2683.6732510111924</v>
      </c>
      <c r="G563" s="778">
        <f t="shared" si="150"/>
        <v>214.50553213345603</v>
      </c>
      <c r="H563" s="778">
        <f t="shared" si="150"/>
        <v>3905.6648190553642</v>
      </c>
      <c r="I563" s="778">
        <f t="shared" si="150"/>
        <v>1003.0851541935069</v>
      </c>
      <c r="J563" s="365">
        <f t="shared" si="150"/>
        <v>0</v>
      </c>
      <c r="K563" s="25">
        <f t="shared" si="146"/>
        <v>186724.08185845445</v>
      </c>
      <c r="L563" s="256">
        <v>10</v>
      </c>
      <c r="M563" s="778">
        <f t="shared" si="147"/>
        <v>18672.408185845445</v>
      </c>
      <c r="N563" s="678">
        <v>19203</v>
      </c>
      <c r="O563" s="678"/>
      <c r="P563" s="40" t="s">
        <v>598</v>
      </c>
      <c r="Q563" s="191">
        <v>40907</v>
      </c>
      <c r="R563" s="793"/>
      <c r="S563" s="306">
        <f t="shared" si="151"/>
        <v>10</v>
      </c>
      <c r="T563" s="294">
        <v>17374</v>
      </c>
      <c r="U563" s="25">
        <f t="shared" si="148"/>
        <v>173740</v>
      </c>
      <c r="V563" s="456"/>
      <c r="W563" s="792"/>
      <c r="X563" s="822"/>
      <c r="Y563" s="821"/>
      <c r="Z563" s="25">
        <f t="shared" si="149"/>
        <v>0</v>
      </c>
    </row>
    <row r="564" spans="1:26" ht="16.5" customHeight="1">
      <c r="A564" s="777">
        <f t="shared" si="144"/>
        <v>219</v>
      </c>
      <c r="B564" s="192" t="s">
        <v>1310</v>
      </c>
      <c r="C564" s="25">
        <f t="shared" si="145"/>
        <v>30886</v>
      </c>
      <c r="D564" s="778">
        <f t="shared" si="150"/>
        <v>786.69531534230748</v>
      </c>
      <c r="E564" s="778">
        <f t="shared" si="150"/>
        <v>248.93530506987395</v>
      </c>
      <c r="F564" s="778">
        <f t="shared" si="150"/>
        <v>536.73465020223853</v>
      </c>
      <c r="G564" s="778">
        <f t="shared" si="150"/>
        <v>42.901106426691207</v>
      </c>
      <c r="H564" s="778">
        <f t="shared" si="150"/>
        <v>781.13296381107284</v>
      </c>
      <c r="I564" s="778">
        <f t="shared" si="150"/>
        <v>200.6170308387014</v>
      </c>
      <c r="J564" s="365">
        <f t="shared" si="150"/>
        <v>0</v>
      </c>
      <c r="K564" s="25">
        <f t="shared" si="146"/>
        <v>33482.016371690886</v>
      </c>
      <c r="L564" s="256">
        <v>2</v>
      </c>
      <c r="M564" s="778">
        <f t="shared" si="147"/>
        <v>16741.008185845443</v>
      </c>
      <c r="N564" s="678">
        <v>16215</v>
      </c>
      <c r="O564" s="678"/>
      <c r="P564" s="40" t="s">
        <v>650</v>
      </c>
      <c r="Q564" s="191">
        <v>40907</v>
      </c>
      <c r="R564" s="793"/>
      <c r="S564" s="306">
        <f t="shared" si="151"/>
        <v>2</v>
      </c>
      <c r="T564" s="821">
        <v>15443</v>
      </c>
      <c r="U564" s="25">
        <f t="shared" si="148"/>
        <v>30886</v>
      </c>
      <c r="V564" s="456"/>
      <c r="W564" s="792"/>
      <c r="X564" s="822"/>
      <c r="Y564" s="821"/>
      <c r="Z564" s="25">
        <f t="shared" si="149"/>
        <v>0</v>
      </c>
    </row>
    <row r="565" spans="1:26" ht="16.5" customHeight="1">
      <c r="A565" s="777">
        <f t="shared" si="144"/>
        <v>220</v>
      </c>
      <c r="B565" s="192" t="s">
        <v>1364</v>
      </c>
      <c r="C565" s="25">
        <f t="shared" si="145"/>
        <v>1796148</v>
      </c>
      <c r="D565" s="778">
        <f t="shared" si="150"/>
        <v>42481.547028484601</v>
      </c>
      <c r="E565" s="778">
        <f t="shared" si="150"/>
        <v>13442.506473773194</v>
      </c>
      <c r="F565" s="778">
        <f t="shared" si="150"/>
        <v>28983.671110920881</v>
      </c>
      <c r="G565" s="778">
        <f t="shared" si="150"/>
        <v>2316.6597470413253</v>
      </c>
      <c r="H565" s="778">
        <f t="shared" si="150"/>
        <v>42181.180045797933</v>
      </c>
      <c r="I565" s="778">
        <f t="shared" si="150"/>
        <v>10833.319665289875</v>
      </c>
      <c r="J565" s="365">
        <f t="shared" si="150"/>
        <v>0</v>
      </c>
      <c r="K565" s="25">
        <f t="shared" si="146"/>
        <v>1936385.8840713077</v>
      </c>
      <c r="L565" s="256">
        <v>108</v>
      </c>
      <c r="M565" s="778">
        <f t="shared" si="147"/>
        <v>17929.498926586184</v>
      </c>
      <c r="N565" s="678">
        <v>23012</v>
      </c>
      <c r="O565" s="678"/>
      <c r="P565" s="40" t="s">
        <v>656</v>
      </c>
      <c r="Q565" s="191">
        <v>40907</v>
      </c>
      <c r="R565" s="793"/>
      <c r="S565" s="306">
        <f t="shared" si="151"/>
        <v>108</v>
      </c>
      <c r="T565" s="821">
        <v>16631</v>
      </c>
      <c r="U565" s="25">
        <f t="shared" si="148"/>
        <v>1796148</v>
      </c>
      <c r="V565" s="456"/>
      <c r="W565" s="792"/>
      <c r="X565" s="822"/>
      <c r="Y565" s="821"/>
      <c r="Z565" s="25">
        <f t="shared" si="149"/>
        <v>0</v>
      </c>
    </row>
    <row r="566" spans="1:26" ht="16.5" customHeight="1">
      <c r="A566" s="777">
        <f t="shared" si="144"/>
        <v>221</v>
      </c>
      <c r="B566" s="192" t="s">
        <v>1391</v>
      </c>
      <c r="C566" s="25">
        <f t="shared" si="145"/>
        <v>30886</v>
      </c>
      <c r="D566" s="778">
        <f t="shared" si="150"/>
        <v>786.69531534230748</v>
      </c>
      <c r="E566" s="778">
        <f t="shared" si="150"/>
        <v>248.93530506987395</v>
      </c>
      <c r="F566" s="778">
        <f t="shared" si="150"/>
        <v>536.73465020223853</v>
      </c>
      <c r="G566" s="778">
        <f t="shared" si="150"/>
        <v>42.901106426691207</v>
      </c>
      <c r="H566" s="778">
        <f t="shared" si="150"/>
        <v>781.13296381107284</v>
      </c>
      <c r="I566" s="778">
        <f t="shared" si="150"/>
        <v>200.6170308387014</v>
      </c>
      <c r="J566" s="365">
        <f t="shared" si="150"/>
        <v>0</v>
      </c>
      <c r="K566" s="25">
        <f t="shared" si="146"/>
        <v>33482.016371690886</v>
      </c>
      <c r="L566" s="256">
        <v>2</v>
      </c>
      <c r="M566" s="778">
        <f t="shared" si="147"/>
        <v>16741.008185845443</v>
      </c>
      <c r="N566" s="678">
        <v>17667</v>
      </c>
      <c r="O566" s="678"/>
      <c r="P566" s="40" t="s">
        <v>650</v>
      </c>
      <c r="Q566" s="191">
        <v>40907</v>
      </c>
      <c r="R566" s="793"/>
      <c r="S566" s="306">
        <f t="shared" si="151"/>
        <v>2</v>
      </c>
      <c r="T566" s="821">
        <v>15443</v>
      </c>
      <c r="U566" s="25">
        <f t="shared" si="148"/>
        <v>30886</v>
      </c>
      <c r="V566" s="456"/>
      <c r="W566" s="792"/>
      <c r="X566" s="822"/>
      <c r="Y566" s="821"/>
      <c r="Z566" s="25">
        <f t="shared" si="149"/>
        <v>0</v>
      </c>
    </row>
    <row r="567" spans="1:26" ht="16.5" customHeight="1">
      <c r="A567" s="777">
        <f t="shared" si="144"/>
        <v>222</v>
      </c>
      <c r="B567" s="192" t="s">
        <v>1394</v>
      </c>
      <c r="C567" s="25">
        <f t="shared" si="145"/>
        <v>25860</v>
      </c>
      <c r="D567" s="778">
        <f t="shared" si="150"/>
        <v>1180.0429730134613</v>
      </c>
      <c r="E567" s="778">
        <f t="shared" si="150"/>
        <v>373.40295760481092</v>
      </c>
      <c r="F567" s="778">
        <f t="shared" si="150"/>
        <v>805.10197530335779</v>
      </c>
      <c r="G567" s="778">
        <f t="shared" si="150"/>
        <v>64.351659640036814</v>
      </c>
      <c r="H567" s="778">
        <f t="shared" si="150"/>
        <v>1171.6994457166093</v>
      </c>
      <c r="I567" s="778">
        <f t="shared" si="150"/>
        <v>300.92554625805212</v>
      </c>
      <c r="J567" s="365">
        <f t="shared" si="150"/>
        <v>0</v>
      </c>
      <c r="K567" s="25">
        <f t="shared" si="146"/>
        <v>29754.524557536326</v>
      </c>
      <c r="L567" s="256">
        <v>3</v>
      </c>
      <c r="M567" s="778">
        <f t="shared" si="147"/>
        <v>9918.1748525121093</v>
      </c>
      <c r="N567" s="678">
        <v>10778</v>
      </c>
      <c r="O567" s="678"/>
      <c r="P567" s="189" t="s">
        <v>507</v>
      </c>
      <c r="Q567" s="191">
        <v>40907</v>
      </c>
      <c r="R567" s="793"/>
      <c r="S567" s="306">
        <f t="shared" si="151"/>
        <v>3</v>
      </c>
      <c r="T567" s="821">
        <v>8620</v>
      </c>
      <c r="U567" s="25">
        <f t="shared" si="148"/>
        <v>25860</v>
      </c>
      <c r="V567" s="456"/>
      <c r="W567" s="792"/>
      <c r="X567" s="822"/>
      <c r="Y567" s="821"/>
      <c r="Z567" s="25">
        <f t="shared" si="149"/>
        <v>0</v>
      </c>
    </row>
    <row r="568" spans="1:26" ht="16.5" customHeight="1">
      <c r="A568" s="777">
        <f t="shared" si="144"/>
        <v>223</v>
      </c>
      <c r="B568" s="192" t="s">
        <v>1395</v>
      </c>
      <c r="C568" s="25">
        <f t="shared" si="145"/>
        <v>27908</v>
      </c>
      <c r="D568" s="778">
        <f t="shared" si="150"/>
        <v>786.69531534230748</v>
      </c>
      <c r="E568" s="778">
        <f t="shared" si="150"/>
        <v>248.93530506987395</v>
      </c>
      <c r="F568" s="778">
        <f t="shared" si="150"/>
        <v>536.73465020223853</v>
      </c>
      <c r="G568" s="778">
        <f t="shared" si="150"/>
        <v>42.901106426691207</v>
      </c>
      <c r="H568" s="778">
        <f t="shared" si="150"/>
        <v>781.13296381107284</v>
      </c>
      <c r="I568" s="778">
        <f t="shared" si="150"/>
        <v>200.6170308387014</v>
      </c>
      <c r="J568" s="365">
        <f t="shared" si="150"/>
        <v>0</v>
      </c>
      <c r="K568" s="25">
        <f t="shared" si="146"/>
        <v>30504.016371690886</v>
      </c>
      <c r="L568" s="256">
        <v>2</v>
      </c>
      <c r="M568" s="778">
        <f t="shared" si="147"/>
        <v>15252.008185845443</v>
      </c>
      <c r="N568" s="678">
        <v>18002</v>
      </c>
      <c r="O568" s="678"/>
      <c r="P568" s="189" t="s">
        <v>549</v>
      </c>
      <c r="Q568" s="191">
        <v>40907</v>
      </c>
      <c r="R568" s="793"/>
      <c r="S568" s="306">
        <v>2</v>
      </c>
      <c r="T568" s="821">
        <v>13954</v>
      </c>
      <c r="U568" s="25">
        <f t="shared" si="148"/>
        <v>27908</v>
      </c>
      <c r="V568" s="456"/>
      <c r="W568" s="792"/>
      <c r="X568" s="822"/>
      <c r="Y568" s="821"/>
      <c r="Z568" s="25">
        <f t="shared" si="149"/>
        <v>0</v>
      </c>
    </row>
    <row r="569" spans="1:26" ht="16.5" customHeight="1">
      <c r="A569" s="777">
        <f t="shared" si="144"/>
        <v>224</v>
      </c>
      <c r="B569" s="192" t="s">
        <v>1309</v>
      </c>
      <c r="C569" s="25">
        <f t="shared" si="145"/>
        <v>34854</v>
      </c>
      <c r="D569" s="778">
        <f t="shared" si="150"/>
        <v>1573.390630684615</v>
      </c>
      <c r="E569" s="778">
        <f t="shared" si="150"/>
        <v>497.8706101397479</v>
      </c>
      <c r="F569" s="778">
        <f t="shared" si="150"/>
        <v>1073.4693004044771</v>
      </c>
      <c r="G569" s="778">
        <f t="shared" si="150"/>
        <v>85.802212853382414</v>
      </c>
      <c r="H569" s="778">
        <f t="shared" si="150"/>
        <v>1562.2659276221457</v>
      </c>
      <c r="I569" s="778">
        <f t="shared" si="150"/>
        <v>401.23406167740279</v>
      </c>
      <c r="J569" s="365">
        <f t="shared" si="150"/>
        <v>0</v>
      </c>
      <c r="K569" s="25">
        <f t="shared" si="146"/>
        <v>40047.032743381773</v>
      </c>
      <c r="L569" s="256">
        <v>4</v>
      </c>
      <c r="M569" s="778">
        <f t="shared" si="147"/>
        <v>10011.758185845443</v>
      </c>
      <c r="N569" s="678">
        <v>11987</v>
      </c>
      <c r="O569" s="678"/>
      <c r="P569" s="189" t="s">
        <v>490</v>
      </c>
      <c r="Q569" s="191">
        <v>40907</v>
      </c>
      <c r="R569" s="793"/>
      <c r="S569" s="306">
        <v>2</v>
      </c>
      <c r="T569" s="821">
        <v>17427</v>
      </c>
      <c r="U569" s="25">
        <f t="shared" si="148"/>
        <v>34854</v>
      </c>
      <c r="V569" s="456"/>
      <c r="W569" s="792"/>
      <c r="X569" s="822"/>
      <c r="Y569" s="821"/>
      <c r="Z569" s="25">
        <f t="shared" si="149"/>
        <v>0</v>
      </c>
    </row>
    <row r="570" spans="1:26" ht="16.5" customHeight="1">
      <c r="A570" s="777">
        <f t="shared" si="144"/>
        <v>225</v>
      </c>
      <c r="B570" s="192" t="s">
        <v>1312</v>
      </c>
      <c r="C570" s="25">
        <f t="shared" si="145"/>
        <v>26910</v>
      </c>
      <c r="D570" s="778">
        <f t="shared" si="150"/>
        <v>786.69531534230748</v>
      </c>
      <c r="E570" s="778">
        <f t="shared" si="150"/>
        <v>248.93530506987395</v>
      </c>
      <c r="F570" s="778">
        <f t="shared" si="150"/>
        <v>536.73465020223853</v>
      </c>
      <c r="G570" s="778">
        <f t="shared" si="150"/>
        <v>42.901106426691207</v>
      </c>
      <c r="H570" s="778">
        <f t="shared" si="150"/>
        <v>781.13296381107284</v>
      </c>
      <c r="I570" s="778">
        <f t="shared" si="150"/>
        <v>200.6170308387014</v>
      </c>
      <c r="J570" s="365">
        <f t="shared" si="150"/>
        <v>0</v>
      </c>
      <c r="K570" s="25">
        <f t="shared" si="146"/>
        <v>29506.016371690886</v>
      </c>
      <c r="L570" s="256">
        <v>2</v>
      </c>
      <c r="M570" s="778">
        <f t="shared" si="147"/>
        <v>14753.008185845443</v>
      </c>
      <c r="N570" s="678">
        <v>14798</v>
      </c>
      <c r="O570" s="678"/>
      <c r="P570" s="40" t="s">
        <v>655</v>
      </c>
      <c r="Q570" s="191">
        <v>40907</v>
      </c>
      <c r="R570" s="793"/>
      <c r="S570" s="306">
        <f t="shared" ref="S570:S576" si="152">L570</f>
        <v>2</v>
      </c>
      <c r="T570" s="821">
        <v>13455</v>
      </c>
      <c r="U570" s="25">
        <f t="shared" si="148"/>
        <v>26910</v>
      </c>
      <c r="V570" s="456"/>
      <c r="W570" s="792"/>
      <c r="X570" s="822"/>
      <c r="Y570" s="821"/>
      <c r="Z570" s="25">
        <f t="shared" si="149"/>
        <v>0</v>
      </c>
    </row>
    <row r="571" spans="1:26" ht="16.5" customHeight="1">
      <c r="A571" s="777">
        <f t="shared" si="144"/>
        <v>226</v>
      </c>
      <c r="B571" s="192" t="s">
        <v>1396</v>
      </c>
      <c r="C571" s="25">
        <f t="shared" si="145"/>
        <v>13455</v>
      </c>
      <c r="D571" s="778">
        <f t="shared" si="150"/>
        <v>393.34765767115374</v>
      </c>
      <c r="E571" s="778">
        <f t="shared" si="150"/>
        <v>124.46765253493697</v>
      </c>
      <c r="F571" s="778">
        <f t="shared" si="150"/>
        <v>268.36732510111926</v>
      </c>
      <c r="G571" s="778">
        <f t="shared" si="150"/>
        <v>21.450553213345604</v>
      </c>
      <c r="H571" s="778">
        <f t="shared" si="150"/>
        <v>390.56648190553642</v>
      </c>
      <c r="I571" s="778">
        <f t="shared" si="150"/>
        <v>100.3085154193507</v>
      </c>
      <c r="J571" s="365">
        <f t="shared" si="150"/>
        <v>0</v>
      </c>
      <c r="K571" s="25">
        <f t="shared" si="146"/>
        <v>14752.508185845443</v>
      </c>
      <c r="L571" s="256">
        <v>1</v>
      </c>
      <c r="M571" s="778">
        <f t="shared" si="147"/>
        <v>14752.508185845443</v>
      </c>
      <c r="N571" s="678">
        <v>13310</v>
      </c>
      <c r="O571" s="678"/>
      <c r="P571" s="40" t="s">
        <v>655</v>
      </c>
      <c r="Q571" s="191">
        <v>40907</v>
      </c>
      <c r="R571" s="793"/>
      <c r="S571" s="306">
        <f t="shared" si="152"/>
        <v>1</v>
      </c>
      <c r="T571" s="821">
        <v>13455</v>
      </c>
      <c r="U571" s="25">
        <f t="shared" si="148"/>
        <v>13455</v>
      </c>
      <c r="V571" s="456"/>
      <c r="W571" s="792"/>
      <c r="X571" s="822"/>
      <c r="Y571" s="821"/>
      <c r="Z571" s="25">
        <f t="shared" si="149"/>
        <v>0</v>
      </c>
    </row>
    <row r="572" spans="1:26" ht="16.5" customHeight="1">
      <c r="A572" s="777">
        <f t="shared" si="144"/>
        <v>227</v>
      </c>
      <c r="B572" s="192" t="s">
        <v>1387</v>
      </c>
      <c r="C572" s="25">
        <f t="shared" si="145"/>
        <v>15443</v>
      </c>
      <c r="D572" s="778">
        <f t="shared" si="150"/>
        <v>393.34765767115374</v>
      </c>
      <c r="E572" s="778">
        <f t="shared" si="150"/>
        <v>124.46765253493697</v>
      </c>
      <c r="F572" s="778">
        <f t="shared" si="150"/>
        <v>268.36732510111926</v>
      </c>
      <c r="G572" s="778">
        <f t="shared" si="150"/>
        <v>21.450553213345604</v>
      </c>
      <c r="H572" s="778">
        <f t="shared" si="150"/>
        <v>390.56648190553642</v>
      </c>
      <c r="I572" s="778">
        <f t="shared" si="150"/>
        <v>100.3085154193507</v>
      </c>
      <c r="J572" s="365">
        <f t="shared" si="150"/>
        <v>0</v>
      </c>
      <c r="K572" s="25">
        <f t="shared" si="146"/>
        <v>16740.508185845443</v>
      </c>
      <c r="L572" s="256">
        <v>1</v>
      </c>
      <c r="M572" s="778">
        <f t="shared" si="147"/>
        <v>16740.508185845443</v>
      </c>
      <c r="N572" s="678">
        <v>17216</v>
      </c>
      <c r="O572" s="678"/>
      <c r="P572" s="40" t="s">
        <v>650</v>
      </c>
      <c r="Q572" s="191">
        <v>40907</v>
      </c>
      <c r="R572" s="793"/>
      <c r="S572" s="306">
        <f t="shared" si="152"/>
        <v>1</v>
      </c>
      <c r="T572" s="821">
        <v>15443</v>
      </c>
      <c r="U572" s="25">
        <f t="shared" si="148"/>
        <v>15443</v>
      </c>
      <c r="V572" s="456"/>
      <c r="W572" s="792"/>
      <c r="X572" s="822"/>
      <c r="Y572" s="821"/>
      <c r="Z572" s="25">
        <f t="shared" si="149"/>
        <v>0</v>
      </c>
    </row>
    <row r="573" spans="1:26" ht="16.5" customHeight="1">
      <c r="A573" s="777">
        <f t="shared" si="144"/>
        <v>228</v>
      </c>
      <c r="B573" s="192" t="s">
        <v>1397</v>
      </c>
      <c r="C573" s="25">
        <f t="shared" si="145"/>
        <v>26910</v>
      </c>
      <c r="D573" s="778">
        <f t="shared" si="150"/>
        <v>786.69531534230748</v>
      </c>
      <c r="E573" s="778">
        <f t="shared" si="150"/>
        <v>248.93530506987395</v>
      </c>
      <c r="F573" s="778">
        <f t="shared" si="150"/>
        <v>536.73465020223853</v>
      </c>
      <c r="G573" s="778">
        <f t="shared" si="150"/>
        <v>42.901106426691207</v>
      </c>
      <c r="H573" s="778">
        <f t="shared" si="150"/>
        <v>781.13296381107284</v>
      </c>
      <c r="I573" s="778">
        <f t="shared" si="150"/>
        <v>200.6170308387014</v>
      </c>
      <c r="J573" s="365">
        <f t="shared" si="150"/>
        <v>0</v>
      </c>
      <c r="K573" s="25">
        <f t="shared" si="146"/>
        <v>29506.016371690886</v>
      </c>
      <c r="L573" s="256">
        <v>2</v>
      </c>
      <c r="M573" s="778">
        <f t="shared" si="147"/>
        <v>14753.008185845443</v>
      </c>
      <c r="N573" s="678">
        <v>15261</v>
      </c>
      <c r="O573" s="678"/>
      <c r="P573" s="40" t="s">
        <v>655</v>
      </c>
      <c r="Q573" s="191">
        <v>40907</v>
      </c>
      <c r="R573" s="793"/>
      <c r="S573" s="306">
        <f t="shared" si="152"/>
        <v>2</v>
      </c>
      <c r="T573" s="821">
        <v>13455</v>
      </c>
      <c r="U573" s="25">
        <f t="shared" si="148"/>
        <v>26910</v>
      </c>
      <c r="V573" s="456"/>
      <c r="W573" s="792"/>
      <c r="X573" s="822"/>
      <c r="Y573" s="821"/>
      <c r="Z573" s="25">
        <f t="shared" si="149"/>
        <v>0</v>
      </c>
    </row>
    <row r="574" spans="1:26" ht="16.5" customHeight="1">
      <c r="A574" s="777">
        <f t="shared" si="144"/>
        <v>229</v>
      </c>
      <c r="B574" s="192" t="s">
        <v>744</v>
      </c>
      <c r="C574" s="25">
        <f t="shared" si="145"/>
        <v>13455</v>
      </c>
      <c r="D574" s="778">
        <f t="shared" si="150"/>
        <v>393.34765767115374</v>
      </c>
      <c r="E574" s="778">
        <f t="shared" si="150"/>
        <v>124.46765253493697</v>
      </c>
      <c r="F574" s="778">
        <f t="shared" si="150"/>
        <v>268.36732510111926</v>
      </c>
      <c r="G574" s="778">
        <f t="shared" si="150"/>
        <v>21.450553213345604</v>
      </c>
      <c r="H574" s="778">
        <f t="shared" si="150"/>
        <v>390.56648190553642</v>
      </c>
      <c r="I574" s="778">
        <f t="shared" si="150"/>
        <v>100.3085154193507</v>
      </c>
      <c r="J574" s="365">
        <f t="shared" si="150"/>
        <v>0</v>
      </c>
      <c r="K574" s="25">
        <f t="shared" si="146"/>
        <v>14752.508185845443</v>
      </c>
      <c r="L574" s="256">
        <v>1</v>
      </c>
      <c r="M574" s="778">
        <f t="shared" si="147"/>
        <v>14752.508185845443</v>
      </c>
      <c r="N574" s="678">
        <v>14462</v>
      </c>
      <c r="O574" s="678"/>
      <c r="P574" s="40" t="s">
        <v>655</v>
      </c>
      <c r="Q574" s="191">
        <v>40907</v>
      </c>
      <c r="R574" s="793"/>
      <c r="S574" s="306">
        <f t="shared" si="152"/>
        <v>1</v>
      </c>
      <c r="T574" s="821">
        <v>13455</v>
      </c>
      <c r="U574" s="25">
        <f t="shared" si="148"/>
        <v>13455</v>
      </c>
      <c r="V574" s="456"/>
      <c r="W574" s="792"/>
      <c r="X574" s="822"/>
      <c r="Y574" s="821"/>
      <c r="Z574" s="25">
        <f t="shared" si="149"/>
        <v>0</v>
      </c>
    </row>
    <row r="575" spans="1:26" ht="16.5" customHeight="1">
      <c r="A575" s="777">
        <f t="shared" si="144"/>
        <v>230</v>
      </c>
      <c r="B575" s="192" t="s">
        <v>1398</v>
      </c>
      <c r="C575" s="25">
        <f t="shared" si="145"/>
        <v>15443</v>
      </c>
      <c r="D575" s="778">
        <f t="shared" si="150"/>
        <v>393.34765767115374</v>
      </c>
      <c r="E575" s="778">
        <f t="shared" si="150"/>
        <v>124.46765253493697</v>
      </c>
      <c r="F575" s="778">
        <f t="shared" si="150"/>
        <v>268.36732510111926</v>
      </c>
      <c r="G575" s="778">
        <f t="shared" si="150"/>
        <v>21.450553213345604</v>
      </c>
      <c r="H575" s="778">
        <f t="shared" si="150"/>
        <v>390.56648190553642</v>
      </c>
      <c r="I575" s="778">
        <f t="shared" si="150"/>
        <v>100.3085154193507</v>
      </c>
      <c r="J575" s="365">
        <f t="shared" si="150"/>
        <v>0</v>
      </c>
      <c r="K575" s="25">
        <f t="shared" si="146"/>
        <v>16740.508185845443</v>
      </c>
      <c r="L575" s="256">
        <v>1</v>
      </c>
      <c r="M575" s="778">
        <f t="shared" si="147"/>
        <v>16740.508185845443</v>
      </c>
      <c r="N575" s="678">
        <v>16025</v>
      </c>
      <c r="O575" s="678"/>
      <c r="P575" s="40" t="s">
        <v>650</v>
      </c>
      <c r="Q575" s="191">
        <v>40907</v>
      </c>
      <c r="R575" s="793"/>
      <c r="S575" s="306">
        <f t="shared" si="152"/>
        <v>1</v>
      </c>
      <c r="T575" s="821">
        <v>15443</v>
      </c>
      <c r="U575" s="25">
        <f t="shared" si="148"/>
        <v>15443</v>
      </c>
      <c r="V575" s="456"/>
      <c r="W575" s="792"/>
      <c r="X575" s="822"/>
      <c r="Y575" s="821"/>
      <c r="Z575" s="25">
        <f t="shared" si="149"/>
        <v>0</v>
      </c>
    </row>
    <row r="576" spans="1:26" ht="16.5" customHeight="1">
      <c r="A576" s="777">
        <f t="shared" si="144"/>
        <v>231</v>
      </c>
      <c r="B576" s="192" t="s">
        <v>1399</v>
      </c>
      <c r="C576" s="25">
        <f t="shared" si="145"/>
        <v>13455</v>
      </c>
      <c r="D576" s="778">
        <f t="shared" si="150"/>
        <v>393.34765767115374</v>
      </c>
      <c r="E576" s="778">
        <f t="shared" si="150"/>
        <v>124.46765253493697</v>
      </c>
      <c r="F576" s="778">
        <f t="shared" si="150"/>
        <v>268.36732510111926</v>
      </c>
      <c r="G576" s="778">
        <f t="shared" si="150"/>
        <v>21.450553213345604</v>
      </c>
      <c r="H576" s="778">
        <f t="shared" si="150"/>
        <v>390.56648190553642</v>
      </c>
      <c r="I576" s="778">
        <f t="shared" si="150"/>
        <v>100.3085154193507</v>
      </c>
      <c r="J576" s="365">
        <f t="shared" si="150"/>
        <v>0</v>
      </c>
      <c r="K576" s="25">
        <f t="shared" si="146"/>
        <v>14752.508185845443</v>
      </c>
      <c r="L576" s="256">
        <v>1</v>
      </c>
      <c r="M576" s="778">
        <f t="shared" si="147"/>
        <v>14752.508185845443</v>
      </c>
      <c r="N576" s="678">
        <v>13871</v>
      </c>
      <c r="O576" s="678"/>
      <c r="P576" s="40" t="s">
        <v>655</v>
      </c>
      <c r="Q576" s="191">
        <v>40907</v>
      </c>
      <c r="R576" s="793"/>
      <c r="S576" s="306">
        <f t="shared" si="152"/>
        <v>1</v>
      </c>
      <c r="T576" s="821">
        <v>13455</v>
      </c>
      <c r="U576" s="25">
        <f t="shared" si="148"/>
        <v>13455</v>
      </c>
      <c r="V576" s="456"/>
      <c r="W576" s="792"/>
      <c r="X576" s="822"/>
      <c r="Y576" s="821"/>
      <c r="Z576" s="25">
        <f t="shared" si="149"/>
        <v>0</v>
      </c>
    </row>
    <row r="577" spans="1:26" ht="16.5" customHeight="1">
      <c r="A577" s="777">
        <f t="shared" si="144"/>
        <v>232</v>
      </c>
      <c r="B577" s="192" t="s">
        <v>1400</v>
      </c>
      <c r="C577" s="25">
        <f t="shared" si="145"/>
        <v>16439</v>
      </c>
      <c r="D577" s="778">
        <f t="shared" si="150"/>
        <v>393.34765767115374</v>
      </c>
      <c r="E577" s="778">
        <f t="shared" si="150"/>
        <v>124.46765253493697</v>
      </c>
      <c r="F577" s="778">
        <f t="shared" si="150"/>
        <v>268.36732510111926</v>
      </c>
      <c r="G577" s="778">
        <f t="shared" si="150"/>
        <v>21.450553213345604</v>
      </c>
      <c r="H577" s="778">
        <f t="shared" si="150"/>
        <v>390.56648190553642</v>
      </c>
      <c r="I577" s="778">
        <f t="shared" si="150"/>
        <v>100.3085154193507</v>
      </c>
      <c r="J577" s="365">
        <f t="shared" si="150"/>
        <v>0</v>
      </c>
      <c r="K577" s="25">
        <f t="shared" si="146"/>
        <v>17736.508185845447</v>
      </c>
      <c r="L577" s="256">
        <v>1</v>
      </c>
      <c r="M577" s="778">
        <f t="shared" si="147"/>
        <v>17736.508185845447</v>
      </c>
      <c r="N577" s="678">
        <v>19814</v>
      </c>
      <c r="O577" s="678"/>
      <c r="P577" s="40" t="s">
        <v>645</v>
      </c>
      <c r="Q577" s="191">
        <v>40907</v>
      </c>
      <c r="R577" s="793"/>
      <c r="S577" s="306">
        <f>L577/2</f>
        <v>0.5</v>
      </c>
      <c r="T577" s="821">
        <v>32878</v>
      </c>
      <c r="U577" s="25">
        <f t="shared" si="148"/>
        <v>16439</v>
      </c>
      <c r="V577" s="456"/>
      <c r="W577" s="792"/>
      <c r="X577" s="822"/>
      <c r="Y577" s="821"/>
      <c r="Z577" s="25">
        <f t="shared" si="149"/>
        <v>0</v>
      </c>
    </row>
    <row r="578" spans="1:26" ht="16.5" customHeight="1">
      <c r="A578" s="777">
        <f t="shared" si="144"/>
        <v>233</v>
      </c>
      <c r="B578" s="192" t="s">
        <v>1360</v>
      </c>
      <c r="C578" s="25">
        <f t="shared" si="145"/>
        <v>148005</v>
      </c>
      <c r="D578" s="778">
        <f t="shared" si="150"/>
        <v>4326.8242343826914</v>
      </c>
      <c r="E578" s="778">
        <f t="shared" si="150"/>
        <v>1369.1441778843068</v>
      </c>
      <c r="F578" s="778">
        <f t="shared" si="150"/>
        <v>2952.040576112312</v>
      </c>
      <c r="G578" s="778">
        <f t="shared" si="150"/>
        <v>235.95608534680164</v>
      </c>
      <c r="H578" s="778">
        <f t="shared" si="150"/>
        <v>4296.2313009609006</v>
      </c>
      <c r="I578" s="778">
        <f t="shared" si="150"/>
        <v>1103.3936696128576</v>
      </c>
      <c r="J578" s="365">
        <f t="shared" si="150"/>
        <v>0</v>
      </c>
      <c r="K578" s="25">
        <f t="shared" si="146"/>
        <v>162287.59004429987</v>
      </c>
      <c r="L578" s="256">
        <v>11</v>
      </c>
      <c r="M578" s="778">
        <f t="shared" si="147"/>
        <v>14753.417276754533</v>
      </c>
      <c r="N578" s="678">
        <v>15524</v>
      </c>
      <c r="O578" s="678"/>
      <c r="P578" s="40" t="s">
        <v>655</v>
      </c>
      <c r="Q578" s="191">
        <v>40907</v>
      </c>
      <c r="R578" s="793"/>
      <c r="S578" s="306">
        <f>L578</f>
        <v>11</v>
      </c>
      <c r="T578" s="821">
        <v>13455</v>
      </c>
      <c r="U578" s="25">
        <f t="shared" si="148"/>
        <v>148005</v>
      </c>
      <c r="V578" s="456"/>
      <c r="W578" s="792"/>
      <c r="X578" s="822"/>
      <c r="Y578" s="821"/>
      <c r="Z578" s="25">
        <f t="shared" si="149"/>
        <v>0</v>
      </c>
    </row>
    <row r="579" spans="1:26" ht="16.5" customHeight="1">
      <c r="A579" s="777">
        <f t="shared" si="144"/>
        <v>234</v>
      </c>
      <c r="B579" s="192" t="s">
        <v>1361</v>
      </c>
      <c r="C579" s="25">
        <f t="shared" si="145"/>
        <v>4324060</v>
      </c>
      <c r="D579" s="778">
        <f t="shared" si="150"/>
        <v>102270.39099449998</v>
      </c>
      <c r="E579" s="778">
        <f t="shared" si="150"/>
        <v>32361.589659083613</v>
      </c>
      <c r="F579" s="778">
        <f t="shared" si="150"/>
        <v>69775.504526291013</v>
      </c>
      <c r="G579" s="778">
        <f t="shared" si="150"/>
        <v>5577.1438354698566</v>
      </c>
      <c r="H579" s="778">
        <f t="shared" si="150"/>
        <v>101547.28529543948</v>
      </c>
      <c r="I579" s="778">
        <f t="shared" si="150"/>
        <v>26080.21400903118</v>
      </c>
      <c r="J579" s="365">
        <f t="shared" si="150"/>
        <v>0</v>
      </c>
      <c r="K579" s="25">
        <f t="shared" si="146"/>
        <v>4661671.1283198157</v>
      </c>
      <c r="L579" s="256">
        <v>260</v>
      </c>
      <c r="M579" s="778">
        <f t="shared" si="147"/>
        <v>17929.504339691601</v>
      </c>
      <c r="N579" s="678">
        <v>24159</v>
      </c>
      <c r="O579" s="678"/>
      <c r="P579" s="40" t="s">
        <v>656</v>
      </c>
      <c r="Q579" s="191">
        <v>40907</v>
      </c>
      <c r="R579" s="793"/>
      <c r="S579" s="306">
        <f>L579</f>
        <v>260</v>
      </c>
      <c r="T579" s="821">
        <v>16631</v>
      </c>
      <c r="U579" s="25">
        <f t="shared" si="148"/>
        <v>4324060</v>
      </c>
      <c r="V579" s="456"/>
      <c r="W579" s="792"/>
      <c r="X579" s="822"/>
      <c r="Y579" s="821"/>
      <c r="Z579" s="25">
        <f t="shared" si="149"/>
        <v>0</v>
      </c>
    </row>
    <row r="580" spans="1:26" ht="16.5" customHeight="1">
      <c r="A580" s="777">
        <f t="shared" si="144"/>
        <v>235</v>
      </c>
      <c r="B580" s="192" t="s">
        <v>1329</v>
      </c>
      <c r="C580" s="25">
        <f t="shared" si="145"/>
        <v>772150</v>
      </c>
      <c r="D580" s="778">
        <f t="shared" si="150"/>
        <v>19667.382883557686</v>
      </c>
      <c r="E580" s="778">
        <f t="shared" si="150"/>
        <v>6223.3826267468485</v>
      </c>
      <c r="F580" s="778">
        <f t="shared" si="150"/>
        <v>13418.366255055964</v>
      </c>
      <c r="G580" s="778">
        <f t="shared" si="150"/>
        <v>1072.5276606672801</v>
      </c>
      <c r="H580" s="778">
        <f t="shared" ref="D580:J586" si="153">IF($L$588&lt;&gt;0,H$588/$L$588*$L580,0)</f>
        <v>19528.324095276821</v>
      </c>
      <c r="I580" s="778">
        <f t="shared" si="153"/>
        <v>5015.4257709675348</v>
      </c>
      <c r="J580" s="365">
        <f t="shared" si="153"/>
        <v>0</v>
      </c>
      <c r="K580" s="25">
        <f t="shared" si="146"/>
        <v>837074.40929227218</v>
      </c>
      <c r="L580" s="256">
        <v>50</v>
      </c>
      <c r="M580" s="778">
        <f t="shared" si="147"/>
        <v>16741.488185845443</v>
      </c>
      <c r="N580" s="678">
        <v>18100</v>
      </c>
      <c r="O580" s="678"/>
      <c r="P580" s="40" t="s">
        <v>650</v>
      </c>
      <c r="Q580" s="191">
        <v>40907</v>
      </c>
      <c r="R580" s="793"/>
      <c r="S580" s="306">
        <f>L580</f>
        <v>50</v>
      </c>
      <c r="T580" s="821">
        <v>15443</v>
      </c>
      <c r="U580" s="25">
        <f t="shared" si="148"/>
        <v>772150</v>
      </c>
      <c r="V580" s="456"/>
      <c r="W580" s="792"/>
      <c r="X580" s="822"/>
      <c r="Y580" s="821"/>
      <c r="Z580" s="25">
        <f t="shared" si="149"/>
        <v>0</v>
      </c>
    </row>
    <row r="581" spans="1:26" ht="16.5" customHeight="1">
      <c r="A581" s="777">
        <f t="shared" si="144"/>
        <v>236</v>
      </c>
      <c r="B581" s="192" t="s">
        <v>1331</v>
      </c>
      <c r="C581" s="25">
        <f t="shared" si="145"/>
        <v>1663100</v>
      </c>
      <c r="D581" s="778">
        <f t="shared" si="153"/>
        <v>39334.765767115372</v>
      </c>
      <c r="E581" s="778">
        <f t="shared" si="153"/>
        <v>12446.765253493697</v>
      </c>
      <c r="F581" s="778">
        <f t="shared" si="153"/>
        <v>26836.732510111928</v>
      </c>
      <c r="G581" s="778">
        <f t="shared" si="153"/>
        <v>2145.0553213345602</v>
      </c>
      <c r="H581" s="778">
        <f t="shared" si="153"/>
        <v>39056.648190553642</v>
      </c>
      <c r="I581" s="778">
        <f t="shared" si="153"/>
        <v>10030.85154193507</v>
      </c>
      <c r="J581" s="365">
        <f t="shared" si="153"/>
        <v>0</v>
      </c>
      <c r="K581" s="25">
        <f t="shared" si="146"/>
        <v>1792949.8185845444</v>
      </c>
      <c r="L581" s="256">
        <v>100</v>
      </c>
      <c r="M581" s="778">
        <f t="shared" si="147"/>
        <v>17929.498185845445</v>
      </c>
      <c r="N581" s="678">
        <v>23260</v>
      </c>
      <c r="O581" s="678"/>
      <c r="P581" s="40" t="s">
        <v>656</v>
      </c>
      <c r="Q581" s="191">
        <v>40907</v>
      </c>
      <c r="R581" s="793"/>
      <c r="S581" s="306">
        <f>L581</f>
        <v>100</v>
      </c>
      <c r="T581" s="821">
        <v>16631</v>
      </c>
      <c r="U581" s="25">
        <f t="shared" si="148"/>
        <v>1663100</v>
      </c>
      <c r="V581" s="456"/>
      <c r="W581" s="792"/>
      <c r="X581" s="822"/>
      <c r="Y581" s="821"/>
      <c r="Z581" s="25">
        <f t="shared" si="149"/>
        <v>0</v>
      </c>
    </row>
    <row r="582" spans="1:26" ht="16.5" customHeight="1">
      <c r="A582" s="777">
        <f t="shared" si="144"/>
        <v>237</v>
      </c>
      <c r="B582" s="192" t="s">
        <v>1332</v>
      </c>
      <c r="C582" s="25">
        <f t="shared" si="145"/>
        <v>821950</v>
      </c>
      <c r="D582" s="778">
        <f t="shared" si="153"/>
        <v>19667.382883557686</v>
      </c>
      <c r="E582" s="778">
        <f t="shared" si="153"/>
        <v>6223.3826267468485</v>
      </c>
      <c r="F582" s="778">
        <f t="shared" si="153"/>
        <v>13418.366255055964</v>
      </c>
      <c r="G582" s="778">
        <f t="shared" si="153"/>
        <v>1072.5276606672801</v>
      </c>
      <c r="H582" s="778">
        <f t="shared" si="153"/>
        <v>19528.324095276821</v>
      </c>
      <c r="I582" s="778">
        <f t="shared" si="153"/>
        <v>5015.4257709675348</v>
      </c>
      <c r="J582" s="365">
        <f t="shared" si="153"/>
        <v>0</v>
      </c>
      <c r="K582" s="25">
        <f t="shared" si="146"/>
        <v>886874.40929227218</v>
      </c>
      <c r="L582" s="256">
        <v>50</v>
      </c>
      <c r="M582" s="778">
        <f t="shared" si="147"/>
        <v>17737.488185845443</v>
      </c>
      <c r="N582" s="678">
        <v>20090</v>
      </c>
      <c r="O582" s="678"/>
      <c r="P582" s="40" t="s">
        <v>645</v>
      </c>
      <c r="Q582" s="191">
        <v>40907</v>
      </c>
      <c r="R582" s="793"/>
      <c r="S582" s="306">
        <f>L582/2</f>
        <v>25</v>
      </c>
      <c r="T582" s="821">
        <v>32878</v>
      </c>
      <c r="U582" s="25">
        <f t="shared" si="148"/>
        <v>821950</v>
      </c>
      <c r="V582" s="456"/>
      <c r="W582" s="792"/>
      <c r="X582" s="822"/>
      <c r="Y582" s="821"/>
      <c r="Z582" s="25">
        <f t="shared" si="149"/>
        <v>0</v>
      </c>
    </row>
    <row r="583" spans="1:26" ht="16.5" customHeight="1">
      <c r="A583" s="777">
        <f t="shared" si="144"/>
        <v>238</v>
      </c>
      <c r="B583" s="192" t="s">
        <v>1333</v>
      </c>
      <c r="C583" s="25">
        <f t="shared" si="145"/>
        <v>3159890</v>
      </c>
      <c r="D583" s="778">
        <f t="shared" si="153"/>
        <v>74736.054957519213</v>
      </c>
      <c r="E583" s="778">
        <f t="shared" si="153"/>
        <v>23648.853981638025</v>
      </c>
      <c r="F583" s="778">
        <f t="shared" si="153"/>
        <v>50989.791769212658</v>
      </c>
      <c r="G583" s="778">
        <f t="shared" si="153"/>
        <v>4075.6051105356646</v>
      </c>
      <c r="H583" s="778">
        <f t="shared" si="153"/>
        <v>74207.631562051916</v>
      </c>
      <c r="I583" s="778">
        <f t="shared" si="153"/>
        <v>19058.617929676631</v>
      </c>
      <c r="J583" s="365">
        <f t="shared" si="153"/>
        <v>0</v>
      </c>
      <c r="K583" s="25">
        <f t="shared" si="146"/>
        <v>3406605.555310634</v>
      </c>
      <c r="L583" s="256">
        <v>190</v>
      </c>
      <c r="M583" s="778">
        <f t="shared" si="147"/>
        <v>17929.502922687549</v>
      </c>
      <c r="N583" s="678">
        <v>18170</v>
      </c>
      <c r="O583" s="678"/>
      <c r="P583" s="40" t="s">
        <v>656</v>
      </c>
      <c r="Q583" s="191">
        <v>40907</v>
      </c>
      <c r="R583" s="793"/>
      <c r="S583" s="306">
        <f>L583</f>
        <v>190</v>
      </c>
      <c r="T583" s="821">
        <v>16631</v>
      </c>
      <c r="U583" s="25">
        <f t="shared" si="148"/>
        <v>3159890</v>
      </c>
      <c r="V583" s="456"/>
      <c r="W583" s="792"/>
      <c r="X583" s="822"/>
      <c r="Y583" s="821"/>
      <c r="Z583" s="25">
        <f t="shared" si="149"/>
        <v>0</v>
      </c>
    </row>
    <row r="584" spans="1:26" ht="16.5" customHeight="1">
      <c r="A584" s="777">
        <f t="shared" si="144"/>
        <v>239</v>
      </c>
      <c r="B584" s="192" t="s">
        <v>1334</v>
      </c>
      <c r="C584" s="25">
        <f t="shared" si="145"/>
        <v>2162030</v>
      </c>
      <c r="D584" s="778">
        <f t="shared" si="153"/>
        <v>51135.195497249988</v>
      </c>
      <c r="E584" s="778">
        <f t="shared" si="153"/>
        <v>16180.794829541806</v>
      </c>
      <c r="F584" s="778">
        <f t="shared" si="153"/>
        <v>34887.752263145507</v>
      </c>
      <c r="G584" s="778">
        <f t="shared" si="153"/>
        <v>2788.5719177349283</v>
      </c>
      <c r="H584" s="778">
        <f t="shared" si="153"/>
        <v>50773.642647719738</v>
      </c>
      <c r="I584" s="778">
        <f t="shared" si="153"/>
        <v>13040.10700451559</v>
      </c>
      <c r="J584" s="365">
        <f t="shared" si="153"/>
        <v>0</v>
      </c>
      <c r="K584" s="25">
        <f t="shared" si="146"/>
        <v>2330835.0641599079</v>
      </c>
      <c r="L584" s="256">
        <v>130</v>
      </c>
      <c r="M584" s="778">
        <f t="shared" si="147"/>
        <v>17929.500493537751</v>
      </c>
      <c r="N584" s="678">
        <v>19420</v>
      </c>
      <c r="O584" s="678"/>
      <c r="P584" s="40" t="s">
        <v>656</v>
      </c>
      <c r="Q584" s="191">
        <v>40907</v>
      </c>
      <c r="R584" s="793"/>
      <c r="S584" s="306">
        <f>L584</f>
        <v>130</v>
      </c>
      <c r="T584" s="821">
        <v>16631</v>
      </c>
      <c r="U584" s="25">
        <f t="shared" si="148"/>
        <v>2162030</v>
      </c>
      <c r="V584" s="456"/>
      <c r="W584" s="792"/>
      <c r="X584" s="822"/>
      <c r="Y584" s="821"/>
      <c r="Z584" s="25">
        <f t="shared" si="149"/>
        <v>0</v>
      </c>
    </row>
    <row r="585" spans="1:26" ht="16.5" customHeight="1">
      <c r="A585" s="777">
        <f t="shared" si="144"/>
        <v>240</v>
      </c>
      <c r="B585" s="192" t="s">
        <v>1335</v>
      </c>
      <c r="C585" s="25">
        <f t="shared" si="145"/>
        <v>1829410</v>
      </c>
      <c r="D585" s="778">
        <f t="shared" si="153"/>
        <v>43268.242343826911</v>
      </c>
      <c r="E585" s="778">
        <f t="shared" si="153"/>
        <v>13691.441778843067</v>
      </c>
      <c r="F585" s="778">
        <f t="shared" si="153"/>
        <v>29520.405761123118</v>
      </c>
      <c r="G585" s="778">
        <f t="shared" si="153"/>
        <v>2359.5608534680164</v>
      </c>
      <c r="H585" s="778">
        <f t="shared" si="153"/>
        <v>42962.313009609003</v>
      </c>
      <c r="I585" s="778">
        <f t="shared" si="153"/>
        <v>11033.936696128576</v>
      </c>
      <c r="J585" s="365">
        <f t="shared" si="153"/>
        <v>0</v>
      </c>
      <c r="K585" s="25">
        <f t="shared" si="146"/>
        <v>1972244.9004429989</v>
      </c>
      <c r="L585" s="256">
        <v>110</v>
      </c>
      <c r="M585" s="778">
        <f t="shared" si="147"/>
        <v>17929.499094936353</v>
      </c>
      <c r="N585" s="678">
        <v>19450</v>
      </c>
      <c r="O585" s="678"/>
      <c r="P585" s="40" t="s">
        <v>656</v>
      </c>
      <c r="Q585" s="191">
        <v>40907</v>
      </c>
      <c r="R585" s="793"/>
      <c r="S585" s="306">
        <f>L585</f>
        <v>110</v>
      </c>
      <c r="T585" s="821">
        <v>16631</v>
      </c>
      <c r="U585" s="25">
        <f t="shared" si="148"/>
        <v>1829410</v>
      </c>
      <c r="V585" s="456"/>
      <c r="W585" s="792"/>
      <c r="X585" s="822"/>
      <c r="Y585" s="821"/>
      <c r="Z585" s="25">
        <f t="shared" si="149"/>
        <v>0</v>
      </c>
    </row>
    <row r="586" spans="1:26" ht="16.5" customHeight="1">
      <c r="A586" s="777">
        <f t="shared" si="144"/>
        <v>241</v>
      </c>
      <c r="B586" s="192" t="s">
        <v>1402</v>
      </c>
      <c r="C586" s="25">
        <f t="shared" si="145"/>
        <v>197268</v>
      </c>
      <c r="D586" s="778">
        <f t="shared" si="153"/>
        <v>4720.1718920538451</v>
      </c>
      <c r="E586" s="778">
        <f t="shared" si="153"/>
        <v>1493.6118304192437</v>
      </c>
      <c r="F586" s="778">
        <f t="shared" si="153"/>
        <v>3220.4079012134312</v>
      </c>
      <c r="G586" s="778">
        <f t="shared" si="153"/>
        <v>257.40663856014726</v>
      </c>
      <c r="H586" s="778">
        <f t="shared" si="153"/>
        <v>4686.797782866437</v>
      </c>
      <c r="I586" s="778">
        <f t="shared" si="153"/>
        <v>1203.7021850322085</v>
      </c>
      <c r="J586" s="365">
        <f t="shared" si="153"/>
        <v>0</v>
      </c>
      <c r="K586" s="25">
        <f t="shared" si="146"/>
        <v>212849.09823014532</v>
      </c>
      <c r="L586" s="256">
        <v>12</v>
      </c>
      <c r="M586" s="778">
        <f t="shared" si="147"/>
        <v>17737.424852512111</v>
      </c>
      <c r="N586" s="678">
        <v>19625</v>
      </c>
      <c r="O586" s="678"/>
      <c r="P586" s="40" t="s">
        <v>645</v>
      </c>
      <c r="Q586" s="191">
        <v>40907</v>
      </c>
      <c r="R586" s="793"/>
      <c r="S586" s="306">
        <f>L586/2</f>
        <v>6</v>
      </c>
      <c r="T586" s="821">
        <v>32878</v>
      </c>
      <c r="U586" s="25">
        <f t="shared" si="148"/>
        <v>197268</v>
      </c>
      <c r="V586" s="456"/>
      <c r="W586" s="792"/>
      <c r="X586" s="822"/>
      <c r="Y586" s="821"/>
      <c r="Z586" s="25">
        <f t="shared" si="149"/>
        <v>0</v>
      </c>
    </row>
    <row r="587" spans="1:26" ht="16.5" customHeight="1">
      <c r="A587" s="777"/>
      <c r="B587" s="298"/>
      <c r="C587" s="25"/>
      <c r="D587" s="778"/>
      <c r="E587" s="778"/>
      <c r="F587" s="778"/>
      <c r="G587" s="778"/>
      <c r="H587" s="778"/>
      <c r="I587" s="778"/>
      <c r="J587" s="365"/>
      <c r="K587" s="25"/>
      <c r="L587" s="778"/>
      <c r="M587" s="778"/>
      <c r="N587" s="678"/>
      <c r="O587" s="678"/>
      <c r="P587" s="456"/>
      <c r="Q587" s="792"/>
      <c r="R587" s="793"/>
      <c r="S587" s="306"/>
      <c r="T587" s="821"/>
      <c r="U587" s="25">
        <f t="shared" si="117"/>
        <v>0</v>
      </c>
      <c r="V587" s="456"/>
      <c r="W587" s="792"/>
      <c r="X587" s="822"/>
      <c r="Y587" s="821"/>
      <c r="Z587" s="25">
        <f t="shared" si="118"/>
        <v>0</v>
      </c>
    </row>
    <row r="588" spans="1:26" s="795" customFormat="1" ht="16.5" customHeight="1">
      <c r="A588" s="779"/>
      <c r="B588" s="780" t="s">
        <v>243</v>
      </c>
      <c r="C588" s="546">
        <f>SUM(C346:C587)</f>
        <v>337375734</v>
      </c>
      <c r="D588" s="546">
        <v>18379956</v>
      </c>
      <c r="E588" s="546">
        <f>$Z$588</f>
        <v>5816000</v>
      </c>
      <c r="F588" s="546">
        <v>12540000</v>
      </c>
      <c r="G588" s="546">
        <v>1002320</v>
      </c>
      <c r="H588" s="546">
        <v>18250000</v>
      </c>
      <c r="I588" s="546">
        <v>4687116</v>
      </c>
      <c r="J588" s="457"/>
      <c r="K588" s="546">
        <f>SUM(K346:K587)</f>
        <v>398051099.09153324</v>
      </c>
      <c r="L588" s="546">
        <f>ROUND(SUM(L346:L587),0)</f>
        <v>46727</v>
      </c>
      <c r="M588" s="546"/>
      <c r="N588" s="678"/>
      <c r="O588" s="678"/>
      <c r="P588" s="796"/>
      <c r="Q588" s="797"/>
      <c r="R588" s="798"/>
      <c r="S588" s="846"/>
      <c r="T588" s="820"/>
      <c r="U588" s="47">
        <f>SUM(U346:U587)</f>
        <v>337375734</v>
      </c>
      <c r="V588" s="796"/>
      <c r="W588" s="797"/>
      <c r="X588" s="810"/>
      <c r="Y588" s="820"/>
      <c r="Z588" s="47">
        <f>SUM(Z346:Z587)</f>
        <v>5816000</v>
      </c>
    </row>
    <row r="589" spans="1:26" s="774" customFormat="1">
      <c r="A589" s="773"/>
      <c r="B589" s="773"/>
      <c r="C589" s="773"/>
      <c r="D589" s="773"/>
      <c r="E589" s="773"/>
      <c r="F589" s="773"/>
      <c r="G589" s="773"/>
      <c r="H589" s="773"/>
      <c r="I589" s="773"/>
      <c r="J589" s="443"/>
      <c r="K589" s="294"/>
      <c r="L589" s="773"/>
      <c r="M589" s="773"/>
      <c r="N589" s="678"/>
      <c r="O589" s="678"/>
      <c r="P589" s="773"/>
      <c r="Q589" s="786"/>
      <c r="R589" s="787"/>
      <c r="S589" s="840"/>
      <c r="T589" s="294"/>
      <c r="U589" s="773"/>
      <c r="V589" s="773"/>
      <c r="W589" s="786"/>
      <c r="X589" s="294"/>
      <c r="Y589" s="294"/>
      <c r="Z589" s="773"/>
    </row>
    <row r="590" spans="1:26">
      <c r="N590" s="678"/>
      <c r="O590" s="678"/>
    </row>
    <row r="591" spans="1:26">
      <c r="K591" s="802"/>
      <c r="N591" s="678"/>
      <c r="O591" s="678"/>
    </row>
    <row r="592" spans="1:26">
      <c r="N592" s="678"/>
      <c r="O592" s="678"/>
    </row>
  </sheetData>
  <autoFilter ref="A345:AB586"/>
  <sortState ref="A359:AB597">
    <sortCondition ref="W359:W597"/>
  </sortState>
  <dataValidations count="1">
    <dataValidation type="list" allowBlank="1" showInputMessage="1" showErrorMessage="1" sqref="P345 P184 P6 V345 V184 V6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7" customWidth="1"/>
    <col min="2" max="2" width="15.7109375" style="597" customWidth="1"/>
    <col min="3" max="3" width="16.85546875" style="597" customWidth="1"/>
    <col min="4" max="9" width="15.28515625" style="597" customWidth="1"/>
    <col min="10" max="10" width="10.140625" style="597" customWidth="1"/>
    <col min="11" max="11" width="5.85546875" style="597" customWidth="1"/>
    <col min="12" max="16384" width="10.28515625" style="597"/>
  </cols>
  <sheetData>
    <row r="1" spans="1:11" s="461" customFormat="1" ht="19.5" customHeight="1">
      <c r="A1" s="584" t="str">
        <f>TH!A1</f>
        <v>Đơn vị: CÔNG TY TNHH SX TM KIM DUNG PHÁT</v>
      </c>
      <c r="B1" s="584"/>
      <c r="D1" s="462"/>
      <c r="E1" s="462"/>
      <c r="F1" s="462"/>
      <c r="G1" s="1078" t="s">
        <v>244</v>
      </c>
      <c r="H1" s="1078"/>
      <c r="I1" s="1078"/>
      <c r="J1" s="463"/>
      <c r="K1" s="464"/>
    </row>
    <row r="2" spans="1:11" s="461" customFormat="1" ht="19.5" customHeight="1">
      <c r="A2" s="634" t="str">
        <f>TH!A2</f>
        <v>Địa chỉ: 1A227/1 Ấp 1, Phạm Văn Hai, Bình Chánh, TPHCM</v>
      </c>
      <c r="B2" s="584"/>
      <c r="D2" s="465"/>
      <c r="E2" s="465"/>
      <c r="F2" s="465"/>
      <c r="G2" s="1079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9"/>
      <c r="I2" s="1079"/>
      <c r="J2" s="463"/>
      <c r="K2" s="441">
        <v>1</v>
      </c>
    </row>
    <row r="3" spans="1:11" s="461" customFormat="1" ht="15">
      <c r="A3" s="585"/>
      <c r="B3" s="586"/>
      <c r="C3" s="465"/>
      <c r="D3" s="465"/>
      <c r="E3" s="465"/>
      <c r="F3" s="465"/>
      <c r="G3" s="1079"/>
      <c r="H3" s="1079"/>
      <c r="I3" s="1079"/>
      <c r="J3" s="463"/>
    </row>
    <row r="4" spans="1:11" s="588" customFormat="1" ht="17.25" customHeight="1">
      <c r="A4" s="1080" t="s">
        <v>245</v>
      </c>
      <c r="B4" s="1080"/>
      <c r="C4" s="1080"/>
      <c r="D4" s="1080"/>
      <c r="E4" s="1080"/>
      <c r="F4" s="1080"/>
      <c r="G4" s="1080"/>
      <c r="H4" s="1080"/>
      <c r="I4" s="1080"/>
      <c r="J4" s="587"/>
    </row>
    <row r="5" spans="1:11" s="589" customFormat="1" ht="17.25" customHeight="1">
      <c r="B5" s="590"/>
      <c r="C5" s="591" t="s">
        <v>345</v>
      </c>
      <c r="D5" s="590" t="str">
        <f>IF($K$2&lt;10,"0"&amp;$K$2&amp;"  năm 2011",$K$2&amp;"  năm 2011")</f>
        <v>01  năm 2011</v>
      </c>
      <c r="E5" s="590"/>
      <c r="F5" s="590"/>
      <c r="G5" s="590"/>
      <c r="H5" s="590"/>
      <c r="I5" s="590"/>
      <c r="J5" s="590"/>
    </row>
    <row r="6" spans="1:11" s="589" customFormat="1" ht="17.25" customHeight="1">
      <c r="B6" s="592"/>
      <c r="C6" s="1081" t="s">
        <v>246</v>
      </c>
      <c r="D6" s="1081"/>
      <c r="E6" s="1082"/>
      <c r="F6" s="1082"/>
      <c r="G6" s="1082"/>
      <c r="H6" s="719"/>
      <c r="I6" s="592"/>
      <c r="J6" s="590"/>
    </row>
    <row r="7" spans="1:11" s="594" customFormat="1" ht="9.75" customHeight="1">
      <c r="A7" s="593"/>
      <c r="B7" s="593"/>
      <c r="C7" s="593"/>
      <c r="D7" s="593"/>
      <c r="E7" s="593"/>
      <c r="F7" s="593"/>
      <c r="G7" s="593"/>
      <c r="H7" s="593"/>
      <c r="I7" s="593"/>
      <c r="J7" s="592"/>
    </row>
    <row r="8" spans="1:11" s="467" customFormat="1" ht="17.25" customHeight="1">
      <c r="A8" s="1083" t="s">
        <v>247</v>
      </c>
      <c r="B8" s="1084" t="s">
        <v>248</v>
      </c>
      <c r="C8" s="1084" t="s">
        <v>249</v>
      </c>
      <c r="D8" s="1084"/>
      <c r="E8" s="1084"/>
      <c r="F8" s="1084"/>
      <c r="G8" s="1084"/>
      <c r="H8" s="1084"/>
      <c r="I8" s="1084"/>
      <c r="J8" s="466"/>
    </row>
    <row r="9" spans="1:11" s="470" customFormat="1" ht="35.25" customHeight="1">
      <c r="A9" s="1083"/>
      <c r="B9" s="1084"/>
      <c r="C9" s="468" t="s">
        <v>775</v>
      </c>
      <c r="D9" s="468" t="s">
        <v>250</v>
      </c>
      <c r="E9" s="468" t="s">
        <v>776</v>
      </c>
      <c r="F9" s="468" t="s">
        <v>777</v>
      </c>
      <c r="G9" s="468" t="s">
        <v>251</v>
      </c>
      <c r="H9" s="468" t="s">
        <v>252</v>
      </c>
      <c r="I9" s="468" t="s">
        <v>778</v>
      </c>
      <c r="J9" s="469"/>
    </row>
    <row r="10" spans="1:11" s="473" customFormat="1" ht="15">
      <c r="A10" s="471" t="s">
        <v>2</v>
      </c>
      <c r="B10" s="472">
        <v>1</v>
      </c>
      <c r="C10" s="472">
        <v>2</v>
      </c>
      <c r="D10" s="472">
        <v>3</v>
      </c>
      <c r="E10" s="472">
        <v>4</v>
      </c>
      <c r="F10" s="472">
        <v>5</v>
      </c>
      <c r="G10" s="472">
        <v>6</v>
      </c>
      <c r="H10" s="472">
        <v>7</v>
      </c>
      <c r="I10" s="472">
        <v>8</v>
      </c>
      <c r="J10" s="463"/>
    </row>
    <row r="11" spans="1:11" s="589" customFormat="1" ht="24.75" customHeight="1">
      <c r="A11" s="595" t="s">
        <v>253</v>
      </c>
      <c r="B11" s="596">
        <f>ROUND(SUM(C11:I11),0)</f>
        <v>0</v>
      </c>
      <c r="C11" s="596">
        <v>0</v>
      </c>
      <c r="D11" s="596">
        <v>0</v>
      </c>
      <c r="E11" s="596">
        <v>0</v>
      </c>
      <c r="F11" s="596">
        <v>0</v>
      </c>
      <c r="G11" s="596">
        <v>0</v>
      </c>
      <c r="H11" s="596">
        <v>0</v>
      </c>
      <c r="I11" s="596">
        <v>0</v>
      </c>
      <c r="J11" s="590"/>
    </row>
    <row r="12" spans="1:11" s="589" customFormat="1" ht="24.75" customHeight="1">
      <c r="A12" s="595" t="s">
        <v>254</v>
      </c>
      <c r="B12" s="596" t="e">
        <f ca="1">ROUND(SUM(C12:I12),0)</f>
        <v>#REF!</v>
      </c>
      <c r="C12" s="596" t="e">
        <f ca="1">IF(ISNA(VLOOKUP($E6,INDIRECT("DSSP"&amp;$K$2),5,0)),0,VLOOKUP($E6,INDIRECT("DSSP"&amp;$K$2),5,0))</f>
        <v>#REF!</v>
      </c>
      <c r="D12" s="596" t="e">
        <f ca="1">IF(ISNA(VLOOKUP($E6,INDIRECT("DSSP"&amp;$K$2),6,0)),0,VLOOKUP($E6,INDIRECT("DSSP"&amp;$K$2),6,0))</f>
        <v>#REF!</v>
      </c>
      <c r="E12" s="596" t="e">
        <f ca="1">IF(ISNA(VLOOKUP($E6,INDIRECT("DSSP"&amp;$K$2),7,0)),0,VLOOKUP($E6,INDIRECT("DSSP"&amp;$K$2),7,0))</f>
        <v>#REF!</v>
      </c>
      <c r="F12" s="596" t="e">
        <f ca="1">IF(ISNA(VLOOKUP($E6,INDIRECT("DSSP"&amp;$K$2),8,0)),0,VLOOKUP($E6,INDIRECT("DSSP"&amp;$K$2),8,0))</f>
        <v>#REF!</v>
      </c>
      <c r="G12" s="596" t="e">
        <f ca="1">IF(ISNA(VLOOKUP($E6,INDIRECT("DSSP"&amp;$K$2),9,0)),0,VLOOKUP($E6,INDIRECT("DSSP"&amp;$K$2),9,0))</f>
        <v>#REF!</v>
      </c>
      <c r="H12" s="596" t="e">
        <f ca="1">IF(ISNA(VLOOKUP($E6,INDIRECT("DSSP"&amp;$K$2),10,0)),0,VLOOKUP($E6,INDIRECT("DSSP"&amp;$K$2),10,0))</f>
        <v>#REF!</v>
      </c>
      <c r="I12" s="596" t="e">
        <f ca="1">IF(ISNA(VLOOKUP($E6,INDIRECT("DSSP"&amp;$K$2),11,0)),0,VLOOKUP($E6,INDIRECT("DSSP"&amp;$K$2),11,0))</f>
        <v>#REF!</v>
      </c>
      <c r="J12" s="590"/>
    </row>
    <row r="13" spans="1:11" s="589" customFormat="1" ht="24.75" customHeight="1">
      <c r="A13" s="595" t="s">
        <v>255</v>
      </c>
      <c r="B13" s="596" t="e">
        <f ca="1">ROUND(IF(ISNA(VLOOKUP($E6,INDIRECT("DSSP"&amp;$K$2),13,0)),0,VLOOKUP($E6,INDIRECT("DSSP"&amp;$K$2),13,0)),0)</f>
        <v>#REF!</v>
      </c>
      <c r="C13" s="596" t="e">
        <f t="shared" ref="C13:I13" ca="1" si="0">C12</f>
        <v>#REF!</v>
      </c>
      <c r="D13" s="596" t="e">
        <f t="shared" ca="1" si="0"/>
        <v>#REF!</v>
      </c>
      <c r="E13" s="596" t="e">
        <f t="shared" ca="1" si="0"/>
        <v>#REF!</v>
      </c>
      <c r="F13" s="596"/>
      <c r="G13" s="596" t="e">
        <f t="shared" ca="1" si="0"/>
        <v>#REF!</v>
      </c>
      <c r="H13" s="596"/>
      <c r="I13" s="596" t="e">
        <f t="shared" ca="1" si="0"/>
        <v>#REF!</v>
      </c>
      <c r="J13" s="590"/>
    </row>
    <row r="14" spans="1:11" s="589" customFormat="1" ht="24.75" customHeight="1">
      <c r="A14" s="595" t="s">
        <v>256</v>
      </c>
      <c r="B14" s="596" t="e">
        <f ca="1">B12-B13</f>
        <v>#REF!</v>
      </c>
      <c r="C14" s="596" t="e">
        <f t="shared" ref="C14:I14" ca="1" si="1">C12-C13</f>
        <v>#REF!</v>
      </c>
      <c r="D14" s="596" t="e">
        <f t="shared" ca="1" si="1"/>
        <v>#REF!</v>
      </c>
      <c r="E14" s="596" t="e">
        <f t="shared" ca="1" si="1"/>
        <v>#REF!</v>
      </c>
      <c r="F14" s="596"/>
      <c r="G14" s="596" t="e">
        <f t="shared" ca="1" si="1"/>
        <v>#REF!</v>
      </c>
      <c r="H14" s="596"/>
      <c r="I14" s="596" t="e">
        <f t="shared" ca="1" si="1"/>
        <v>#REF!</v>
      </c>
      <c r="J14" s="590"/>
    </row>
    <row r="15" spans="1:11" s="589" customFormat="1" ht="15">
      <c r="B15" s="590"/>
      <c r="C15" s="590"/>
      <c r="D15" s="590"/>
      <c r="E15" s="590"/>
      <c r="F15" s="590"/>
      <c r="G15" s="590"/>
      <c r="H15" s="590"/>
      <c r="I15" s="590"/>
      <c r="J15" s="590"/>
    </row>
    <row r="16" spans="1:11" s="589" customFormat="1" ht="15">
      <c r="B16" s="590"/>
      <c r="C16" s="590"/>
      <c r="D16" s="590"/>
      <c r="E16" s="1077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7"/>
      <c r="G16" s="1077"/>
      <c r="H16" s="1077"/>
      <c r="I16" s="1077"/>
      <c r="J16" s="590"/>
    </row>
    <row r="17" spans="2:10" s="589" customFormat="1" ht="15">
      <c r="B17" s="473" t="s">
        <v>257</v>
      </c>
      <c r="C17" s="590"/>
      <c r="D17" s="590"/>
      <c r="E17" s="1077" t="s">
        <v>12</v>
      </c>
      <c r="F17" s="1077"/>
      <c r="G17" s="1077"/>
      <c r="H17" s="1077"/>
      <c r="I17" s="1077"/>
      <c r="J17" s="590"/>
    </row>
    <row r="19" spans="2:10" ht="15">
      <c r="E19" s="598"/>
      <c r="F19" s="598"/>
    </row>
    <row r="26" spans="2:10">
      <c r="B26" s="572" t="s">
        <v>143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7" customWidth="1"/>
    <col min="2" max="2" width="9.140625" style="507" customWidth="1"/>
    <col min="3" max="3" width="9" style="508" customWidth="1"/>
    <col min="4" max="4" width="28.140625" style="507" customWidth="1"/>
    <col min="5" max="5" width="9.140625" style="507" customWidth="1"/>
    <col min="6" max="6" width="9.28515625" style="508" customWidth="1"/>
    <col min="7" max="7" width="9" style="507" customWidth="1"/>
    <col min="8" max="8" width="14.5703125" style="507" customWidth="1"/>
    <col min="9" max="9" width="6" style="507" customWidth="1"/>
    <col min="10" max="10" width="14.140625" style="507" customWidth="1"/>
    <col min="11" max="11" width="14.85546875" style="509" customWidth="1"/>
    <col min="12" max="12" width="14.42578125" style="507" customWidth="1"/>
    <col min="13" max="13" width="5.85546875" style="507" customWidth="1"/>
    <col min="14" max="14" width="7.42578125" style="507" customWidth="1"/>
    <col min="15" max="15" width="11.7109375" style="507" customWidth="1"/>
    <col min="16" max="16" width="4.5703125" style="573" customWidth="1"/>
    <col min="17" max="17" width="11.140625" style="507" bestFit="1" customWidth="1"/>
    <col min="18" max="18" width="12" style="507" bestFit="1" customWidth="1"/>
    <col min="19" max="16384" width="9.140625" style="507"/>
  </cols>
  <sheetData>
    <row r="1" spans="1:18" ht="15" customHeight="1">
      <c r="A1" s="635" t="str">
        <f>TH!A1</f>
        <v>Đơn vị: CÔNG TY TNHH SX TM KIM DUNG PHÁT</v>
      </c>
      <c r="L1" s="1095" t="s">
        <v>276</v>
      </c>
      <c r="M1" s="1095"/>
      <c r="N1" s="1095"/>
      <c r="O1" s="1095"/>
    </row>
    <row r="2" spans="1:18" ht="15" customHeight="1">
      <c r="A2" s="506" t="str">
        <f>TH!A2</f>
        <v>Địa chỉ: 1A227/1 Ấp 1, Phạm Văn Hai, Bình Chánh, TPHCM</v>
      </c>
      <c r="L2" s="1094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4"/>
      <c r="N2" s="1094"/>
      <c r="O2" s="1094"/>
    </row>
    <row r="3" spans="1:18" ht="15" customHeight="1">
      <c r="L3" s="1094"/>
      <c r="M3" s="1094"/>
      <c r="N3" s="1094"/>
      <c r="O3" s="1094"/>
    </row>
    <row r="5" spans="1:18" s="512" customFormat="1" ht="24" customHeight="1">
      <c r="A5" s="1096" t="s">
        <v>277</v>
      </c>
      <c r="B5" s="1096"/>
      <c r="C5" s="1096"/>
      <c r="D5" s="1096"/>
      <c r="E5" s="1096"/>
      <c r="F5" s="1096"/>
      <c r="G5" s="1096"/>
      <c r="H5" s="1096"/>
      <c r="I5" s="1096"/>
      <c r="J5" s="1096"/>
      <c r="K5" s="1096"/>
      <c r="L5" s="1096"/>
      <c r="M5" s="1096"/>
      <c r="N5" s="1096"/>
      <c r="O5" s="1096"/>
      <c r="P5" s="574"/>
    </row>
    <row r="6" spans="1:18" s="512" customFormat="1" ht="21" customHeight="1">
      <c r="A6" s="1097" t="s">
        <v>779</v>
      </c>
      <c r="B6" s="1097"/>
      <c r="C6" s="1097"/>
      <c r="D6" s="1097"/>
      <c r="E6" s="1097"/>
      <c r="F6" s="1097"/>
      <c r="G6" s="1097"/>
      <c r="H6" s="1097"/>
      <c r="I6" s="1097"/>
      <c r="J6" s="1097"/>
      <c r="K6" s="1097"/>
      <c r="L6" s="1097"/>
      <c r="M6" s="1097"/>
      <c r="N6" s="1097"/>
      <c r="O6" s="1097"/>
      <c r="P6" s="574"/>
    </row>
    <row r="7" spans="1:18" s="512" customFormat="1" ht="21" customHeight="1">
      <c r="A7" s="1098" t="s">
        <v>319</v>
      </c>
      <c r="B7" s="1098"/>
      <c r="C7" s="1098"/>
      <c r="D7" s="1098"/>
      <c r="E7" s="1098"/>
      <c r="F7" s="1098"/>
      <c r="G7" s="1098"/>
      <c r="H7" s="1098"/>
      <c r="I7" s="1098"/>
      <c r="J7" s="1098"/>
      <c r="K7" s="1098"/>
      <c r="L7" s="1098"/>
      <c r="M7" s="1098"/>
      <c r="N7" s="1098"/>
      <c r="O7" s="1098"/>
      <c r="P7" s="574"/>
    </row>
    <row r="8" spans="1:18">
      <c r="D8" s="508"/>
    </row>
    <row r="9" spans="1:18" s="513" customFormat="1" ht="24" customHeight="1">
      <c r="A9" s="1085" t="s">
        <v>225</v>
      </c>
      <c r="B9" s="1088" t="s">
        <v>278</v>
      </c>
      <c r="C9" s="1089"/>
      <c r="D9" s="1089"/>
      <c r="E9" s="1089"/>
      <c r="F9" s="1089"/>
      <c r="G9" s="1089"/>
      <c r="H9" s="1090"/>
      <c r="I9" s="1088" t="s">
        <v>279</v>
      </c>
      <c r="J9" s="1089"/>
      <c r="K9" s="1089"/>
      <c r="L9" s="1090"/>
      <c r="M9" s="1091" t="s">
        <v>280</v>
      </c>
      <c r="N9" s="1091"/>
      <c r="O9" s="1091"/>
      <c r="P9" s="575"/>
    </row>
    <row r="10" spans="1:18" s="513" customFormat="1" ht="24" customHeight="1">
      <c r="A10" s="1086"/>
      <c r="B10" s="1088" t="s">
        <v>281</v>
      </c>
      <c r="C10" s="1090"/>
      <c r="D10" s="1085" t="s">
        <v>282</v>
      </c>
      <c r="E10" s="1085" t="s">
        <v>283</v>
      </c>
      <c r="F10" s="1085" t="s">
        <v>284</v>
      </c>
      <c r="G10" s="1085" t="s">
        <v>285</v>
      </c>
      <c r="H10" s="1085" t="s">
        <v>286</v>
      </c>
      <c r="I10" s="1088" t="s">
        <v>287</v>
      </c>
      <c r="J10" s="1090"/>
      <c r="K10" s="1092" t="s">
        <v>288</v>
      </c>
      <c r="L10" s="1085" t="s">
        <v>289</v>
      </c>
      <c r="M10" s="1091" t="s">
        <v>281</v>
      </c>
      <c r="N10" s="1091"/>
      <c r="O10" s="1091" t="s">
        <v>290</v>
      </c>
      <c r="P10" s="575"/>
    </row>
    <row r="11" spans="1:18" s="513" customFormat="1" ht="55.5" customHeight="1">
      <c r="A11" s="1087"/>
      <c r="B11" s="514" t="s">
        <v>291</v>
      </c>
      <c r="C11" s="514" t="s">
        <v>226</v>
      </c>
      <c r="D11" s="1087"/>
      <c r="E11" s="1087"/>
      <c r="F11" s="1087"/>
      <c r="G11" s="1087"/>
      <c r="H11" s="1087"/>
      <c r="I11" s="514" t="s">
        <v>292</v>
      </c>
      <c r="J11" s="514" t="s">
        <v>293</v>
      </c>
      <c r="K11" s="1093"/>
      <c r="L11" s="1087"/>
      <c r="M11" s="514" t="s">
        <v>15</v>
      </c>
      <c r="N11" s="514" t="s">
        <v>226</v>
      </c>
      <c r="O11" s="1091"/>
      <c r="P11" s="575"/>
    </row>
    <row r="12" spans="1:18" s="517" customFormat="1" ht="13.5">
      <c r="A12" s="515" t="s">
        <v>2</v>
      </c>
      <c r="B12" s="515" t="s">
        <v>3</v>
      </c>
      <c r="C12" s="515" t="s">
        <v>4</v>
      </c>
      <c r="D12" s="515" t="s">
        <v>5</v>
      </c>
      <c r="E12" s="515" t="s">
        <v>6</v>
      </c>
      <c r="F12" s="515" t="s">
        <v>123</v>
      </c>
      <c r="G12" s="515" t="s">
        <v>294</v>
      </c>
      <c r="H12" s="515">
        <v>1</v>
      </c>
      <c r="I12" s="515">
        <v>2</v>
      </c>
      <c r="J12" s="515">
        <v>3</v>
      </c>
      <c r="K12" s="516"/>
      <c r="L12" s="515">
        <v>4</v>
      </c>
      <c r="M12" s="515" t="s">
        <v>295</v>
      </c>
      <c r="N12" s="515" t="s">
        <v>296</v>
      </c>
      <c r="O12" s="515" t="s">
        <v>297</v>
      </c>
      <c r="P12" s="576"/>
    </row>
    <row r="13" spans="1:18" s="517" customFormat="1" ht="21.75" customHeight="1">
      <c r="A13" s="537" t="s">
        <v>295</v>
      </c>
      <c r="B13" s="539" t="s">
        <v>318</v>
      </c>
      <c r="C13" s="537"/>
      <c r="D13" s="537"/>
      <c r="E13" s="537"/>
      <c r="F13" s="537"/>
      <c r="G13" s="577"/>
      <c r="H13" s="544"/>
      <c r="I13" s="544"/>
      <c r="J13" s="544"/>
      <c r="K13" s="544"/>
      <c r="L13" s="8"/>
      <c r="M13" s="537"/>
      <c r="N13" s="537"/>
      <c r="O13" s="182"/>
      <c r="P13" s="576" t="str">
        <f>IF(D13='THE-TS'!$D$11,"x","")</f>
        <v/>
      </c>
    </row>
    <row r="14" spans="1:18" ht="21.75" customHeight="1">
      <c r="A14" s="538">
        <v>1</v>
      </c>
      <c r="B14" s="548" t="s">
        <v>671</v>
      </c>
      <c r="C14" s="518">
        <v>40682</v>
      </c>
      <c r="D14" s="210" t="s">
        <v>459</v>
      </c>
      <c r="E14" s="456" t="s">
        <v>298</v>
      </c>
      <c r="F14" s="547" t="s">
        <v>787</v>
      </c>
      <c r="G14" s="577" t="s">
        <v>726</v>
      </c>
      <c r="H14" s="258">
        <v>18000000</v>
      </c>
      <c r="I14" s="258">
        <v>5</v>
      </c>
      <c r="J14" s="8">
        <v>2100000</v>
      </c>
      <c r="K14" s="8"/>
      <c r="L14" s="8">
        <f t="shared" ref="L14:L16" si="0">K14+J14</f>
        <v>2100000</v>
      </c>
      <c r="M14" s="534"/>
      <c r="N14" s="456"/>
      <c r="O14" s="182"/>
      <c r="P14" s="576" t="str">
        <f>IF(D14='THE-TS'!$D$11,"x","")</f>
        <v>x</v>
      </c>
      <c r="Q14" s="294"/>
      <c r="R14" s="294"/>
    </row>
    <row r="15" spans="1:18" ht="21.75" customHeight="1">
      <c r="A15" s="538">
        <v>2</v>
      </c>
      <c r="B15" s="547" t="s">
        <v>674</v>
      </c>
      <c r="C15" s="518">
        <v>40686</v>
      </c>
      <c r="D15" s="210" t="s">
        <v>462</v>
      </c>
      <c r="E15" s="456" t="s">
        <v>298</v>
      </c>
      <c r="F15" s="547" t="s">
        <v>787</v>
      </c>
      <c r="G15" s="577" t="s">
        <v>727</v>
      </c>
      <c r="H15" s="258">
        <v>27000000</v>
      </c>
      <c r="I15" s="258">
        <v>5</v>
      </c>
      <c r="J15" s="8">
        <v>3150000</v>
      </c>
      <c r="K15" s="8"/>
      <c r="L15" s="8">
        <f t="shared" si="0"/>
        <v>3150000</v>
      </c>
      <c r="M15" s="534"/>
      <c r="N15" s="456"/>
      <c r="O15" s="182"/>
      <c r="P15" s="576" t="str">
        <f>IF(D15='THE-TS'!$D$11,"x","")</f>
        <v/>
      </c>
      <c r="Q15" s="294"/>
      <c r="R15" s="294"/>
    </row>
    <row r="16" spans="1:18" ht="21.75" customHeight="1">
      <c r="A16" s="538">
        <v>3</v>
      </c>
      <c r="B16" s="547" t="s">
        <v>337</v>
      </c>
      <c r="C16" s="518">
        <v>40710</v>
      </c>
      <c r="D16" s="210" t="s">
        <v>528</v>
      </c>
      <c r="E16" s="456" t="s">
        <v>298</v>
      </c>
      <c r="F16" s="547" t="s">
        <v>788</v>
      </c>
      <c r="G16" s="577" t="s">
        <v>728</v>
      </c>
      <c r="H16" s="258">
        <v>320000000</v>
      </c>
      <c r="I16" s="258">
        <v>5</v>
      </c>
      <c r="J16" s="8">
        <v>32000000</v>
      </c>
      <c r="K16" s="8"/>
      <c r="L16" s="8">
        <f t="shared" si="0"/>
        <v>32000000</v>
      </c>
      <c r="M16" s="534"/>
      <c r="N16" s="182"/>
      <c r="O16" s="182"/>
      <c r="P16" s="576" t="str">
        <f>IF(D16='THE-TS'!$D$11,"x","")</f>
        <v/>
      </c>
      <c r="Q16" s="294"/>
      <c r="R16" s="294"/>
    </row>
    <row r="17" spans="1:18" ht="21.75" customHeight="1">
      <c r="A17" s="519"/>
      <c r="B17" s="540"/>
      <c r="C17" s="541"/>
      <c r="D17" s="542"/>
      <c r="E17" s="520"/>
      <c r="F17" s="541"/>
      <c r="G17" s="540"/>
      <c r="H17" s="545"/>
      <c r="I17" s="545"/>
      <c r="J17" s="301"/>
      <c r="K17" s="301"/>
      <c r="L17" s="301"/>
      <c r="M17" s="520"/>
      <c r="N17" s="520"/>
      <c r="O17" s="520"/>
      <c r="P17" s="576" t="str">
        <f>IF(D17='THE-TS'!$D$11,"x","")</f>
        <v/>
      </c>
      <c r="R17" s="535"/>
    </row>
    <row r="18" spans="1:18" s="523" customFormat="1" ht="21.75" customHeight="1">
      <c r="A18" s="521"/>
      <c r="B18" s="522"/>
      <c r="C18" s="521"/>
      <c r="D18" s="521" t="s">
        <v>299</v>
      </c>
      <c r="E18" s="521" t="s">
        <v>18</v>
      </c>
      <c r="F18" s="521" t="s">
        <v>18</v>
      </c>
      <c r="G18" s="521" t="s">
        <v>18</v>
      </c>
      <c r="H18" s="546">
        <f>SUM(H13:H17)</f>
        <v>365000000</v>
      </c>
      <c r="I18" s="546"/>
      <c r="J18" s="546">
        <f>SUM(J13:J17)</f>
        <v>37250000</v>
      </c>
      <c r="K18" s="546">
        <f>SUM(K13:K17)</f>
        <v>0</v>
      </c>
      <c r="L18" s="546">
        <f>SUM(L13:L17)</f>
        <v>37250000</v>
      </c>
      <c r="M18" s="582" t="s">
        <v>18</v>
      </c>
      <c r="N18" s="582" t="s">
        <v>18</v>
      </c>
      <c r="O18" s="582" t="s">
        <v>18</v>
      </c>
      <c r="P18" s="576" t="str">
        <f>IF(D18='THE-TS'!$D$11,"x","")</f>
        <v/>
      </c>
    </row>
    <row r="19" spans="1:18" ht="6.75" customHeight="1">
      <c r="A19" s="459"/>
      <c r="B19" s="459"/>
      <c r="C19" s="524"/>
      <c r="D19" s="459"/>
      <c r="E19" s="524"/>
      <c r="F19" s="524"/>
      <c r="G19" s="524"/>
      <c r="H19" s="459"/>
      <c r="I19" s="459"/>
      <c r="J19" s="459"/>
      <c r="K19" s="525"/>
      <c r="L19" s="459"/>
      <c r="M19" s="459"/>
      <c r="N19" s="459"/>
      <c r="O19" s="459"/>
      <c r="P19" s="576" t="str">
        <f>IF(D19='THE-TS'!$D$11,"x","")</f>
        <v/>
      </c>
    </row>
    <row r="20" spans="1:18" ht="13.5" customHeight="1">
      <c r="A20" s="459"/>
      <c r="B20" s="459"/>
      <c r="C20" s="524"/>
      <c r="D20" s="459" t="s">
        <v>300</v>
      </c>
      <c r="E20" s="459"/>
      <c r="F20" s="524"/>
      <c r="G20" s="459"/>
      <c r="H20" s="509"/>
      <c r="I20" s="509"/>
      <c r="J20" s="583"/>
      <c r="L20" s="509"/>
      <c r="M20" s="459"/>
      <c r="N20" s="459"/>
      <c r="O20" s="459"/>
      <c r="P20" s="576" t="str">
        <f>IF(D20='THE-TS'!$D$11,"x","")</f>
        <v/>
      </c>
    </row>
    <row r="21" spans="1:18" ht="13.5" customHeight="1">
      <c r="A21" s="459"/>
      <c r="B21" s="459"/>
      <c r="C21" s="524"/>
      <c r="D21" s="459" t="s">
        <v>781</v>
      </c>
      <c r="E21" s="459"/>
      <c r="F21" s="524"/>
      <c r="G21" s="459"/>
      <c r="H21" s="535"/>
      <c r="I21" s="459"/>
      <c r="J21" s="543"/>
      <c r="K21" s="525"/>
      <c r="L21" s="459"/>
      <c r="M21" s="459"/>
      <c r="N21" s="459"/>
      <c r="O21" s="459"/>
      <c r="P21" s="576" t="str">
        <f>IF(D21='THE-TS'!$D$11,"x","")</f>
        <v/>
      </c>
    </row>
    <row r="22" spans="1:18" ht="13.5" customHeight="1">
      <c r="K22" s="526"/>
      <c r="L22" s="511" t="s">
        <v>780</v>
      </c>
      <c r="P22" s="576" t="str">
        <f>IF(D22='THE-TS'!$D$11,"x","")</f>
        <v/>
      </c>
    </row>
    <row r="23" spans="1:18" ht="13.5" customHeight="1">
      <c r="B23" s="508"/>
      <c r="D23" s="508" t="s">
        <v>11</v>
      </c>
      <c r="F23" s="508" t="s">
        <v>301</v>
      </c>
      <c r="I23" s="527"/>
      <c r="K23" s="524"/>
      <c r="L23" s="524" t="s">
        <v>101</v>
      </c>
      <c r="P23" s="576" t="str">
        <f>IF(D23='THE-TS'!$D$11,"x","")</f>
        <v/>
      </c>
    </row>
    <row r="24" spans="1:18" ht="13.5" customHeight="1">
      <c r="B24" s="508"/>
      <c r="D24" s="508"/>
      <c r="P24" s="576" t="str">
        <f>IF(D24='THE-TS'!$D$11,"x","")</f>
        <v/>
      </c>
    </row>
    <row r="25" spans="1:18" ht="13.5" customHeight="1">
      <c r="H25" s="528"/>
      <c r="J25" s="528"/>
      <c r="L25" s="528"/>
      <c r="P25" s="576" t="str">
        <f>IF(D25='THE-TS'!$D$11,"x","")</f>
        <v/>
      </c>
    </row>
    <row r="26" spans="1:18" ht="13.5" customHeight="1">
      <c r="H26" s="529"/>
      <c r="P26" s="576" t="str">
        <f>IF(D26='THE-TS'!$D$11,"x","")</f>
        <v/>
      </c>
    </row>
    <row r="27" spans="1:18" ht="13.5" customHeight="1">
      <c r="H27" s="529"/>
      <c r="J27" s="528"/>
      <c r="P27" s="576" t="str">
        <f>IF(D27='THE-TS'!$D$11,"x","")</f>
        <v/>
      </c>
    </row>
    <row r="28" spans="1:18" ht="13.5" customHeight="1">
      <c r="H28" s="529"/>
      <c r="P28" s="576" t="str">
        <f>IF(D28='THE-TS'!$D$11,"x","")</f>
        <v/>
      </c>
    </row>
    <row r="29" spans="1:18" ht="13.5" customHeight="1">
      <c r="H29" s="529"/>
      <c r="P29" s="576" t="str">
        <f>IF(D29='THE-TS'!$D$11,"x","")</f>
        <v/>
      </c>
    </row>
    <row r="30" spans="1:18" s="530" customFormat="1" ht="13.5" customHeight="1">
      <c r="C30" s="531"/>
      <c r="D30" s="531"/>
      <c r="F30" s="531"/>
      <c r="H30" s="532"/>
      <c r="K30" s="533"/>
      <c r="P30" s="576"/>
    </row>
    <row r="31" spans="1:18" ht="13.5">
      <c r="P31" s="576" t="str">
        <f>IF(D31='THE-TS'!$D$11,"x","")</f>
        <v/>
      </c>
    </row>
    <row r="32" spans="1:18" ht="13.5" customHeight="1">
      <c r="H32" s="529"/>
      <c r="P32" s="576" t="str">
        <f>IF(D32='THE-TS'!$D$11,"x","")</f>
        <v/>
      </c>
    </row>
    <row r="33" spans="16:16" ht="13.5">
      <c r="P33" s="576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0" customWidth="1"/>
    <col min="2" max="2" width="10.140625" style="550" customWidth="1"/>
    <col min="3" max="3" width="11.5703125" style="550" customWidth="1"/>
    <col min="4" max="4" width="28.7109375" style="550" customWidth="1"/>
    <col min="5" max="5" width="13.28515625" style="550" customWidth="1"/>
    <col min="6" max="6" width="9.140625" style="550"/>
    <col min="7" max="7" width="14" style="550" customWidth="1"/>
    <col min="8" max="8" width="14.7109375" style="550" customWidth="1"/>
    <col min="9" max="10" width="9.140625" style="550"/>
    <col min="11" max="11" width="13.85546875" style="550" customWidth="1"/>
    <col min="12" max="16384" width="9.140625" style="550"/>
  </cols>
  <sheetData>
    <row r="1" spans="1:11" hidden="1"/>
    <row r="2" spans="1:11">
      <c r="A2" s="636" t="str">
        <f>TH!A1</f>
        <v>Đơn vị: CÔNG TY TNHH SX TM KIM DUNG PHÁT</v>
      </c>
      <c r="B2" s="549"/>
      <c r="C2" s="549"/>
      <c r="D2" s="549"/>
      <c r="E2" s="510"/>
      <c r="F2" s="1095" t="s">
        <v>302</v>
      </c>
      <c r="G2" s="1095"/>
      <c r="H2" s="1095"/>
    </row>
    <row r="3" spans="1:11">
      <c r="A3" s="566" t="str">
        <f>TH!A2</f>
        <v>Địa chỉ: 1A227/1 Ấp 1, Phạm Văn Hai, Bình Chánh, TPHCM</v>
      </c>
      <c r="B3" s="549"/>
      <c r="C3" s="549"/>
      <c r="D3" s="549"/>
      <c r="E3" s="511"/>
      <c r="F3" s="1094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4"/>
      <c r="H3" s="1094"/>
    </row>
    <row r="4" spans="1:11">
      <c r="A4" s="508"/>
      <c r="B4" s="508"/>
      <c r="C4" s="511"/>
      <c r="D4" s="511"/>
      <c r="E4" s="511"/>
      <c r="F4" s="1094"/>
      <c r="G4" s="1094"/>
      <c r="H4" s="1094"/>
    </row>
    <row r="5" spans="1:11">
      <c r="A5" s="508"/>
      <c r="B5" s="508"/>
      <c r="C5" s="511"/>
      <c r="D5" s="511"/>
      <c r="E5" s="511"/>
      <c r="F5" s="511"/>
      <c r="G5" s="511"/>
      <c r="H5" s="511"/>
    </row>
    <row r="6" spans="1:11" ht="23.25" customHeight="1" thickBot="1">
      <c r="A6" s="1100" t="s">
        <v>303</v>
      </c>
      <c r="B6" s="1100"/>
      <c r="C6" s="1100"/>
      <c r="D6" s="1100"/>
      <c r="E6" s="1100"/>
      <c r="F6" s="1100"/>
      <c r="G6" s="1100"/>
      <c r="H6" s="1100"/>
    </row>
    <row r="7" spans="1:11" ht="17.25" customHeight="1" thickBot="1">
      <c r="A7" s="1099" t="str">
        <f ca="1" xml:space="preserve"> IF(ROWS($1:1)&gt;COUNT(Dong3),"","Số: "&amp;OFFSET('SO-TS'!$G$1,SMALL(Dong3,ROWS($1:1)),))</f>
        <v>Số: SX01/11</v>
      </c>
      <c r="B7" s="1099"/>
      <c r="C7" s="1099"/>
      <c r="D7" s="1099"/>
      <c r="E7" s="1099"/>
      <c r="F7" s="1099"/>
      <c r="G7" s="1099"/>
      <c r="H7" s="1099"/>
      <c r="J7" s="567" t="s">
        <v>320</v>
      </c>
      <c r="K7" s="568" t="s">
        <v>326</v>
      </c>
    </row>
    <row r="8" spans="1:11" ht="17.25" customHeight="1">
      <c r="A8" s="1101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1"/>
      <c r="C8" s="1101"/>
      <c r="D8" s="1101"/>
      <c r="E8" s="1101"/>
      <c r="F8" s="1101"/>
      <c r="G8" s="1101"/>
      <c r="H8" s="1101"/>
    </row>
    <row r="9" spans="1:11" ht="12" customHeight="1">
      <c r="A9" s="508"/>
      <c r="B9" s="508"/>
      <c r="C9" s="508"/>
      <c r="D9" s="508"/>
      <c r="E9" s="508"/>
      <c r="F9" s="508"/>
      <c r="G9" s="511"/>
      <c r="H9" s="511"/>
    </row>
    <row r="10" spans="1:11" ht="15" customHeight="1">
      <c r="A10" s="507" t="str">
        <f ca="1">"Căn cứ vào biên bản giao nhận TSCĐ "&amp;"  "&amp;A7&amp;"  "&amp;A8</f>
        <v>Căn cứ vào biên bản giao nhận TSCĐ   Số: SX01/11  Ngày   19   tháng   5  năm   2011</v>
      </c>
      <c r="B10" s="507"/>
      <c r="C10" s="507"/>
      <c r="D10" s="507"/>
      <c r="E10" s="507"/>
      <c r="F10" s="507"/>
      <c r="G10" s="507"/>
      <c r="H10" s="507"/>
    </row>
    <row r="11" spans="1:11" ht="15" customHeight="1">
      <c r="A11" s="507" t="s">
        <v>321</v>
      </c>
      <c r="B11" s="507"/>
      <c r="C11" s="507"/>
      <c r="D11" s="507" t="s">
        <v>459</v>
      </c>
      <c r="E11" s="507" t="str">
        <f ca="1" xml:space="preserve"> IF(ROWS($1:1)&gt;COUNT(Dong3),"","Số hiệu TSCĐ:   "&amp;OFFSET('SO-TS'!$G$1,SMALL(Dong3,ROWS($1:1)),))</f>
        <v>Số hiệu TSCĐ:   SX01/11</v>
      </c>
      <c r="F11" s="507"/>
      <c r="H11" s="507"/>
    </row>
    <row r="12" spans="1:11" ht="15" customHeight="1">
      <c r="A12" s="507" t="str">
        <f ca="1" xml:space="preserve"> IF(ROWS($1:1)&gt;COUNT(Dong3),"","Nước sản xuất:   "&amp;OFFSET('SO-TS'!$E$1,SMALL(Dong3,ROWS($1:1)),))</f>
        <v>Nước sản xuất:   Việt Nam</v>
      </c>
      <c r="B12" s="507"/>
      <c r="C12" s="507"/>
      <c r="D12" s="507"/>
      <c r="E12" s="507" t="s">
        <v>322</v>
      </c>
      <c r="F12" s="507"/>
      <c r="G12" s="507"/>
      <c r="H12" s="507"/>
    </row>
    <row r="13" spans="1:11" ht="15" customHeight="1">
      <c r="A13" s="50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7"/>
      <c r="C13" s="507"/>
      <c r="D13" s="507"/>
      <c r="E13" s="507" t="str">
        <f ca="1" xml:space="preserve"> IF(ROWS($1:1)&gt;COUNT(Dong3),"","Tháng, năm đưa vào sử dụng:    "&amp;OFFSET('SO-TS'!$F$1,SMALL(Dong3,ROWS($1:1)),))</f>
        <v>Tháng, năm đưa vào sử dụng:    06/2011</v>
      </c>
      <c r="F13" s="507"/>
      <c r="G13" s="507"/>
      <c r="H13" s="507"/>
    </row>
    <row r="14" spans="1:11" ht="15" customHeight="1">
      <c r="A14" s="507" t="s">
        <v>304</v>
      </c>
      <c r="B14" s="507"/>
      <c r="C14" s="507"/>
      <c r="D14" s="507"/>
      <c r="E14" s="507"/>
      <c r="F14" s="507"/>
      <c r="G14" s="507"/>
      <c r="H14" s="507"/>
    </row>
    <row r="15" spans="1:11" ht="15" customHeight="1">
      <c r="A15" s="507" t="s">
        <v>324</v>
      </c>
      <c r="B15" s="507"/>
      <c r="C15" s="507"/>
      <c r="D15" s="507"/>
      <c r="E15" s="507"/>
      <c r="F15" s="507"/>
      <c r="G15" s="507"/>
      <c r="H15" s="507"/>
    </row>
    <row r="16" spans="1:11" ht="15" customHeight="1">
      <c r="A16" s="569" t="s">
        <v>323</v>
      </c>
      <c r="B16" s="569"/>
      <c r="C16" s="569"/>
      <c r="D16" s="569"/>
      <c r="E16" s="569"/>
      <c r="F16" s="569"/>
      <c r="G16" s="569"/>
      <c r="H16" s="569"/>
    </row>
    <row r="17" spans="1:8" s="563" customFormat="1" ht="18" customHeight="1">
      <c r="A17" s="1104" t="s">
        <v>117</v>
      </c>
      <c r="B17" s="1105"/>
      <c r="C17" s="1108" t="s">
        <v>305</v>
      </c>
      <c r="D17" s="1109"/>
      <c r="E17" s="1110"/>
      <c r="F17" s="1111" t="s">
        <v>306</v>
      </c>
      <c r="G17" s="1112"/>
      <c r="H17" s="1113"/>
    </row>
    <row r="18" spans="1:8" s="563" customFormat="1" ht="28.5" customHeight="1">
      <c r="A18" s="1106"/>
      <c r="B18" s="1107"/>
      <c r="C18" s="536" t="s">
        <v>307</v>
      </c>
      <c r="D18" s="536" t="s">
        <v>0</v>
      </c>
      <c r="E18" s="536" t="s">
        <v>308</v>
      </c>
      <c r="F18" s="536" t="s">
        <v>309</v>
      </c>
      <c r="G18" s="536" t="s">
        <v>310</v>
      </c>
      <c r="H18" s="536" t="s">
        <v>311</v>
      </c>
    </row>
    <row r="19" spans="1:8" s="565" customFormat="1">
      <c r="A19" s="1114" t="s">
        <v>2</v>
      </c>
      <c r="B19" s="1115"/>
      <c r="C19" s="564" t="s">
        <v>3</v>
      </c>
      <c r="D19" s="564" t="s">
        <v>4</v>
      </c>
      <c r="E19" s="564">
        <v>1</v>
      </c>
      <c r="F19" s="564">
        <v>2</v>
      </c>
      <c r="G19" s="564">
        <v>3</v>
      </c>
      <c r="H19" s="564">
        <v>4</v>
      </c>
    </row>
    <row r="20" spans="1:8" ht="17.25" customHeight="1">
      <c r="A20" s="476">
        <f ca="1">IF(B20&lt;&gt;"",ROW()-19,"")</f>
        <v>1</v>
      </c>
      <c r="B20" s="551" t="str">
        <f ca="1" xml:space="preserve"> IF(ROWS($1:1)&gt;COUNT(Dong3),"",OFFSET('SO-TS'!G$1,SMALL(Dong3,ROWS($1:1)),))</f>
        <v>SX01/11</v>
      </c>
      <c r="C20" s="551" t="str">
        <f ca="1" xml:space="preserve"> IF(ROWS($1:1)&gt;COUNT(Dong3),"",OFFSET('SO-TS'!F$1,SMALL(Dong3,ROWS($1:1)),))</f>
        <v>06/2011</v>
      </c>
      <c r="D20" s="578" t="str">
        <f ca="1" xml:space="preserve"> IF(ROWS($1:1)&gt;COUNT(Dong3),"",OFFSET('SO-TS'!D$1,SMALL(Dong3,ROWS($1:1)),))</f>
        <v>Máy chap khe khổ 2m</v>
      </c>
      <c r="E20" s="579">
        <f ca="1" xml:space="preserve"> IF(ROWS($1:1)&gt;COUNT(Dong3),"",OFFSET('SO-TS'!H$1,SMALL(Dong3,ROWS($1:1)),))</f>
        <v>18000000</v>
      </c>
      <c r="F20" s="580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6" t="str">
        <f t="shared" ref="A21" si="0">IF(B21&lt;&gt;"",ROW()-19,"")</f>
        <v/>
      </c>
      <c r="B21" s="519"/>
      <c r="C21" s="552"/>
      <c r="D21" s="552"/>
      <c r="E21" s="581"/>
      <c r="F21" s="580"/>
      <c r="G21" s="581"/>
      <c r="H21" s="581"/>
    </row>
    <row r="22" spans="1:8" ht="17.25" customHeight="1">
      <c r="A22" s="521"/>
      <c r="B22" s="521" t="s">
        <v>312</v>
      </c>
      <c r="C22" s="553"/>
      <c r="D22" s="553"/>
      <c r="E22" s="582">
        <f ca="1">SUM(E20:E21)</f>
        <v>18000000</v>
      </c>
      <c r="F22" s="553"/>
      <c r="G22" s="582">
        <f ca="1">SUM(G20:G21)</f>
        <v>2100000</v>
      </c>
      <c r="H22" s="582"/>
    </row>
    <row r="23" spans="1:8" ht="17.25" customHeight="1">
      <c r="A23" s="554"/>
      <c r="B23" s="554"/>
      <c r="C23" s="555"/>
      <c r="D23" s="555"/>
      <c r="E23" s="555"/>
      <c r="F23" s="555"/>
      <c r="G23" s="556"/>
      <c r="H23" s="556"/>
    </row>
    <row r="24" spans="1:8" ht="17.25" customHeight="1">
      <c r="A24" s="554"/>
      <c r="B24" s="554"/>
      <c r="C24" s="555"/>
      <c r="D24" s="555"/>
      <c r="E24" s="555"/>
      <c r="F24" s="555"/>
      <c r="G24" s="556"/>
      <c r="H24" s="556"/>
    </row>
    <row r="25" spans="1:8" ht="17.25" customHeight="1">
      <c r="A25" s="1116" t="s">
        <v>313</v>
      </c>
      <c r="B25" s="1116"/>
      <c r="C25" s="1116"/>
      <c r="D25" s="1116"/>
      <c r="E25" s="1116"/>
      <c r="F25" s="1116"/>
      <c r="G25" s="1116"/>
      <c r="H25" s="1116"/>
    </row>
    <row r="26" spans="1:8" ht="27" customHeight="1">
      <c r="A26" s="521" t="s">
        <v>34</v>
      </c>
      <c r="B26" s="1088" t="s">
        <v>314</v>
      </c>
      <c r="C26" s="1090"/>
      <c r="D26" s="553" t="s">
        <v>186</v>
      </c>
      <c r="E26" s="553" t="s">
        <v>315</v>
      </c>
      <c r="F26" s="553" t="s">
        <v>316</v>
      </c>
      <c r="G26" s="556"/>
      <c r="H26" s="556"/>
    </row>
    <row r="27" spans="1:8" ht="17.25" customHeight="1">
      <c r="A27" s="521" t="s">
        <v>2</v>
      </c>
      <c r="B27" s="521" t="s">
        <v>3</v>
      </c>
      <c r="C27" s="553"/>
      <c r="D27" s="553" t="s">
        <v>4</v>
      </c>
      <c r="E27" s="553">
        <v>1</v>
      </c>
      <c r="F27" s="553">
        <v>2</v>
      </c>
      <c r="G27" s="556"/>
      <c r="H27" s="556"/>
    </row>
    <row r="28" spans="1:8" ht="17.25" customHeight="1">
      <c r="A28" s="557"/>
      <c r="B28" s="557"/>
      <c r="C28" s="558"/>
      <c r="D28" s="558"/>
      <c r="E28" s="558"/>
      <c r="F28" s="558"/>
      <c r="G28" s="556"/>
      <c r="H28" s="556"/>
    </row>
    <row r="29" spans="1:8" ht="17.25" customHeight="1">
      <c r="A29" s="559"/>
      <c r="B29" s="559"/>
      <c r="C29" s="560"/>
      <c r="D29" s="560"/>
      <c r="E29" s="560"/>
      <c r="F29" s="560"/>
      <c r="G29" s="556"/>
      <c r="H29" s="556"/>
    </row>
    <row r="30" spans="1:8" ht="17.25" customHeight="1">
      <c r="A30" s="559"/>
      <c r="B30" s="559"/>
      <c r="C30" s="560"/>
      <c r="D30" s="560"/>
      <c r="E30" s="560"/>
      <c r="F30" s="560"/>
      <c r="G30" s="556"/>
      <c r="H30" s="556"/>
    </row>
    <row r="31" spans="1:8" ht="17.25" customHeight="1">
      <c r="A31" s="559"/>
      <c r="B31" s="559"/>
      <c r="C31" s="560"/>
      <c r="D31" s="560"/>
      <c r="E31" s="560"/>
      <c r="F31" s="560"/>
      <c r="G31" s="556"/>
      <c r="H31" s="556"/>
    </row>
    <row r="32" spans="1:8" ht="17.25" customHeight="1">
      <c r="A32" s="561"/>
      <c r="B32" s="561"/>
      <c r="C32" s="562"/>
      <c r="D32" s="562"/>
      <c r="E32" s="562"/>
      <c r="F32" s="562"/>
      <c r="G32" s="556"/>
      <c r="H32" s="556"/>
    </row>
    <row r="33" spans="1:8">
      <c r="A33" s="554"/>
      <c r="B33" s="554"/>
      <c r="C33" s="555"/>
      <c r="D33" s="555"/>
      <c r="E33" s="555"/>
      <c r="F33" s="555"/>
      <c r="G33" s="556"/>
      <c r="H33" s="556"/>
    </row>
    <row r="34" spans="1:8">
      <c r="A34" s="1117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7"/>
      <c r="C34" s="1117"/>
      <c r="D34" s="1117"/>
      <c r="E34" s="1117"/>
      <c r="F34" s="1117"/>
      <c r="G34" s="1117"/>
      <c r="H34" s="1117"/>
    </row>
    <row r="35" spans="1:8">
      <c r="A35" s="1117" t="str">
        <f ca="1" xml:space="preserve"> IF(ROWS($1:1)&gt;COUNT(Dong3),"","Lý do giảm:   "&amp;OFFSET('SO-TS'!$O$1,SMALL(Dong3,ROWS($1:1)),))</f>
        <v xml:space="preserve">Lý do giảm:   </v>
      </c>
      <c r="B35" s="1117"/>
      <c r="C35" s="1117"/>
      <c r="D35" s="1117"/>
      <c r="E35" s="1117"/>
      <c r="F35" s="1117"/>
      <c r="G35" s="1117"/>
      <c r="H35" s="1117"/>
    </row>
    <row r="36" spans="1:8">
      <c r="A36" s="531"/>
      <c r="B36" s="531"/>
      <c r="C36" s="526"/>
      <c r="D36" s="526"/>
      <c r="E36" s="1103" t="s">
        <v>729</v>
      </c>
      <c r="F36" s="1103"/>
      <c r="G36" s="1103"/>
      <c r="H36" s="1103"/>
    </row>
    <row r="37" spans="1:8">
      <c r="A37" s="1099" t="s">
        <v>317</v>
      </c>
      <c r="B37" s="1099"/>
      <c r="C37" s="1099" t="s">
        <v>12</v>
      </c>
      <c r="D37" s="1099"/>
      <c r="E37" s="1095" t="s">
        <v>101</v>
      </c>
      <c r="F37" s="1095"/>
      <c r="G37" s="1095"/>
      <c r="H37" s="1095"/>
    </row>
    <row r="38" spans="1:8">
      <c r="A38" s="508"/>
      <c r="B38" s="508"/>
      <c r="C38" s="511"/>
      <c r="D38" s="511"/>
      <c r="E38" s="511"/>
      <c r="F38" s="511"/>
      <c r="G38" s="511"/>
      <c r="H38" s="511"/>
    </row>
    <row r="39" spans="1:8">
      <c r="A39" s="508"/>
      <c r="B39" s="508"/>
      <c r="C39" s="511"/>
      <c r="D39" s="511"/>
      <c r="E39" s="511"/>
      <c r="F39" s="511"/>
      <c r="G39" s="511"/>
      <c r="H39" s="511"/>
    </row>
    <row r="40" spans="1:8">
      <c r="A40" s="508"/>
      <c r="B40" s="508"/>
      <c r="C40" s="511"/>
      <c r="D40" s="511"/>
      <c r="E40" s="511"/>
      <c r="F40" s="511"/>
      <c r="G40" s="511"/>
      <c r="H40" s="511"/>
    </row>
    <row r="41" spans="1:8">
      <c r="A41" s="508"/>
      <c r="B41" s="508"/>
      <c r="C41" s="511"/>
      <c r="D41" s="511"/>
      <c r="E41" s="511"/>
      <c r="F41" s="511"/>
      <c r="G41" s="511"/>
      <c r="H41" s="511"/>
    </row>
    <row r="42" spans="1:8">
      <c r="A42" s="508"/>
      <c r="B42" s="508"/>
      <c r="C42" s="511"/>
      <c r="D42" s="511"/>
      <c r="E42" s="511"/>
      <c r="F42" s="511"/>
      <c r="G42" s="511"/>
      <c r="H42" s="511"/>
    </row>
    <row r="43" spans="1:8">
      <c r="A43" s="508"/>
      <c r="B43" s="508"/>
      <c r="C43" s="511"/>
      <c r="D43" s="511"/>
      <c r="E43" s="511"/>
      <c r="F43" s="511"/>
      <c r="G43" s="511"/>
      <c r="H43" s="511"/>
    </row>
    <row r="44" spans="1:8">
      <c r="A44" s="508"/>
      <c r="B44" s="508"/>
      <c r="C44" s="511"/>
      <c r="D44" s="511"/>
      <c r="E44" s="511"/>
      <c r="F44" s="511"/>
      <c r="G44" s="511"/>
      <c r="H44" s="511"/>
    </row>
    <row r="45" spans="1:8">
      <c r="A45" s="1102" t="s">
        <v>143</v>
      </c>
      <c r="B45" s="1102"/>
      <c r="C45" s="526"/>
      <c r="D45" s="526"/>
      <c r="E45" s="1103" t="s">
        <v>95</v>
      </c>
      <c r="F45" s="1103"/>
      <c r="G45" s="1103"/>
      <c r="H45" s="1103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27" customWidth="1"/>
    <col min="2" max="2" width="8.85546875" style="727" customWidth="1"/>
    <col min="3" max="3" width="10.5703125" style="727" customWidth="1"/>
    <col min="4" max="4" width="43.42578125" style="727" customWidth="1"/>
    <col min="5" max="5" width="7.140625" style="727" customWidth="1"/>
    <col min="6" max="6" width="14.140625" style="727" customWidth="1"/>
    <col min="7" max="7" width="14.85546875" style="727" customWidth="1"/>
    <col min="8" max="9" width="12" style="727" customWidth="1"/>
    <col min="10" max="10" width="12.85546875" style="727" customWidth="1"/>
    <col min="11" max="12" width="13.5703125" style="727" customWidth="1"/>
    <col min="13" max="13" width="12.7109375" style="727" customWidth="1"/>
    <col min="14" max="14" width="6.28515625" style="727" customWidth="1"/>
    <col min="15" max="15" width="8.42578125" style="727" customWidth="1"/>
    <col min="16" max="16384" width="9.140625" style="727"/>
  </cols>
  <sheetData>
    <row r="2" spans="1:16">
      <c r="A2" s="726" t="str">
        <f>'IN-NX'!A2</f>
        <v>Đơn vị: CÔNG TY TNHH SX TM KIM DUNG PHÁT</v>
      </c>
      <c r="F2" s="728"/>
      <c r="G2" s="728"/>
      <c r="H2" s="728"/>
      <c r="I2" s="728"/>
      <c r="J2" s="1122" t="s">
        <v>789</v>
      </c>
      <c r="K2" s="1122"/>
      <c r="L2" s="1122"/>
      <c r="M2" s="1122"/>
    </row>
    <row r="3" spans="1:16" ht="15" customHeight="1">
      <c r="A3" s="756" t="str">
        <f>'IN-NX'!A3</f>
        <v>Địa chỉ: 1A227/1 Ấp 1, Phạm Văn Hai, Bình Chánh, TPHCM</v>
      </c>
      <c r="J3" s="112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5"/>
      <c r="L3" s="1125"/>
      <c r="M3" s="1125"/>
    </row>
    <row r="4" spans="1:16">
      <c r="J4" s="1125"/>
      <c r="K4" s="1125"/>
      <c r="L4" s="1125"/>
      <c r="M4" s="1125"/>
    </row>
    <row r="5" spans="1:16" ht="19.5" customHeight="1">
      <c r="A5" s="1123" t="s">
        <v>790</v>
      </c>
      <c r="B5" s="1123"/>
      <c r="C5" s="1123"/>
      <c r="D5" s="1123"/>
      <c r="E5" s="1123"/>
      <c r="F5" s="1123"/>
      <c r="G5" s="1123"/>
      <c r="H5" s="1123"/>
      <c r="I5" s="1123"/>
      <c r="J5" s="1123"/>
      <c r="K5" s="1123"/>
      <c r="L5" s="1123"/>
      <c r="M5" s="1123"/>
      <c r="N5" s="729" t="s">
        <v>157</v>
      </c>
      <c r="O5" s="645">
        <f>IF(O13="Quý I",1,IF(O13="Quý II",4,IF(O13="Quý III",7,IF(O13="Quý IV",10,""))))</f>
        <v>4</v>
      </c>
      <c r="P5" s="645">
        <f>IF(O13="Quý I",3,IF(O13="Quý II",6,IF(O13="Quý III",9,IF(O13="Quý IV",12,""))))</f>
        <v>6</v>
      </c>
    </row>
    <row r="6" spans="1:16">
      <c r="A6" s="1124" t="s">
        <v>791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754"/>
    </row>
    <row r="7" spans="1:16">
      <c r="B7" s="730"/>
      <c r="C7" s="730"/>
      <c r="D7" s="730"/>
      <c r="E7" s="731" t="s">
        <v>792</v>
      </c>
      <c r="G7" s="730"/>
      <c r="H7" s="730"/>
      <c r="I7" s="730"/>
      <c r="J7" s="730"/>
      <c r="K7" s="730"/>
      <c r="L7" s="730"/>
      <c r="M7" s="730"/>
    </row>
    <row r="8" spans="1:16">
      <c r="B8" s="730"/>
      <c r="C8" s="730"/>
      <c r="D8" s="730"/>
      <c r="E8" s="731" t="s">
        <v>793</v>
      </c>
      <c r="G8" s="730"/>
      <c r="H8" s="730"/>
      <c r="I8" s="730"/>
      <c r="J8" s="730"/>
      <c r="K8" s="730"/>
      <c r="L8" s="730"/>
      <c r="M8" s="730"/>
    </row>
    <row r="9" spans="1:16">
      <c r="B9" s="732"/>
      <c r="C9" s="732"/>
      <c r="D9" s="732"/>
      <c r="E9" s="731" t="s">
        <v>794</v>
      </c>
      <c r="G9" s="732"/>
      <c r="H9" s="732"/>
      <c r="I9" s="732"/>
      <c r="J9" s="732"/>
      <c r="K9" s="732"/>
      <c r="L9" s="732"/>
      <c r="M9" s="732"/>
    </row>
    <row r="10" spans="1:16"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  <c r="M10" s="1121"/>
    </row>
    <row r="11" spans="1:16" ht="15.75" customHeight="1">
      <c r="A11" s="1118" t="s">
        <v>19</v>
      </c>
      <c r="B11" s="1119" t="s">
        <v>1</v>
      </c>
      <c r="C11" s="1119"/>
      <c r="D11" s="1118" t="s">
        <v>0</v>
      </c>
      <c r="E11" s="1118" t="s">
        <v>209</v>
      </c>
      <c r="F11" s="1119" t="s">
        <v>795</v>
      </c>
      <c r="G11" s="1119"/>
      <c r="H11" s="1119"/>
      <c r="I11" s="1119"/>
      <c r="J11" s="1119"/>
      <c r="K11" s="1119"/>
      <c r="L11" s="1119"/>
      <c r="M11" s="1119"/>
    </row>
    <row r="12" spans="1:16" ht="15.75" customHeight="1" thickBot="1">
      <c r="A12" s="1118"/>
      <c r="B12" s="1120" t="s">
        <v>15</v>
      </c>
      <c r="C12" s="1120" t="s">
        <v>31</v>
      </c>
      <c r="D12" s="1118"/>
      <c r="E12" s="1118"/>
      <c r="F12" s="1120" t="s">
        <v>796</v>
      </c>
      <c r="G12" s="1120" t="s">
        <v>797</v>
      </c>
      <c r="H12" s="1120"/>
      <c r="I12" s="1120"/>
      <c r="J12" s="1120"/>
      <c r="K12" s="1120"/>
      <c r="L12" s="1120"/>
      <c r="M12" s="1120"/>
    </row>
    <row r="13" spans="1:16" ht="31.5" customHeight="1" thickBot="1">
      <c r="A13" s="1118"/>
      <c r="B13" s="1120"/>
      <c r="C13" s="1120"/>
      <c r="D13" s="1118"/>
      <c r="E13" s="1118"/>
      <c r="F13" s="1120"/>
      <c r="G13" s="733" t="s">
        <v>775</v>
      </c>
      <c r="H13" s="733" t="s">
        <v>776</v>
      </c>
      <c r="I13" s="733" t="s">
        <v>777</v>
      </c>
      <c r="J13" s="733" t="s">
        <v>798</v>
      </c>
      <c r="K13" s="733" t="s">
        <v>799</v>
      </c>
      <c r="L13" s="733" t="s">
        <v>770</v>
      </c>
      <c r="M13" s="733" t="s">
        <v>800</v>
      </c>
      <c r="O13" s="755" t="s">
        <v>365</v>
      </c>
    </row>
    <row r="14" spans="1:16">
      <c r="A14" s="734" t="s">
        <v>2</v>
      </c>
      <c r="B14" s="734" t="s">
        <v>3</v>
      </c>
      <c r="C14" s="734" t="s">
        <v>4</v>
      </c>
      <c r="D14" s="734" t="s">
        <v>5</v>
      </c>
      <c r="E14" s="734" t="s">
        <v>6</v>
      </c>
      <c r="F14" s="734">
        <v>1</v>
      </c>
      <c r="G14" s="734">
        <v>2</v>
      </c>
      <c r="H14" s="734">
        <v>3</v>
      </c>
      <c r="I14" s="734"/>
      <c r="J14" s="734">
        <v>4</v>
      </c>
      <c r="K14" s="734">
        <v>5</v>
      </c>
      <c r="L14" s="734"/>
      <c r="M14" s="734">
        <v>6</v>
      </c>
    </row>
    <row r="15" spans="1:16" ht="22.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  <c r="K15" s="737"/>
      <c r="L15" s="737"/>
      <c r="M15" s="737"/>
    </row>
    <row r="16" spans="1:16" ht="22.5" customHeight="1">
      <c r="A16" s="738">
        <f ca="1">IF(ROWS($1:1)&gt;COUNT(Dong9),"",OFFSET(TH!C$1,SMALL(Dong9,ROWS($1:1)),))</f>
        <v>40644</v>
      </c>
      <c r="B16" s="738" t="str">
        <f ca="1">IF(ROWS($1:1)&gt;COUNT(Dong9),"",OFFSET(TH!D$1,SMALL(Dong9,ROWS($1:1)),))</f>
        <v>VL/X01</v>
      </c>
      <c r="C16" s="738">
        <f ca="1">IF(ROWS($1:1)&gt;COUNT(Dong9),"",OFFSET(TH!E$1,SMALL(Dong9,ROWS($1:1)),))</f>
        <v>40644</v>
      </c>
      <c r="D16" s="739" t="str">
        <f ca="1">IF(ROWS($1:1)&gt;COUNT(Dong9),"",OFFSET(TH!F$1,SMALL(Dong9,ROWS($1:1)),))</f>
        <v>Kẽm đóng bao bì</v>
      </c>
      <c r="E16" s="738" t="str">
        <f ca="1">IF(ROWS($1:1)&gt;COUNT(Dong9),"",OFFSET(TH!M$1,SMALL(Dong9,ROWS($1:1)),))</f>
        <v>1522</v>
      </c>
      <c r="F16" s="740">
        <f ca="1">IF(ROWS($1:1)&gt;COUNT(Dong9),"",OFFSET(TH!K$1,SMALL(Dong9,ROWS($1:1)),))</f>
        <v>1175000</v>
      </c>
      <c r="G16" s="740">
        <f ca="1">IF($E16="1521",$F16,0)</f>
        <v>0</v>
      </c>
      <c r="H16" s="740">
        <f ca="1">IF($E16="1522",$F16,0)</f>
        <v>1175000</v>
      </c>
      <c r="I16" s="740">
        <f ca="1">IF(LEFT(D16,6)="Mực in",F16,0)</f>
        <v>0</v>
      </c>
      <c r="J16" s="740">
        <f ca="1">IF(OR(LEFT($E16,3)="334",LEFT($E16,3)="338"),$F16,0)</f>
        <v>0</v>
      </c>
      <c r="K16" s="740">
        <f ca="1">IF(OR(LEFT($E16,3)="331",AND(LEFT($E16,3)="111",$D16="Tiền điện")),$F16,0)</f>
        <v>0</v>
      </c>
      <c r="L16" s="740">
        <f ca="1">IF($E16="142",$F16,0)</f>
        <v>0</v>
      </c>
      <c r="M16" s="740">
        <f ca="1">IF(OR(LEFT($E16,3)="214",LEFT($E16,3)="242",AND(LEFT($E16,3)="111",$D16&lt;&gt;"Tiền điện",LEFT($D16,6)&lt;&gt;"Mực in")),$F16,0)</f>
        <v>0</v>
      </c>
    </row>
    <row r="17" spans="1:13" ht="22.5" customHeight="1">
      <c r="A17" s="738">
        <f ca="1">IF(ROWS($1:2)&gt;COUNT(Dong9),"",OFFSET(TH!C$1,SMALL(Dong9,ROWS($1:2)),))</f>
        <v>40644</v>
      </c>
      <c r="B17" s="738" t="str">
        <f ca="1">IF(ROWS($1:2)&gt;COUNT(Dong9),"",OFFSET(TH!D$1,SMALL(Dong9,ROWS($1:2)),))</f>
        <v>VL/X01</v>
      </c>
      <c r="C17" s="738">
        <f ca="1">IF(ROWS($1:2)&gt;COUNT(Dong9),"",OFFSET(TH!E$1,SMALL(Dong9,ROWS($1:2)),))</f>
        <v>40644</v>
      </c>
      <c r="D17" s="739" t="str">
        <f ca="1">IF(ROWS($1:2)&gt;COUNT(Dong9),"",OFFSET(TH!F$1,SMALL(Dong9,ROWS($1:2)),))</f>
        <v>Dây nylon</v>
      </c>
      <c r="E17" s="738" t="str">
        <f ca="1">IF(ROWS($1:2)&gt;COUNT(Dong9),"",OFFSET(TH!M$1,SMALL(Dong9,ROWS($1:2)),))</f>
        <v>1522</v>
      </c>
      <c r="F17" s="740">
        <f ca="1">IF(ROWS($1:2)&gt;COUNT(Dong9),"",OFFSET(TH!K$1,SMALL(Dong9,ROWS($1:2)),))</f>
        <v>840000</v>
      </c>
      <c r="G17" s="740">
        <f t="shared" ref="G17:G33" ca="1" si="0">IF($E17="1521",$F17,0)</f>
        <v>0</v>
      </c>
      <c r="H17" s="740">
        <f t="shared" ref="H17:H33" ca="1" si="1">IF($E17="1522",$F17,0)</f>
        <v>840000</v>
      </c>
      <c r="I17" s="740">
        <f t="shared" ref="I17:I33" ca="1" si="2">IF(LEFT(D17,6)="Mực in",F17,0)</f>
        <v>0</v>
      </c>
      <c r="J17" s="740">
        <f t="shared" ref="J17:J33" ca="1" si="3">IF(OR(LEFT($E17,3)="334",LEFT($E17,3)="338"),$F17,0)</f>
        <v>0</v>
      </c>
      <c r="K17" s="740">
        <f t="shared" ref="K17:K33" ca="1" si="4">IF(OR(LEFT($E17,3)="331",AND(LEFT($E17,3)="111",$D17="Tiền điện")),$F17,0)</f>
        <v>0</v>
      </c>
      <c r="L17" s="740">
        <f t="shared" ref="L17:L33" ca="1" si="5">IF($E17="142",$F17,0)</f>
        <v>0</v>
      </c>
      <c r="M17" s="74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38">
        <f ca="1">IF(ROWS($1:3)&gt;COUNT(Dong9),"",OFFSET(TH!C$1,SMALL(Dong9,ROWS($1:3)),))</f>
        <v>40649</v>
      </c>
      <c r="B18" s="738" t="str">
        <f ca="1">IF(ROWS($1:3)&gt;COUNT(Dong9),"",OFFSET(TH!D$1,SMALL(Dong9,ROWS($1:3)),))</f>
        <v>C17</v>
      </c>
      <c r="C18" s="738">
        <f ca="1">IF(ROWS($1:3)&gt;COUNT(Dong9),"",OFFSET(TH!E$1,SMALL(Dong9,ROWS($1:3)),))</f>
        <v>40649</v>
      </c>
      <c r="D18" s="739" t="str">
        <f ca="1">IF(ROWS($1:3)&gt;COUNT(Dong9),"",OFFSET(TH!F$1,SMALL(Dong9,ROWS($1:3)),))</f>
        <v>Mực in VFLEX 1563 Black-378, VFLEX 6417 Green Chrome Green C</v>
      </c>
      <c r="E18" s="738" t="str">
        <f ca="1">IF(ROWS($1:3)&gt;COUNT(Dong9),"",OFFSET(TH!M$1,SMALL(Dong9,ROWS($1:3)),))</f>
        <v>1111</v>
      </c>
      <c r="F18" s="740">
        <f ca="1">IF(ROWS($1:3)&gt;COUNT(Dong9),"",OFFSET(TH!K$1,SMALL(Dong9,ROWS($1:3)),))</f>
        <v>2180000</v>
      </c>
      <c r="G18" s="740">
        <f t="shared" ca="1" si="0"/>
        <v>0</v>
      </c>
      <c r="H18" s="740">
        <f t="shared" ca="1" si="1"/>
        <v>0</v>
      </c>
      <c r="I18" s="740">
        <f t="shared" ca="1" si="2"/>
        <v>2180000</v>
      </c>
      <c r="J18" s="740">
        <f t="shared" ca="1" si="3"/>
        <v>0</v>
      </c>
      <c r="K18" s="740">
        <f t="shared" ca="1" si="4"/>
        <v>0</v>
      </c>
      <c r="L18" s="740">
        <f t="shared" ca="1" si="5"/>
        <v>0</v>
      </c>
      <c r="M18" s="740">
        <f t="shared" ca="1" si="6"/>
        <v>0</v>
      </c>
    </row>
    <row r="19" spans="1:13" ht="22.5" customHeight="1">
      <c r="A19" s="738">
        <f ca="1">IF(ROWS($1:4)&gt;COUNT(Dong9),"",OFFSET(TH!C$1,SMALL(Dong9,ROWS($1:4)),))</f>
        <v>40656</v>
      </c>
      <c r="B19" s="738" t="str">
        <f ca="1">IF(ROWS($1:4)&gt;COUNT(Dong9),"",OFFSET(TH!D$1,SMALL(Dong9,ROWS($1:4)),))</f>
        <v>C19</v>
      </c>
      <c r="C19" s="738">
        <f ca="1">IF(ROWS($1:4)&gt;COUNT(Dong9),"",OFFSET(TH!E$1,SMALL(Dong9,ROWS($1:4)),))</f>
        <v>40656</v>
      </c>
      <c r="D19" s="739" t="str">
        <f ca="1">IF(ROWS($1:4)&gt;COUNT(Dong9),"",OFFSET(TH!F$1,SMALL(Dong9,ROWS($1:4)),))</f>
        <v>Ethylen Vinyl Acctate TP</v>
      </c>
      <c r="E19" s="738" t="str">
        <f ca="1">IF(ROWS($1:4)&gt;COUNT(Dong9),"",OFFSET(TH!M$1,SMALL(Dong9,ROWS($1:4)),))</f>
        <v>1111</v>
      </c>
      <c r="F19" s="740">
        <f ca="1">IF(ROWS($1:4)&gt;COUNT(Dong9),"",OFFSET(TH!K$1,SMALL(Dong9,ROWS($1:4)),))</f>
        <v>2300000</v>
      </c>
      <c r="G19" s="740">
        <f t="shared" ca="1" si="0"/>
        <v>0</v>
      </c>
      <c r="H19" s="740">
        <f t="shared" ca="1" si="1"/>
        <v>0</v>
      </c>
      <c r="I19" s="740">
        <f t="shared" ca="1" si="2"/>
        <v>0</v>
      </c>
      <c r="J19" s="740">
        <f t="shared" ca="1" si="3"/>
        <v>0</v>
      </c>
      <c r="K19" s="740">
        <f t="shared" ca="1" si="4"/>
        <v>0</v>
      </c>
      <c r="L19" s="740">
        <f t="shared" ca="1" si="5"/>
        <v>0</v>
      </c>
      <c r="M19" s="740">
        <f t="shared" ca="1" si="6"/>
        <v>2300000</v>
      </c>
    </row>
    <row r="20" spans="1:13" ht="22.5" customHeight="1">
      <c r="A20" s="738">
        <f ca="1">IF(ROWS($1:5)&gt;COUNT(Dong9),"",OFFSET(TH!C$1,SMALL(Dong9,ROWS($1:5)),))</f>
        <v>40660</v>
      </c>
      <c r="B20" s="738" t="str">
        <f ca="1">IF(ROWS($1:5)&gt;COUNT(Dong9),"",OFFSET(TH!D$1,SMALL(Dong9,ROWS($1:5)),))</f>
        <v>VL/X02</v>
      </c>
      <c r="C20" s="738">
        <f ca="1">IF(ROWS($1:5)&gt;COUNT(Dong9),"",OFFSET(TH!E$1,SMALL(Dong9,ROWS($1:5)),))</f>
        <v>40660</v>
      </c>
      <c r="D20" s="739" t="str">
        <f ca="1">IF(ROWS($1:5)&gt;COUNT(Dong9),"",OFFSET(TH!F$1,SMALL(Dong9,ROWS($1:5)),))</f>
        <v>Bản in cao su</v>
      </c>
      <c r="E20" s="738" t="str">
        <f ca="1">IF(ROWS($1:5)&gt;COUNT(Dong9),"",OFFSET(TH!M$1,SMALL(Dong9,ROWS($1:5)),))</f>
        <v>1522</v>
      </c>
      <c r="F20" s="740">
        <f ca="1">IF(ROWS($1:5)&gt;COUNT(Dong9),"",OFFSET(TH!K$1,SMALL(Dong9,ROWS($1:5)),))</f>
        <v>1100000</v>
      </c>
      <c r="G20" s="740">
        <f t="shared" ca="1" si="0"/>
        <v>0</v>
      </c>
      <c r="H20" s="740">
        <f t="shared" ca="1" si="1"/>
        <v>1100000</v>
      </c>
      <c r="I20" s="740">
        <f t="shared" ca="1" si="2"/>
        <v>0</v>
      </c>
      <c r="J20" s="740">
        <f t="shared" ca="1" si="3"/>
        <v>0</v>
      </c>
      <c r="K20" s="740">
        <f t="shared" ca="1" si="4"/>
        <v>0</v>
      </c>
      <c r="L20" s="740">
        <f t="shared" ca="1" si="5"/>
        <v>0</v>
      </c>
      <c r="M20" s="740">
        <f t="shared" ca="1" si="6"/>
        <v>0</v>
      </c>
    </row>
    <row r="21" spans="1:13" ht="22.5" customHeight="1">
      <c r="A21" s="738">
        <f ca="1">IF(ROWS($1:6)&gt;COUNT(Dong9),"",OFFSET(TH!C$1,SMALL(Dong9,ROWS($1:6)),))</f>
        <v>40664</v>
      </c>
      <c r="B21" s="738" t="str">
        <f ca="1">IF(ROWS($1:6)&gt;COUNT(Dong9),"",OFFSET(TH!D$1,SMALL(Dong9,ROWS($1:6)),))</f>
        <v>CTGS</v>
      </c>
      <c r="C21" s="738">
        <f ca="1">IF(ROWS($1:6)&gt;COUNT(Dong9),"",OFFSET(TH!E$1,SMALL(Dong9,ROWS($1:6)),))</f>
        <v>40664</v>
      </c>
      <c r="D21" s="739" t="str">
        <f ca="1">IF(ROWS($1:6)&gt;COUNT(Dong9),"",OFFSET(TH!F$1,SMALL(Dong9,ROWS($1:6)),))</f>
        <v>Trích khấu hao TSCĐ Hữu hình</v>
      </c>
      <c r="E21" s="738" t="str">
        <f ca="1">IF(ROWS($1:6)&gt;COUNT(Dong9),"",OFFSET(TH!M$1,SMALL(Dong9,ROWS($1:6)),))</f>
        <v>2141</v>
      </c>
      <c r="F21" s="740">
        <f ca="1">IF(ROWS($1:6)&gt;COUNT(Dong9),"",OFFSET(TH!K$1,SMALL(Dong9,ROWS($1:6)),))</f>
        <v>750000</v>
      </c>
      <c r="G21" s="740">
        <f t="shared" ca="1" si="0"/>
        <v>0</v>
      </c>
      <c r="H21" s="740">
        <f t="shared" ca="1" si="1"/>
        <v>0</v>
      </c>
      <c r="I21" s="740">
        <f t="shared" ca="1" si="2"/>
        <v>0</v>
      </c>
      <c r="J21" s="740">
        <f t="shared" ca="1" si="3"/>
        <v>0</v>
      </c>
      <c r="K21" s="740">
        <f t="shared" ca="1" si="4"/>
        <v>0</v>
      </c>
      <c r="L21" s="740">
        <f t="shared" ca="1" si="5"/>
        <v>0</v>
      </c>
      <c r="M21" s="740">
        <f t="shared" ca="1" si="6"/>
        <v>750000</v>
      </c>
    </row>
    <row r="22" spans="1:13" ht="22.5" customHeight="1">
      <c r="A22" s="738">
        <f ca="1">IF(ROWS($1:7)&gt;COUNT(Dong9),"",OFFSET(TH!C$1,SMALL(Dong9,ROWS($1:7)),))</f>
        <v>40664</v>
      </c>
      <c r="B22" s="738" t="str">
        <f ca="1">IF(ROWS($1:7)&gt;COUNT(Dong9),"",OFFSET(TH!D$1,SMALL(Dong9,ROWS($1:7)),))</f>
        <v>CTGS</v>
      </c>
      <c r="C22" s="738">
        <f ca="1">IF(ROWS($1:7)&gt;COUNT(Dong9),"",OFFSET(TH!E$1,SMALL(Dong9,ROWS($1:7)),))</f>
        <v>40664</v>
      </c>
      <c r="D22" s="739" t="str">
        <f ca="1">IF(ROWS($1:7)&gt;COUNT(Dong9),"",OFFSET(TH!F$1,SMALL(Dong9,ROWS($1:7)),))</f>
        <v>Phân bổ chi phí trả trước ngắn hạn</v>
      </c>
      <c r="E22" s="738" t="str">
        <f ca="1">IF(ROWS($1:7)&gt;COUNT(Dong9),"",OFFSET(TH!M$1,SMALL(Dong9,ROWS($1:7)),))</f>
        <v>142</v>
      </c>
      <c r="F22" s="740">
        <f ca="1">IF(ROWS($1:7)&gt;COUNT(Dong9),"",OFFSET(TH!K$1,SMALL(Dong9,ROWS($1:7)),))</f>
        <v>3164845</v>
      </c>
      <c r="G22" s="740">
        <f t="shared" ca="1" si="0"/>
        <v>0</v>
      </c>
      <c r="H22" s="740">
        <f t="shared" ca="1" si="1"/>
        <v>0</v>
      </c>
      <c r="I22" s="740">
        <f t="shared" ca="1" si="2"/>
        <v>0</v>
      </c>
      <c r="J22" s="740">
        <f t="shared" ca="1" si="3"/>
        <v>0</v>
      </c>
      <c r="K22" s="740">
        <f t="shared" ca="1" si="4"/>
        <v>0</v>
      </c>
      <c r="L22" s="740">
        <f t="shared" ca="1" si="5"/>
        <v>3164845</v>
      </c>
      <c r="M22" s="740">
        <f t="shared" ca="1" si="6"/>
        <v>0</v>
      </c>
    </row>
    <row r="23" spans="1:13" ht="22.5" customHeight="1">
      <c r="A23" s="738">
        <f ca="1">IF(ROWS($1:8)&gt;COUNT(Dong9),"",OFFSET(TH!C$1,SMALL(Dong9,ROWS($1:8)),))</f>
        <v>40668</v>
      </c>
      <c r="B23" s="738" t="str">
        <f ca="1">IF(ROWS($1:8)&gt;COUNT(Dong9),"",OFFSET(TH!D$1,SMALL(Dong9,ROWS($1:8)),))</f>
        <v>NL/X01</v>
      </c>
      <c r="C23" s="738">
        <f ca="1">IF(ROWS($1:8)&gt;COUNT(Dong9),"",OFFSET(TH!E$1,SMALL(Dong9,ROWS($1:8)),))</f>
        <v>40668</v>
      </c>
      <c r="D23" s="739" t="str">
        <f ca="1">IF(ROWS($1:8)&gt;COUNT(Dong9),"",OFFSET(TH!F$1,SMALL(Dong9,ROWS($1:8)),))</f>
        <v>Giấy tấm 2V+1X ( 1520x1500)</v>
      </c>
      <c r="E23" s="738" t="str">
        <f ca="1">IF(ROWS($1:8)&gt;COUNT(Dong9),"",OFFSET(TH!M$1,SMALL(Dong9,ROWS($1:8)),))</f>
        <v>1521</v>
      </c>
      <c r="F23" s="740">
        <f ca="1">IF(ROWS($1:8)&gt;COUNT(Dong9),"",OFFSET(TH!K$1,SMALL(Dong9,ROWS($1:8)),))</f>
        <v>1613276</v>
      </c>
      <c r="G23" s="740">
        <f t="shared" ca="1" si="0"/>
        <v>1613276</v>
      </c>
      <c r="H23" s="740">
        <f t="shared" ca="1" si="1"/>
        <v>0</v>
      </c>
      <c r="I23" s="740">
        <f t="shared" ca="1" si="2"/>
        <v>0</v>
      </c>
      <c r="J23" s="740">
        <f t="shared" ca="1" si="3"/>
        <v>0</v>
      </c>
      <c r="K23" s="740">
        <f t="shared" ca="1" si="4"/>
        <v>0</v>
      </c>
      <c r="L23" s="740">
        <f t="shared" ca="1" si="5"/>
        <v>0</v>
      </c>
      <c r="M23" s="740">
        <f t="shared" ca="1" si="6"/>
        <v>0</v>
      </c>
    </row>
    <row r="24" spans="1:13" ht="22.5" customHeight="1">
      <c r="A24" s="738">
        <f ca="1">IF(ROWS($1:9)&gt;COUNT(Dong9),"",OFFSET(TH!C$1,SMALL(Dong9,ROWS($1:9)),))</f>
        <v>40668</v>
      </c>
      <c r="B24" s="738" t="str">
        <f ca="1">IF(ROWS($1:9)&gt;COUNT(Dong9),"",OFFSET(TH!D$1,SMALL(Dong9,ROWS($1:9)),))</f>
        <v>NL/X01</v>
      </c>
      <c r="C24" s="738">
        <f ca="1">IF(ROWS($1:9)&gt;COUNT(Dong9),"",OFFSET(TH!E$1,SMALL(Dong9,ROWS($1:9)),))</f>
        <v>40668</v>
      </c>
      <c r="D24" s="739" t="str">
        <f ca="1">IF(ROWS($1:9)&gt;COUNT(Dong9),"",OFFSET(TH!F$1,SMALL(Dong9,ROWS($1:9)),))</f>
        <v>Giấy tấm 2V+3X ( 1780x1248)</v>
      </c>
      <c r="E24" s="738" t="str">
        <f ca="1">IF(ROWS($1:9)&gt;COUNT(Dong9),"",OFFSET(TH!M$1,SMALL(Dong9,ROWS($1:9)),))</f>
        <v>1521</v>
      </c>
      <c r="F24" s="740">
        <f ca="1">IF(ROWS($1:9)&gt;COUNT(Dong9),"",OFFSET(TH!K$1,SMALL(Dong9,ROWS($1:9)),))</f>
        <v>2189250</v>
      </c>
      <c r="G24" s="740">
        <f t="shared" ca="1" si="0"/>
        <v>2189250</v>
      </c>
      <c r="H24" s="740">
        <f t="shared" ca="1" si="1"/>
        <v>0</v>
      </c>
      <c r="I24" s="740">
        <f t="shared" ca="1" si="2"/>
        <v>0</v>
      </c>
      <c r="J24" s="740">
        <f t="shared" ca="1" si="3"/>
        <v>0</v>
      </c>
      <c r="K24" s="740">
        <f t="shared" ca="1" si="4"/>
        <v>0</v>
      </c>
      <c r="L24" s="740">
        <f t="shared" ca="1" si="5"/>
        <v>0</v>
      </c>
      <c r="M24" s="740">
        <f t="shared" ca="1" si="6"/>
        <v>0</v>
      </c>
    </row>
    <row r="25" spans="1:13" ht="22.5" customHeight="1">
      <c r="A25" s="738">
        <f ca="1">IF(ROWS($1:10)&gt;COUNT(Dong9),"",OFFSET(TH!C$1,SMALL(Dong9,ROWS($1:10)),))</f>
        <v>40668</v>
      </c>
      <c r="B25" s="738" t="str">
        <f ca="1">IF(ROWS($1:10)&gt;COUNT(Dong9),"",OFFSET(TH!D$1,SMALL(Dong9,ROWS($1:10)),))</f>
        <v>NL/X01</v>
      </c>
      <c r="C25" s="738">
        <f ca="1">IF(ROWS($1:10)&gt;COUNT(Dong9),"",OFFSET(TH!E$1,SMALL(Dong9,ROWS($1:10)),))</f>
        <v>40668</v>
      </c>
      <c r="D25" s="739" t="str">
        <f ca="1">IF(ROWS($1:10)&gt;COUNT(Dong9),"",OFFSET(TH!F$1,SMALL(Dong9,ROWS($1:10)),))</f>
        <v>Giấy tấm 2V+1X ( 1720x1250)</v>
      </c>
      <c r="E25" s="738" t="str">
        <f ca="1">IF(ROWS($1:10)&gt;COUNT(Dong9),"",OFFSET(TH!M$1,SMALL(Dong9,ROWS($1:10)),))</f>
        <v>1521</v>
      </c>
      <c r="F25" s="740">
        <f ca="1">IF(ROWS($1:10)&gt;COUNT(Dong9),"",OFFSET(TH!K$1,SMALL(Dong9,ROWS($1:10)),))</f>
        <v>3370125</v>
      </c>
      <c r="G25" s="740">
        <f t="shared" ca="1" si="0"/>
        <v>3370125</v>
      </c>
      <c r="H25" s="740">
        <f t="shared" ca="1" si="1"/>
        <v>0</v>
      </c>
      <c r="I25" s="740">
        <f t="shared" ca="1" si="2"/>
        <v>0</v>
      </c>
      <c r="J25" s="740">
        <f t="shared" ca="1" si="3"/>
        <v>0</v>
      </c>
      <c r="K25" s="740">
        <f t="shared" ca="1" si="4"/>
        <v>0</v>
      </c>
      <c r="L25" s="740">
        <f t="shared" ca="1" si="5"/>
        <v>0</v>
      </c>
      <c r="M25" s="740">
        <f t="shared" ca="1" si="6"/>
        <v>0</v>
      </c>
    </row>
    <row r="26" spans="1:13" ht="22.5" customHeight="1">
      <c r="A26" s="738">
        <f ca="1">IF(ROWS($1:11)&gt;COUNT(Dong9),"",OFFSET(TH!C$1,SMALL(Dong9,ROWS($1:11)),))</f>
        <v>40668</v>
      </c>
      <c r="B26" s="738" t="str">
        <f ca="1">IF(ROWS($1:11)&gt;COUNT(Dong9),"",OFFSET(TH!D$1,SMALL(Dong9,ROWS($1:11)),))</f>
        <v>NL/X01</v>
      </c>
      <c r="C26" s="738">
        <f ca="1">IF(ROWS($1:11)&gt;COUNT(Dong9),"",OFFSET(TH!E$1,SMALL(Dong9,ROWS($1:11)),))</f>
        <v>40668</v>
      </c>
      <c r="D26" s="739" t="str">
        <f ca="1">IF(ROWS($1:11)&gt;COUNT(Dong9),"",OFFSET(TH!F$1,SMALL(Dong9,ROWS($1:11)),))</f>
        <v>Giấy tấm 2V+1X ( 1700x570)</v>
      </c>
      <c r="E26" s="738" t="str">
        <f ca="1">IF(ROWS($1:11)&gt;COUNT(Dong9),"",OFFSET(TH!M$1,SMALL(Dong9,ROWS($1:11)),))</f>
        <v>1521</v>
      </c>
      <c r="F26" s="740">
        <f ca="1">IF(ROWS($1:11)&gt;COUNT(Dong9),"",OFFSET(TH!K$1,SMALL(Dong9,ROWS($1:11)),))</f>
        <v>2056844</v>
      </c>
      <c r="G26" s="740">
        <f t="shared" ca="1" si="0"/>
        <v>2056844</v>
      </c>
      <c r="H26" s="740">
        <f t="shared" ca="1" si="1"/>
        <v>0</v>
      </c>
      <c r="I26" s="740">
        <f t="shared" ca="1" si="2"/>
        <v>0</v>
      </c>
      <c r="J26" s="740">
        <f t="shared" ca="1" si="3"/>
        <v>0</v>
      </c>
      <c r="K26" s="740">
        <f t="shared" ca="1" si="4"/>
        <v>0</v>
      </c>
      <c r="L26" s="740">
        <f t="shared" ca="1" si="5"/>
        <v>0</v>
      </c>
      <c r="M26" s="740">
        <f t="shared" ca="1" si="6"/>
        <v>0</v>
      </c>
    </row>
    <row r="27" spans="1:13" ht="22.5" customHeight="1">
      <c r="A27" s="738">
        <f ca="1">IF(ROWS($1:12)&gt;COUNT(Dong9),"",OFFSET(TH!C$1,SMALL(Dong9,ROWS($1:12)),))</f>
        <v>40668</v>
      </c>
      <c r="B27" s="738" t="str">
        <f ca="1">IF(ROWS($1:12)&gt;COUNT(Dong9),"",OFFSET(TH!D$1,SMALL(Dong9,ROWS($1:12)),))</f>
        <v>NL/X01</v>
      </c>
      <c r="C27" s="738">
        <f ca="1">IF(ROWS($1:12)&gt;COUNT(Dong9),"",OFFSET(TH!E$1,SMALL(Dong9,ROWS($1:12)),))</f>
        <v>40668</v>
      </c>
      <c r="D27" s="739" t="str">
        <f ca="1">IF(ROWS($1:12)&gt;COUNT(Dong9),"",OFFSET(TH!F$1,SMALL(Dong9,ROWS($1:12)),))</f>
        <v>Giấy tấm 2V+3X ( 1170x420)</v>
      </c>
      <c r="E27" s="738" t="str">
        <f ca="1">IF(ROWS($1:12)&gt;COUNT(Dong9),"",OFFSET(TH!M$1,SMALL(Dong9,ROWS($1:12)),))</f>
        <v>1521</v>
      </c>
      <c r="F27" s="740">
        <f ca="1">IF(ROWS($1:12)&gt;COUNT(Dong9),"",OFFSET(TH!K$1,SMALL(Dong9,ROWS($1:12)),))</f>
        <v>2772328</v>
      </c>
      <c r="G27" s="740">
        <f t="shared" ca="1" si="0"/>
        <v>2772328</v>
      </c>
      <c r="H27" s="740">
        <f t="shared" ca="1" si="1"/>
        <v>0</v>
      </c>
      <c r="I27" s="740">
        <f t="shared" ca="1" si="2"/>
        <v>0</v>
      </c>
      <c r="J27" s="740">
        <f t="shared" ca="1" si="3"/>
        <v>0</v>
      </c>
      <c r="K27" s="740">
        <f t="shared" ca="1" si="4"/>
        <v>0</v>
      </c>
      <c r="L27" s="740">
        <f t="shared" ca="1" si="5"/>
        <v>0</v>
      </c>
      <c r="M27" s="740">
        <f t="shared" ca="1" si="6"/>
        <v>0</v>
      </c>
    </row>
    <row r="28" spans="1:13" ht="22.5" customHeight="1">
      <c r="A28" s="738">
        <f ca="1">IF(ROWS($1:13)&gt;COUNT(Dong9),"",OFFSET(TH!C$1,SMALL(Dong9,ROWS($1:13)),))</f>
        <v>40668</v>
      </c>
      <c r="B28" s="738" t="str">
        <f ca="1">IF(ROWS($1:13)&gt;COUNT(Dong9),"",OFFSET(TH!D$1,SMALL(Dong9,ROWS($1:13)),))</f>
        <v>NL/X01</v>
      </c>
      <c r="C28" s="738">
        <f ca="1">IF(ROWS($1:13)&gt;COUNT(Dong9),"",OFFSET(TH!E$1,SMALL(Dong9,ROWS($1:13)),))</f>
        <v>40668</v>
      </c>
      <c r="D28" s="739" t="str">
        <f ca="1">IF(ROWS($1:13)&gt;COUNT(Dong9),"",OFFSET(TH!F$1,SMALL(Dong9,ROWS($1:13)),))</f>
        <v>Giấy tấm 2V+3X ( 1150x444)</v>
      </c>
      <c r="E28" s="738" t="str">
        <f ca="1">IF(ROWS($1:13)&gt;COUNT(Dong9),"",OFFSET(TH!M$1,SMALL(Dong9,ROWS($1:13)),))</f>
        <v>1521</v>
      </c>
      <c r="F28" s="740">
        <f ca="1">IF(ROWS($1:13)&gt;COUNT(Dong9),"",OFFSET(TH!K$1,SMALL(Dong9,ROWS($1:13)),))</f>
        <v>2320738</v>
      </c>
      <c r="G28" s="740">
        <f t="shared" ca="1" si="0"/>
        <v>2320738</v>
      </c>
      <c r="H28" s="740">
        <f t="shared" ca="1" si="1"/>
        <v>0</v>
      </c>
      <c r="I28" s="740">
        <f t="shared" ca="1" si="2"/>
        <v>0</v>
      </c>
      <c r="J28" s="740">
        <f t="shared" ca="1" si="3"/>
        <v>0</v>
      </c>
      <c r="K28" s="740">
        <f t="shared" ca="1" si="4"/>
        <v>0</v>
      </c>
      <c r="L28" s="740">
        <f t="shared" ca="1" si="5"/>
        <v>0</v>
      </c>
      <c r="M28" s="740">
        <f t="shared" ca="1" si="6"/>
        <v>0</v>
      </c>
    </row>
    <row r="29" spans="1:13" ht="22.5" customHeight="1">
      <c r="A29" s="738">
        <f ca="1">IF(ROWS($1:14)&gt;COUNT(Dong9),"",OFFSET(TH!C$1,SMALL(Dong9,ROWS($1:14)),))</f>
        <v>40668</v>
      </c>
      <c r="B29" s="738" t="str">
        <f ca="1">IF(ROWS($1:14)&gt;COUNT(Dong9),"",OFFSET(TH!D$1,SMALL(Dong9,ROWS($1:14)),))</f>
        <v>NL/X01</v>
      </c>
      <c r="C29" s="738">
        <f ca="1">IF(ROWS($1:14)&gt;COUNT(Dong9),"",OFFSET(TH!E$1,SMALL(Dong9,ROWS($1:14)),))</f>
        <v>40668</v>
      </c>
      <c r="D29" s="739" t="str">
        <f ca="1">IF(ROWS($1:14)&gt;COUNT(Dong9),"",OFFSET(TH!F$1,SMALL(Dong9,ROWS($1:14)),))</f>
        <v>Giấy tấm 1V+4X ( 1720x669)</v>
      </c>
      <c r="E29" s="738" t="str">
        <f ca="1">IF(ROWS($1:14)&gt;COUNT(Dong9),"",OFFSET(TH!M$1,SMALL(Dong9,ROWS($1:14)),))</f>
        <v>1521</v>
      </c>
      <c r="F29" s="740">
        <f ca="1">IF(ROWS($1:14)&gt;COUNT(Dong9),"",OFFSET(TH!K$1,SMALL(Dong9,ROWS($1:14)),))</f>
        <v>1212200</v>
      </c>
      <c r="G29" s="740">
        <f t="shared" ca="1" si="0"/>
        <v>1212200</v>
      </c>
      <c r="H29" s="740">
        <f t="shared" ca="1" si="1"/>
        <v>0</v>
      </c>
      <c r="I29" s="740">
        <f t="shared" ca="1" si="2"/>
        <v>0</v>
      </c>
      <c r="J29" s="740">
        <f t="shared" ca="1" si="3"/>
        <v>0</v>
      </c>
      <c r="K29" s="740">
        <f t="shared" ca="1" si="4"/>
        <v>0</v>
      </c>
      <c r="L29" s="740">
        <f t="shared" ca="1" si="5"/>
        <v>0</v>
      </c>
      <c r="M29" s="740">
        <f t="shared" ca="1" si="6"/>
        <v>0</v>
      </c>
    </row>
    <row r="30" spans="1:13" ht="22.5" customHeight="1">
      <c r="A30" s="738">
        <f ca="1">IF(ROWS($1:15)&gt;COUNT(Dong9),"",OFFSET(TH!C$1,SMALL(Dong9,ROWS($1:15)),))</f>
        <v>40668</v>
      </c>
      <c r="B30" s="738" t="str">
        <f ca="1">IF(ROWS($1:15)&gt;COUNT(Dong9),"",OFFSET(TH!D$1,SMALL(Dong9,ROWS($1:15)),))</f>
        <v>NL/X01</v>
      </c>
      <c r="C30" s="738">
        <f ca="1">IF(ROWS($1:15)&gt;COUNT(Dong9),"",OFFSET(TH!E$1,SMALL(Dong9,ROWS($1:15)),))</f>
        <v>40668</v>
      </c>
      <c r="D30" s="739" t="str">
        <f ca="1">IF(ROWS($1:15)&gt;COUNT(Dong9),"",OFFSET(TH!F$1,SMALL(Dong9,ROWS($1:15)),))</f>
        <v>Giấy tấm 2V+1X ( 2440x1750)</v>
      </c>
      <c r="E30" s="738" t="str">
        <f ca="1">IF(ROWS($1:15)&gt;COUNT(Dong9),"",OFFSET(TH!M$1,SMALL(Dong9,ROWS($1:15)),))</f>
        <v>1521</v>
      </c>
      <c r="F30" s="740">
        <f ca="1">IF(ROWS($1:15)&gt;COUNT(Dong9),"",OFFSET(TH!K$1,SMALL(Dong9,ROWS($1:15)),))</f>
        <v>3042375</v>
      </c>
      <c r="G30" s="740">
        <f t="shared" ca="1" si="0"/>
        <v>3042375</v>
      </c>
      <c r="H30" s="740">
        <f t="shared" ca="1" si="1"/>
        <v>0</v>
      </c>
      <c r="I30" s="740">
        <f t="shared" ca="1" si="2"/>
        <v>0</v>
      </c>
      <c r="J30" s="740">
        <f t="shared" ca="1" si="3"/>
        <v>0</v>
      </c>
      <c r="K30" s="740">
        <f t="shared" ca="1" si="4"/>
        <v>0</v>
      </c>
      <c r="L30" s="740">
        <f t="shared" ca="1" si="5"/>
        <v>0</v>
      </c>
      <c r="M30" s="740">
        <f t="shared" ca="1" si="6"/>
        <v>0</v>
      </c>
    </row>
    <row r="31" spans="1:13" ht="22.5" customHeight="1">
      <c r="A31" s="738">
        <f ca="1">IF(ROWS($1:16)&gt;COUNT(Dong9),"",OFFSET(TH!C$1,SMALL(Dong9,ROWS($1:16)),))</f>
        <v>40668</v>
      </c>
      <c r="B31" s="738" t="str">
        <f ca="1">IF(ROWS($1:16)&gt;COUNT(Dong9),"",OFFSET(TH!D$1,SMALL(Dong9,ROWS($1:16)),))</f>
        <v>NL/X01</v>
      </c>
      <c r="C31" s="738">
        <f ca="1">IF(ROWS($1:16)&gt;COUNT(Dong9),"",OFFSET(TH!E$1,SMALL(Dong9,ROWS($1:16)),))</f>
        <v>40668</v>
      </c>
      <c r="D31" s="739" t="str">
        <f ca="1">IF(ROWS($1:16)&gt;COUNT(Dong9),"",OFFSET(TH!F$1,SMALL(Dong9,ROWS($1:16)),))</f>
        <v>Giấy tấm 2V+3X ( 1310x941)</v>
      </c>
      <c r="E31" s="738" t="str">
        <f ca="1">IF(ROWS($1:16)&gt;COUNT(Dong9),"",OFFSET(TH!M$1,SMALL(Dong9,ROWS($1:16)),))</f>
        <v>1521</v>
      </c>
      <c r="F31" s="740">
        <f ca="1">IF(ROWS($1:16)&gt;COUNT(Dong9),"",OFFSET(TH!K$1,SMALL(Dong9,ROWS($1:16)),))</f>
        <v>2780588</v>
      </c>
      <c r="G31" s="740">
        <f t="shared" ca="1" si="0"/>
        <v>2780588</v>
      </c>
      <c r="H31" s="740">
        <f t="shared" ca="1" si="1"/>
        <v>0</v>
      </c>
      <c r="I31" s="740">
        <f t="shared" ca="1" si="2"/>
        <v>0</v>
      </c>
      <c r="J31" s="740">
        <f t="shared" ca="1" si="3"/>
        <v>0</v>
      </c>
      <c r="K31" s="740">
        <f t="shared" ca="1" si="4"/>
        <v>0</v>
      </c>
      <c r="L31" s="740">
        <f t="shared" ca="1" si="5"/>
        <v>0</v>
      </c>
      <c r="M31" s="740">
        <f t="shared" ca="1" si="6"/>
        <v>0</v>
      </c>
    </row>
    <row r="32" spans="1:13" ht="22.5" customHeight="1">
      <c r="A32" s="738">
        <f ca="1">IF(ROWS($1:17)&gt;COUNT(Dong9),"",OFFSET(TH!C$1,SMALL(Dong9,ROWS($1:17)),))</f>
        <v>40670</v>
      </c>
      <c r="B32" s="738" t="str">
        <f ca="1">IF(ROWS($1:17)&gt;COUNT(Dong9),"",OFFSET(TH!D$1,SMALL(Dong9,ROWS($1:17)),))</f>
        <v>NL/X02</v>
      </c>
      <c r="C32" s="738">
        <f ca="1">IF(ROWS($1:17)&gt;COUNT(Dong9),"",OFFSET(TH!E$1,SMALL(Dong9,ROWS($1:17)),))</f>
        <v>40670</v>
      </c>
      <c r="D32" s="739" t="str">
        <f ca="1">IF(ROWS($1:17)&gt;COUNT(Dong9),"",OFFSET(TH!F$1,SMALL(Dong9,ROWS($1:17)),))</f>
        <v>Giấy tấm 2V+1X ( 1000x1500)</v>
      </c>
      <c r="E32" s="738" t="str">
        <f ca="1">IF(ROWS($1:17)&gt;COUNT(Dong9),"",OFFSET(TH!M$1,SMALL(Dong9,ROWS($1:17)),))</f>
        <v>1521</v>
      </c>
      <c r="F32" s="740">
        <f ca="1">IF(ROWS($1:17)&gt;COUNT(Dong9),"",OFFSET(TH!K$1,SMALL(Dong9,ROWS($1:17)),))</f>
        <v>541500</v>
      </c>
      <c r="G32" s="740">
        <f t="shared" ca="1" si="0"/>
        <v>541500</v>
      </c>
      <c r="H32" s="740">
        <f t="shared" ca="1" si="1"/>
        <v>0</v>
      </c>
      <c r="I32" s="740">
        <f t="shared" ca="1" si="2"/>
        <v>0</v>
      </c>
      <c r="J32" s="740">
        <f t="shared" ca="1" si="3"/>
        <v>0</v>
      </c>
      <c r="K32" s="740">
        <f t="shared" ca="1" si="4"/>
        <v>0</v>
      </c>
      <c r="L32" s="740">
        <f t="shared" ca="1" si="5"/>
        <v>0</v>
      </c>
      <c r="M32" s="740">
        <f t="shared" ca="1" si="6"/>
        <v>0</v>
      </c>
    </row>
    <row r="33" spans="1:13" ht="22.5" customHeight="1">
      <c r="A33" s="738">
        <f ca="1">IF(ROWS($1:18)&gt;COUNT(Dong9),"",OFFSET(TH!C$1,SMALL(Dong9,ROWS($1:18)),))</f>
        <v>40670</v>
      </c>
      <c r="B33" s="738" t="str">
        <f ca="1">IF(ROWS($1:18)&gt;COUNT(Dong9),"",OFFSET(TH!D$1,SMALL(Dong9,ROWS($1:18)),))</f>
        <v>NL/X02</v>
      </c>
      <c r="C33" s="738">
        <f ca="1">IF(ROWS($1:18)&gt;COUNT(Dong9),"",OFFSET(TH!E$1,SMALL(Dong9,ROWS($1:18)),))</f>
        <v>40670</v>
      </c>
      <c r="D33" s="739" t="str">
        <f ca="1">IF(ROWS($1:18)&gt;COUNT(Dong9),"",OFFSET(TH!F$1,SMALL(Dong9,ROWS($1:18)),))</f>
        <v>Giấy tấm 1V+2X ( 1460x444)</v>
      </c>
      <c r="E33" s="738" t="str">
        <f ca="1">IF(ROWS($1:18)&gt;COUNT(Dong9),"",OFFSET(TH!M$1,SMALL(Dong9,ROWS($1:18)),))</f>
        <v>1521</v>
      </c>
      <c r="F33" s="740">
        <f ca="1">IF(ROWS($1:18)&gt;COUNT(Dong9),"",OFFSET(TH!K$1,SMALL(Dong9,ROWS($1:18)),))</f>
        <v>333675</v>
      </c>
      <c r="G33" s="740">
        <f t="shared" ca="1" si="0"/>
        <v>333675</v>
      </c>
      <c r="H33" s="740">
        <f t="shared" ca="1" si="1"/>
        <v>0</v>
      </c>
      <c r="I33" s="740">
        <f t="shared" ca="1" si="2"/>
        <v>0</v>
      </c>
      <c r="J33" s="740">
        <f t="shared" ca="1" si="3"/>
        <v>0</v>
      </c>
      <c r="K33" s="740">
        <f t="shared" ca="1" si="4"/>
        <v>0</v>
      </c>
      <c r="L33" s="740">
        <f t="shared" ca="1" si="5"/>
        <v>0</v>
      </c>
      <c r="M33" s="740">
        <f t="shared" ca="1" si="6"/>
        <v>0</v>
      </c>
    </row>
    <row r="34" spans="1:13" ht="22.5" customHeight="1">
      <c r="A34" s="738"/>
      <c r="B34" s="741"/>
      <c r="C34" s="738"/>
      <c r="D34" s="742"/>
      <c r="E34" s="743"/>
      <c r="F34" s="744"/>
      <c r="G34" s="744"/>
      <c r="H34" s="744"/>
      <c r="I34" s="744"/>
      <c r="J34" s="744"/>
      <c r="K34" s="744"/>
      <c r="L34" s="744"/>
      <c r="M34" s="744"/>
    </row>
    <row r="35" spans="1:13" ht="22.5" customHeight="1">
      <c r="A35" s="738"/>
      <c r="B35" s="741"/>
      <c r="C35" s="738"/>
      <c r="D35" s="736" t="s">
        <v>125</v>
      </c>
      <c r="E35" s="735" t="s">
        <v>18</v>
      </c>
      <c r="F35" s="737">
        <f t="shared" ref="F35:M35" ca="1" si="7">SUM(F15:F34)</f>
        <v>33742744</v>
      </c>
      <c r="G35" s="737">
        <f t="shared" ca="1" si="7"/>
        <v>22232899</v>
      </c>
      <c r="H35" s="737">
        <f t="shared" ca="1" si="7"/>
        <v>3115000</v>
      </c>
      <c r="I35" s="737">
        <f t="shared" ca="1" si="7"/>
        <v>2180000</v>
      </c>
      <c r="J35" s="737">
        <f t="shared" ca="1" si="7"/>
        <v>0</v>
      </c>
      <c r="K35" s="737">
        <f t="shared" ca="1" si="7"/>
        <v>0</v>
      </c>
      <c r="L35" s="737">
        <f t="shared" ca="1" si="7"/>
        <v>3164845</v>
      </c>
      <c r="M35" s="737">
        <f t="shared" ca="1" si="7"/>
        <v>3050000</v>
      </c>
    </row>
    <row r="36" spans="1:13" ht="22.5" customHeight="1">
      <c r="A36" s="745"/>
      <c r="B36" s="743"/>
      <c r="C36" s="745"/>
      <c r="D36" s="746" t="s">
        <v>801</v>
      </c>
      <c r="E36" s="741"/>
      <c r="F36" s="747">
        <f ca="1">SUM(G36:M36)</f>
        <v>33742744</v>
      </c>
      <c r="G36" s="747">
        <f t="shared" ref="G36:M36" ca="1" si="8">G35</f>
        <v>22232899</v>
      </c>
      <c r="H36" s="747">
        <f t="shared" ca="1" si="8"/>
        <v>3115000</v>
      </c>
      <c r="I36" s="747">
        <f t="shared" ref="I36" ca="1" si="9">I35</f>
        <v>2180000</v>
      </c>
      <c r="J36" s="747">
        <f t="shared" ca="1" si="8"/>
        <v>0</v>
      </c>
      <c r="K36" s="747">
        <f t="shared" ca="1" si="8"/>
        <v>0</v>
      </c>
      <c r="L36" s="747">
        <f t="shared" ref="L36" ca="1" si="10">L35</f>
        <v>3164845</v>
      </c>
      <c r="M36" s="747">
        <f t="shared" ca="1" si="8"/>
        <v>3050000</v>
      </c>
    </row>
    <row r="37" spans="1:13" ht="22.5" customHeight="1">
      <c r="A37" s="748"/>
      <c r="B37" s="748"/>
      <c r="C37" s="748"/>
      <c r="D37" s="749" t="s">
        <v>10</v>
      </c>
      <c r="E37" s="748" t="s">
        <v>18</v>
      </c>
      <c r="F37" s="750">
        <f t="shared" ref="F37:M37" ca="1" si="11">F15+F35-F36</f>
        <v>0</v>
      </c>
      <c r="G37" s="750">
        <f t="shared" ca="1" si="11"/>
        <v>0</v>
      </c>
      <c r="H37" s="750">
        <f t="shared" ca="1" si="11"/>
        <v>0</v>
      </c>
      <c r="I37" s="750">
        <f t="shared" ca="1" si="11"/>
        <v>0</v>
      </c>
      <c r="J37" s="750">
        <f t="shared" ca="1" si="11"/>
        <v>0</v>
      </c>
      <c r="K37" s="750">
        <f t="shared" ca="1" si="11"/>
        <v>0</v>
      </c>
      <c r="L37" s="750">
        <f t="shared" ca="1" si="11"/>
        <v>0</v>
      </c>
      <c r="M37" s="750">
        <f t="shared" ca="1" si="11"/>
        <v>0</v>
      </c>
    </row>
    <row r="39" spans="1:13">
      <c r="B39" s="751"/>
      <c r="C39" s="731" t="s">
        <v>802</v>
      </c>
    </row>
    <row r="40" spans="1:13">
      <c r="C40" s="731" t="str">
        <f ca="1">"Ngày mở sổ: "&amp;"01/"&amp;MONTH(A16)&amp;"/ "&amp;YEAR(A16)</f>
        <v>Ngày mở sổ: 01/4/ 2011</v>
      </c>
    </row>
    <row r="41" spans="1:13">
      <c r="E41" s="730"/>
      <c r="F41" s="730"/>
      <c r="G41" s="730"/>
      <c r="H41" s="730"/>
      <c r="I41" s="730"/>
      <c r="J41" s="1077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2011</v>
      </c>
      <c r="K41" s="1077"/>
      <c r="L41" s="1077"/>
      <c r="M41" s="1077"/>
    </row>
    <row r="42" spans="1:13">
      <c r="B42" s="730"/>
      <c r="C42" s="727" t="s">
        <v>11</v>
      </c>
      <c r="D42" s="730"/>
      <c r="E42" s="730"/>
      <c r="F42" s="730"/>
      <c r="G42" s="730"/>
      <c r="H42" s="730"/>
      <c r="I42" s="730"/>
      <c r="J42" s="1077" t="s">
        <v>12</v>
      </c>
      <c r="K42" s="1077"/>
      <c r="L42" s="1077"/>
      <c r="M42" s="1077"/>
    </row>
    <row r="43" spans="1:13">
      <c r="B43" s="730"/>
      <c r="C43" s="727" t="s">
        <v>13</v>
      </c>
      <c r="D43" s="730"/>
      <c r="E43" s="730"/>
      <c r="F43" s="730"/>
      <c r="G43" s="730"/>
      <c r="H43" s="730"/>
      <c r="I43" s="730"/>
      <c r="J43" s="730"/>
      <c r="K43" s="730" t="s">
        <v>13</v>
      </c>
      <c r="L43" s="730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27" customWidth="1"/>
    <col min="2" max="2" width="8.85546875" style="727" customWidth="1"/>
    <col min="3" max="3" width="10.5703125" style="727" customWidth="1"/>
    <col min="4" max="4" width="31.85546875" style="727" customWidth="1"/>
    <col min="5" max="5" width="10.28515625" style="727" customWidth="1"/>
    <col min="6" max="6" width="15.28515625" style="727" customWidth="1"/>
    <col min="7" max="7" width="9.42578125" style="727" customWidth="1"/>
    <col min="8" max="8" width="15.140625" style="727" customWidth="1"/>
    <col min="9" max="9" width="9.140625" style="727"/>
    <col min="10" max="10" width="16.28515625" style="727" customWidth="1"/>
    <col min="11" max="11" width="6" style="727" customWidth="1"/>
    <col min="12" max="16384" width="9.140625" style="727"/>
  </cols>
  <sheetData>
    <row r="2" spans="1:13">
      <c r="A2" s="726" t="str">
        <f>'154'!A2</f>
        <v>Đơn vị: CÔNG TY TNHH SX TM KIM DUNG PHÁT</v>
      </c>
      <c r="F2" s="728"/>
      <c r="G2" s="1122" t="s">
        <v>789</v>
      </c>
      <c r="H2" s="1122"/>
      <c r="I2" s="1122"/>
      <c r="J2" s="1122"/>
    </row>
    <row r="3" spans="1:13" ht="15" customHeight="1">
      <c r="A3" s="756" t="str">
        <f>'154'!A3</f>
        <v>Địa chỉ: 1A227/1 Ấp 1, Phạm Văn Hai, Bình Chánh, TPHCM</v>
      </c>
      <c r="G3" s="112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25"/>
      <c r="I3" s="1125"/>
      <c r="J3" s="1125"/>
    </row>
    <row r="4" spans="1:13">
      <c r="G4" s="1125"/>
      <c r="H4" s="1125"/>
      <c r="I4" s="1125"/>
      <c r="J4" s="1125"/>
    </row>
    <row r="5" spans="1:13" ht="27" customHeight="1">
      <c r="A5" s="1123" t="s">
        <v>790</v>
      </c>
      <c r="B5" s="1123"/>
      <c r="C5" s="1123"/>
      <c r="D5" s="1123"/>
      <c r="E5" s="1123"/>
      <c r="F5" s="1123"/>
      <c r="G5" s="1123"/>
      <c r="H5" s="1123"/>
      <c r="I5" s="1123"/>
      <c r="J5" s="1123"/>
      <c r="K5" s="729" t="s">
        <v>165</v>
      </c>
      <c r="L5" s="645">
        <f>IF(L13="Quý I",1,IF(L13="Quý II",4,IF(L13="Quý III",7,IF(L13="Quý IV",10,""))))</f>
        <v>4</v>
      </c>
      <c r="M5" s="645">
        <f>IF(L13="Quý I",3,IF(L13="Quý II",6,IF(L13="Quý III",9,IF(L13="Quý IV",12,""))))</f>
        <v>6</v>
      </c>
    </row>
    <row r="6" spans="1:13">
      <c r="A6" s="1124" t="s">
        <v>791</v>
      </c>
      <c r="B6" s="1124"/>
      <c r="C6" s="1124"/>
      <c r="D6" s="1124"/>
      <c r="E6" s="1124"/>
      <c r="F6" s="1124"/>
      <c r="G6" s="1124"/>
      <c r="H6" s="1124"/>
      <c r="I6" s="1124"/>
      <c r="J6" s="1124"/>
    </row>
    <row r="7" spans="1:13">
      <c r="B7" s="730"/>
      <c r="C7" s="730"/>
      <c r="D7" s="730"/>
      <c r="E7" s="731" t="s">
        <v>803</v>
      </c>
      <c r="G7" s="730"/>
      <c r="H7" s="730"/>
      <c r="I7" s="730"/>
      <c r="J7" s="730"/>
    </row>
    <row r="8" spans="1:13">
      <c r="B8" s="730"/>
      <c r="C8" s="730"/>
      <c r="D8" s="730"/>
      <c r="E8" s="731" t="s">
        <v>793</v>
      </c>
      <c r="G8" s="730"/>
      <c r="H8" s="730"/>
      <c r="I8" s="730"/>
      <c r="J8" s="730"/>
    </row>
    <row r="9" spans="1:13">
      <c r="B9" s="732"/>
      <c r="C9" s="732"/>
      <c r="D9" s="732"/>
      <c r="E9" s="731" t="s">
        <v>794</v>
      </c>
      <c r="G9" s="732"/>
      <c r="H9" s="732"/>
      <c r="I9" s="732"/>
      <c r="J9" s="732"/>
    </row>
    <row r="10" spans="1:13" ht="9.75" customHeight="1">
      <c r="C10" s="1121"/>
      <c r="D10" s="1121"/>
      <c r="E10" s="1121"/>
      <c r="F10" s="1121"/>
      <c r="G10" s="1121"/>
      <c r="H10" s="1121"/>
      <c r="I10" s="1121"/>
      <c r="J10" s="1121"/>
    </row>
    <row r="11" spans="1:13" ht="15.75" customHeight="1">
      <c r="A11" s="1118" t="s">
        <v>19</v>
      </c>
      <c r="B11" s="1119" t="s">
        <v>1</v>
      </c>
      <c r="C11" s="1119"/>
      <c r="D11" s="1118" t="s">
        <v>0</v>
      </c>
      <c r="E11" s="1118" t="s">
        <v>209</v>
      </c>
      <c r="F11" s="1119" t="s">
        <v>804</v>
      </c>
      <c r="G11" s="1119"/>
      <c r="H11" s="1119"/>
      <c r="I11" s="1119"/>
      <c r="J11" s="1119"/>
    </row>
    <row r="12" spans="1:13" ht="15.75" customHeight="1" thickBot="1">
      <c r="A12" s="1118"/>
      <c r="B12" s="1120" t="s">
        <v>15</v>
      </c>
      <c r="C12" s="1120" t="s">
        <v>31</v>
      </c>
      <c r="D12" s="1118"/>
      <c r="E12" s="1118"/>
      <c r="F12" s="1120" t="s">
        <v>796</v>
      </c>
      <c r="G12" s="1120" t="s">
        <v>797</v>
      </c>
      <c r="H12" s="1120"/>
      <c r="I12" s="1120"/>
      <c r="J12" s="1120"/>
    </row>
    <row r="13" spans="1:13" ht="30.75" customHeight="1" thickBot="1">
      <c r="A13" s="1118"/>
      <c r="B13" s="1120"/>
      <c r="C13" s="1120"/>
      <c r="D13" s="1118"/>
      <c r="E13" s="1118"/>
      <c r="F13" s="1120"/>
      <c r="G13" s="733">
        <v>154</v>
      </c>
      <c r="H13" s="733">
        <v>155</v>
      </c>
      <c r="I13" s="733">
        <v>156</v>
      </c>
      <c r="J13" s="733">
        <v>157</v>
      </c>
      <c r="L13" s="755" t="s">
        <v>365</v>
      </c>
    </row>
    <row r="14" spans="1:13">
      <c r="A14" s="734" t="s">
        <v>2</v>
      </c>
      <c r="B14" s="734" t="s">
        <v>3</v>
      </c>
      <c r="C14" s="734" t="s">
        <v>4</v>
      </c>
      <c r="D14" s="734" t="s">
        <v>5</v>
      </c>
      <c r="E14" s="734" t="s">
        <v>6</v>
      </c>
      <c r="F14" s="734">
        <v>1</v>
      </c>
      <c r="G14" s="734">
        <v>2</v>
      </c>
      <c r="H14" s="734">
        <v>3</v>
      </c>
      <c r="I14" s="734">
        <v>4</v>
      </c>
      <c r="J14" s="734">
        <v>5</v>
      </c>
    </row>
    <row r="15" spans="1:13" ht="20.2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</row>
    <row r="16" spans="1:13" ht="20.25" customHeight="1">
      <c r="A16" s="738">
        <f ca="1">IF(ROWS($1:1)&gt;COUNT(Dong8),"",OFFSET(TH!C$1,SMALL(Dong8,ROWS($1:1)),))</f>
        <v>40690</v>
      </c>
      <c r="B16" s="738" t="str">
        <f ca="1">IF(ROWS($1:1)&gt;COUNT(Dong8),"",OFFSET(TH!D$1,SMALL(Dong8,ROWS($1:1)),))</f>
        <v>TP/X01</v>
      </c>
      <c r="C16" s="738">
        <f ca="1">IF(ROWS($1:1)&gt;COUNT(Dong8),"",OFFSET(TH!E$1,SMALL(Dong8,ROWS($1:1)),))</f>
        <v>40690</v>
      </c>
      <c r="D16" s="739" t="str">
        <f ca="1">IF(ROWS($1:1)&gt;COUNT(Dong8),"",OFFSET(TH!F$1,SMALL(Dong8,ROWS($1:1)),))</f>
        <v>Thùng 5 lớp (46x37x44)</v>
      </c>
      <c r="E16" s="738" t="str">
        <f ca="1">IF(ROWS($1:1)&gt;COUNT(Dong8),"",OFFSET(TH!M$1,SMALL(Dong8,ROWS($1:1)),))</f>
        <v>155</v>
      </c>
      <c r="F16" s="740">
        <f ca="1">IF(ROWS($1:1)&gt;COUNT(Dong8),"",OFFSET(TH!K$1,SMALL(Dong8,ROWS($1:1)),))</f>
        <v>1746507</v>
      </c>
      <c r="G16" s="740">
        <f ca="1">IF($E16="154",$F16,0)</f>
        <v>0</v>
      </c>
      <c r="H16" s="740">
        <f ca="1">IF($E16="155",$F16,0)</f>
        <v>1746507</v>
      </c>
      <c r="I16" s="740">
        <f ca="1">IF($E16="156",$F16,0)</f>
        <v>0</v>
      </c>
      <c r="J16" s="740">
        <f ca="1">IF($E16="157",$F16,0)</f>
        <v>0</v>
      </c>
    </row>
    <row r="17" spans="1:10" ht="20.25" customHeight="1">
      <c r="A17" s="738">
        <f ca="1">IF(ROWS($1:2)&gt;COUNT(Dong8),"",OFFSET(TH!C$1,SMALL(Dong8,ROWS($1:2)),))</f>
        <v>40690</v>
      </c>
      <c r="B17" s="738" t="str">
        <f ca="1">IF(ROWS($1:2)&gt;COUNT(Dong8),"",OFFSET(TH!D$1,SMALL(Dong8,ROWS($1:2)),))</f>
        <v>TP/X01</v>
      </c>
      <c r="C17" s="738">
        <f ca="1">IF(ROWS($1:2)&gt;COUNT(Dong8),"",OFFSET(TH!E$1,SMALL(Dong8,ROWS($1:2)),))</f>
        <v>40690</v>
      </c>
      <c r="D17" s="739" t="str">
        <f ca="1">IF(ROWS($1:2)&gt;COUNT(Dong8),"",OFFSET(TH!F$1,SMALL(Dong8,ROWS($1:2)),))</f>
        <v>Thùng 5 lớp (47.5x31.5x39.5)</v>
      </c>
      <c r="E17" s="738" t="str">
        <f ca="1">IF(ROWS($1:2)&gt;COUNT(Dong8),"",OFFSET(TH!M$1,SMALL(Dong8,ROWS($1:2)),))</f>
        <v>155</v>
      </c>
      <c r="F17" s="740">
        <f ca="1">IF(ROWS($1:2)&gt;COUNT(Dong8),"",OFFSET(TH!K$1,SMALL(Dong8,ROWS($1:2)),))</f>
        <v>2429883</v>
      </c>
      <c r="G17" s="740">
        <f t="shared" ref="G17:G20" ca="1" si="0">IF($E17="154",$F17,0)</f>
        <v>0</v>
      </c>
      <c r="H17" s="740">
        <f t="shared" ref="H17:H20" ca="1" si="1">IF($E17="155",$F17,0)</f>
        <v>2429883</v>
      </c>
      <c r="I17" s="740">
        <f t="shared" ref="I17:I20" ca="1" si="2">IF($E17="156",$F17,0)</f>
        <v>0</v>
      </c>
      <c r="J17" s="740">
        <f t="shared" ref="J17:J20" ca="1" si="3">IF($E17="157",$F17,0)</f>
        <v>0</v>
      </c>
    </row>
    <row r="18" spans="1:10" ht="20.25" customHeight="1">
      <c r="A18" s="738">
        <f ca="1">IF(ROWS($1:3)&gt;COUNT(Dong8),"",OFFSET(TH!C$1,SMALL(Dong8,ROWS($1:3)),))</f>
        <v>40690</v>
      </c>
      <c r="B18" s="738" t="str">
        <f ca="1">IF(ROWS($1:3)&gt;COUNT(Dong8),"",OFFSET(TH!D$1,SMALL(Dong8,ROWS($1:3)),))</f>
        <v>TP/X01</v>
      </c>
      <c r="C18" s="738">
        <f ca="1">IF(ROWS($1:3)&gt;COUNT(Dong8),"",OFFSET(TH!E$1,SMALL(Dong8,ROWS($1:3)),))</f>
        <v>40690</v>
      </c>
      <c r="D18" s="739" t="str">
        <f ca="1">IF(ROWS($1:3)&gt;COUNT(Dong8),"",OFFSET(TH!F$1,SMALL(Dong8,ROWS($1:3)),))</f>
        <v>Thùng 5 lớp (63x38x34)</v>
      </c>
      <c r="E18" s="738" t="str">
        <f ca="1">IF(ROWS($1:3)&gt;COUNT(Dong8),"",OFFSET(TH!M$1,SMALL(Dong8,ROWS($1:3)),))</f>
        <v>155</v>
      </c>
      <c r="F18" s="740">
        <f ca="1">IF(ROWS($1:3)&gt;COUNT(Dong8),"",OFFSET(TH!K$1,SMALL(Dong8,ROWS($1:3)),))</f>
        <v>3648824</v>
      </c>
      <c r="G18" s="740">
        <f t="shared" ca="1" si="0"/>
        <v>0</v>
      </c>
      <c r="H18" s="740">
        <f t="shared" ca="1" si="1"/>
        <v>3648824</v>
      </c>
      <c r="I18" s="740">
        <f t="shared" ca="1" si="2"/>
        <v>0</v>
      </c>
      <c r="J18" s="740">
        <f t="shared" ca="1" si="3"/>
        <v>0</v>
      </c>
    </row>
    <row r="19" spans="1:10" ht="20.25" customHeight="1">
      <c r="A19" s="738">
        <f ca="1">IF(ROWS($1:4)&gt;COUNT(Dong8),"",OFFSET(TH!C$1,SMALL(Dong8,ROWS($1:4)),))</f>
        <v>40690</v>
      </c>
      <c r="B19" s="738" t="str">
        <f ca="1">IF(ROWS($1:4)&gt;COUNT(Dong8),"",OFFSET(TH!D$1,SMALL(Dong8,ROWS($1:4)),))</f>
        <v>TP/X01</v>
      </c>
      <c r="C19" s="738">
        <f ca="1">IF(ROWS($1:4)&gt;COUNT(Dong8),"",OFFSET(TH!E$1,SMALL(Dong8,ROWS($1:4)),))</f>
        <v>40690</v>
      </c>
      <c r="D19" s="739" t="str">
        <f ca="1">IF(ROWS($1:4)&gt;COUNT(Dong8),"",OFFSET(TH!F$1,SMALL(Dong8,ROWS($1:4)),))</f>
        <v>Thùng 5 lớp không in (36x31x14)</v>
      </c>
      <c r="E19" s="738" t="str">
        <f ca="1">IF(ROWS($1:4)&gt;COUNT(Dong8),"",OFFSET(TH!M$1,SMALL(Dong8,ROWS($1:4)),))</f>
        <v>155</v>
      </c>
      <c r="F19" s="740">
        <f ca="1">IF(ROWS($1:4)&gt;COUNT(Dong8),"",OFFSET(TH!K$1,SMALL(Dong8,ROWS($1:4)),))</f>
        <v>2441585</v>
      </c>
      <c r="G19" s="740">
        <f t="shared" ca="1" si="0"/>
        <v>0</v>
      </c>
      <c r="H19" s="740">
        <f t="shared" ca="1" si="1"/>
        <v>2441585</v>
      </c>
      <c r="I19" s="740">
        <f t="shared" ca="1" si="2"/>
        <v>0</v>
      </c>
      <c r="J19" s="740">
        <f t="shared" ca="1" si="3"/>
        <v>0</v>
      </c>
    </row>
    <row r="20" spans="1:10" ht="20.25" customHeight="1">
      <c r="A20" s="738">
        <f ca="1">IF(ROWS($1:5)&gt;COUNT(Dong8),"",OFFSET(TH!C$1,SMALL(Dong8,ROWS($1:5)),))</f>
        <v>40690</v>
      </c>
      <c r="B20" s="738" t="str">
        <f ca="1">IF(ROWS($1:5)&gt;COUNT(Dong8),"",OFFSET(TH!D$1,SMALL(Dong8,ROWS($1:5)),))</f>
        <v>TP/X01</v>
      </c>
      <c r="C20" s="738">
        <f ca="1">IF(ROWS($1:5)&gt;COUNT(Dong8),"",OFFSET(TH!E$1,SMALL(Dong8,ROWS($1:5)),))</f>
        <v>40690</v>
      </c>
      <c r="D20" s="739" t="str">
        <f ca="1">IF(ROWS($1:5)&gt;COUNT(Dong8),"",OFFSET(TH!F$1,SMALL(Dong8,ROWS($1:5)),))</f>
        <v>Thùng 5 lớp (30x26x15.5)</v>
      </c>
      <c r="E20" s="738" t="str">
        <f ca="1">IF(ROWS($1:5)&gt;COUNT(Dong8),"",OFFSET(TH!M$1,SMALL(Dong8,ROWS($1:5)),))</f>
        <v>155</v>
      </c>
      <c r="F20" s="740">
        <f ca="1">IF(ROWS($1:5)&gt;COUNT(Dong8),"",OFFSET(TH!K$1,SMALL(Dong8,ROWS($1:5)),))</f>
        <v>3442567</v>
      </c>
      <c r="G20" s="740">
        <f t="shared" ca="1" si="0"/>
        <v>0</v>
      </c>
      <c r="H20" s="740">
        <f t="shared" ca="1" si="1"/>
        <v>3442567</v>
      </c>
      <c r="I20" s="740">
        <f t="shared" ca="1" si="2"/>
        <v>0</v>
      </c>
      <c r="J20" s="740">
        <f t="shared" ca="1" si="3"/>
        <v>0</v>
      </c>
    </row>
    <row r="21" spans="1:10" ht="20.25" customHeight="1">
      <c r="A21" s="738"/>
      <c r="B21" s="741"/>
      <c r="C21" s="738"/>
      <c r="D21" s="742"/>
      <c r="E21" s="743"/>
      <c r="F21" s="744"/>
      <c r="G21" s="744"/>
      <c r="H21" s="744"/>
      <c r="I21" s="744"/>
      <c r="J21" s="744"/>
    </row>
    <row r="22" spans="1:10" ht="20.25" customHeight="1">
      <c r="A22" s="738"/>
      <c r="B22" s="741"/>
      <c r="C22" s="738"/>
      <c r="D22" s="736" t="s">
        <v>125</v>
      </c>
      <c r="E22" s="735" t="s">
        <v>18</v>
      </c>
      <c r="F22" s="737">
        <f ca="1">SUM(F15:F21)</f>
        <v>13709366</v>
      </c>
      <c r="G22" s="737">
        <f ca="1">SUM(G15:G21)</f>
        <v>0</v>
      </c>
      <c r="H22" s="737">
        <f ca="1">SUM(H15:H21)</f>
        <v>13709366</v>
      </c>
      <c r="I22" s="737">
        <f ca="1">SUM(I15:I21)</f>
        <v>0</v>
      </c>
      <c r="J22" s="737">
        <f ca="1">SUM(J15:J21)</f>
        <v>0</v>
      </c>
    </row>
    <row r="23" spans="1:10" ht="20.25" customHeight="1">
      <c r="A23" s="745"/>
      <c r="B23" s="743"/>
      <c r="C23" s="745"/>
      <c r="D23" s="746" t="s">
        <v>805</v>
      </c>
      <c r="E23" s="741"/>
      <c r="F23" s="747">
        <f ca="1">SUM(G23:J23)</f>
        <v>13709366</v>
      </c>
      <c r="G23" s="747">
        <f ca="1">G22</f>
        <v>0</v>
      </c>
      <c r="H23" s="747">
        <f ca="1">H22</f>
        <v>13709366</v>
      </c>
      <c r="I23" s="747">
        <f ca="1">I22</f>
        <v>0</v>
      </c>
      <c r="J23" s="747">
        <f ca="1">J22</f>
        <v>0</v>
      </c>
    </row>
    <row r="24" spans="1:10" ht="20.25" customHeight="1">
      <c r="A24" s="748"/>
      <c r="B24" s="748"/>
      <c r="C24" s="748"/>
      <c r="D24" s="749" t="s">
        <v>10</v>
      </c>
      <c r="E24" s="748" t="s">
        <v>18</v>
      </c>
      <c r="F24" s="750">
        <f ca="1">F15+F22-F23</f>
        <v>0</v>
      </c>
      <c r="G24" s="750">
        <f ca="1">G15+G22-G23</f>
        <v>0</v>
      </c>
      <c r="H24" s="750">
        <f ca="1">H15+H22-H23</f>
        <v>0</v>
      </c>
      <c r="I24" s="750">
        <f ca="1">I15+I22-I23</f>
        <v>0</v>
      </c>
      <c r="J24" s="750">
        <f ca="1">J15+J22-J23</f>
        <v>0</v>
      </c>
    </row>
    <row r="26" spans="1:10">
      <c r="B26" s="751"/>
      <c r="C26" s="731" t="s">
        <v>806</v>
      </c>
    </row>
    <row r="27" spans="1:10">
      <c r="C27" s="731" t="str">
        <f ca="1">"- Ngày mở sổ: "&amp;"01/"&amp;MONTH(A16)&amp;"/ "&amp;YEAR(A16)</f>
        <v>- Ngày mở sổ: 01/5/ 2011</v>
      </c>
    </row>
    <row r="28" spans="1:10">
      <c r="E28" s="730"/>
      <c r="F28" s="730"/>
      <c r="G28" s="730"/>
      <c r="H28" s="730"/>
      <c r="I28" s="1077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2011</v>
      </c>
      <c r="J28" s="1077"/>
    </row>
    <row r="29" spans="1:10">
      <c r="B29" s="730"/>
      <c r="C29" s="727" t="s">
        <v>11</v>
      </c>
      <c r="D29" s="730"/>
      <c r="E29" s="730"/>
      <c r="F29" s="730"/>
      <c r="G29" s="730"/>
      <c r="H29" s="730"/>
      <c r="I29" s="1077" t="s">
        <v>12</v>
      </c>
      <c r="J29" s="1077"/>
    </row>
    <row r="30" spans="1:10">
      <c r="B30" s="730"/>
      <c r="C30" s="727" t="s">
        <v>13</v>
      </c>
      <c r="D30" s="730"/>
      <c r="E30" s="730"/>
      <c r="F30" s="730"/>
      <c r="G30" s="730"/>
      <c r="H30" s="730"/>
      <c r="I30" s="730"/>
      <c r="J30" s="730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27" customWidth="1"/>
    <col min="3" max="3" width="8.5703125" style="727" customWidth="1"/>
    <col min="4" max="4" width="51.42578125" style="727" customWidth="1"/>
    <col min="5" max="5" width="8" style="727" customWidth="1"/>
    <col min="6" max="6" width="12.28515625" style="727" bestFit="1" customWidth="1"/>
    <col min="7" max="7" width="10.140625" style="727" customWidth="1"/>
    <col min="8" max="8" width="10.7109375" style="727" customWidth="1"/>
    <col min="9" max="9" width="11.42578125" style="727" customWidth="1"/>
    <col min="10" max="10" width="11.5703125" style="727" customWidth="1"/>
    <col min="11" max="11" width="11.42578125" style="727" customWidth="1"/>
    <col min="12" max="12" width="9.42578125" style="727" customWidth="1"/>
    <col min="13" max="13" width="6.7109375" style="727" customWidth="1"/>
    <col min="14" max="16384" width="9.140625" style="727"/>
  </cols>
  <sheetData>
    <row r="2" spans="1:15">
      <c r="A2" s="726" t="str">
        <f>'632'!A2</f>
        <v>Đơn vị: CÔNG TY TNHH SX TM KIM DUNG PHÁT</v>
      </c>
      <c r="F2" s="728"/>
      <c r="G2" s="728"/>
      <c r="H2" s="1122" t="s">
        <v>789</v>
      </c>
      <c r="I2" s="1122"/>
      <c r="J2" s="1122"/>
      <c r="K2" s="1122"/>
      <c r="L2" s="752"/>
    </row>
    <row r="3" spans="1:15" ht="15" customHeight="1">
      <c r="A3" s="756" t="str">
        <f>'632'!A3</f>
        <v>Địa chỉ: 1A227/1 Ấp 1, Phạm Văn Hai, Bình Chánh, TPHCM</v>
      </c>
      <c r="H3" s="112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5"/>
      <c r="J3" s="1125"/>
      <c r="K3" s="1125"/>
      <c r="L3" s="730"/>
    </row>
    <row r="4" spans="1:15">
      <c r="H4" s="1125"/>
      <c r="I4" s="1125"/>
      <c r="J4" s="1125"/>
      <c r="K4" s="1125"/>
      <c r="L4" s="730"/>
    </row>
    <row r="5" spans="1:15" ht="19.5" customHeight="1">
      <c r="A5" s="1123" t="s">
        <v>790</v>
      </c>
      <c r="B5" s="1123"/>
      <c r="C5" s="1123"/>
      <c r="D5" s="1123"/>
      <c r="E5" s="1123"/>
      <c r="F5" s="1123"/>
      <c r="G5" s="1123"/>
      <c r="H5" s="1123"/>
      <c r="I5" s="1123"/>
      <c r="J5" s="1123"/>
      <c r="K5" s="1123"/>
      <c r="L5" s="1123"/>
      <c r="M5" s="729" t="s">
        <v>75</v>
      </c>
      <c r="N5" s="645">
        <f>IF(N13="Quý I",1,IF(N13="Quý II",4,IF(N13="Quý III",7,IF(N13="Quý IV",10,""))))</f>
        <v>4</v>
      </c>
      <c r="O5" s="645">
        <f>IF(N13="Quý I",3,IF(N13="Quý II",6,IF(N13="Quý III",9,IF(N13="Quý IV",12,""))))</f>
        <v>6</v>
      </c>
    </row>
    <row r="6" spans="1:15">
      <c r="A6" s="1124" t="s">
        <v>791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</row>
    <row r="7" spans="1:15">
      <c r="B7" s="730"/>
      <c r="C7" s="730"/>
      <c r="D7" s="730"/>
      <c r="E7" s="731" t="s">
        <v>807</v>
      </c>
      <c r="G7" s="730"/>
      <c r="H7" s="730"/>
      <c r="I7" s="730"/>
      <c r="J7" s="730"/>
      <c r="K7" s="730"/>
      <c r="L7" s="730"/>
      <c r="M7" s="757"/>
    </row>
    <row r="8" spans="1:15">
      <c r="B8" s="730"/>
      <c r="C8" s="730"/>
      <c r="D8" s="730"/>
      <c r="E8" s="731" t="s">
        <v>793</v>
      </c>
      <c r="G8" s="730"/>
      <c r="H8" s="730"/>
      <c r="I8" s="730"/>
      <c r="J8" s="730"/>
      <c r="K8" s="730"/>
      <c r="L8" s="730"/>
    </row>
    <row r="9" spans="1:15">
      <c r="B9" s="732"/>
      <c r="C9" s="732"/>
      <c r="D9" s="732"/>
      <c r="E9" s="731" t="s">
        <v>794</v>
      </c>
      <c r="G9" s="732"/>
      <c r="H9" s="732"/>
      <c r="I9" s="732"/>
      <c r="J9" s="732"/>
      <c r="K9" s="732"/>
      <c r="L9" s="732"/>
    </row>
    <row r="10" spans="1:15" ht="9" customHeight="1"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</row>
    <row r="11" spans="1:15" ht="15.75" customHeight="1">
      <c r="A11" s="1118" t="s">
        <v>19</v>
      </c>
      <c r="B11" s="1119" t="s">
        <v>1</v>
      </c>
      <c r="C11" s="1119"/>
      <c r="D11" s="1118" t="s">
        <v>0</v>
      </c>
      <c r="E11" s="1118" t="s">
        <v>209</v>
      </c>
      <c r="F11" s="1119" t="s">
        <v>808</v>
      </c>
      <c r="G11" s="1119"/>
      <c r="H11" s="1119"/>
      <c r="I11" s="1119"/>
      <c r="J11" s="1119"/>
      <c r="K11" s="1119"/>
      <c r="L11" s="1119"/>
    </row>
    <row r="12" spans="1:15" ht="15.75" customHeight="1" thickBot="1">
      <c r="A12" s="1118"/>
      <c r="B12" s="1120" t="s">
        <v>15</v>
      </c>
      <c r="C12" s="1120" t="s">
        <v>31</v>
      </c>
      <c r="D12" s="1118"/>
      <c r="E12" s="1118"/>
      <c r="F12" s="1120" t="s">
        <v>796</v>
      </c>
      <c r="G12" s="1120" t="s">
        <v>797</v>
      </c>
      <c r="H12" s="1120"/>
      <c r="I12" s="1120"/>
      <c r="J12" s="1120"/>
      <c r="K12" s="1120"/>
      <c r="L12" s="1120"/>
    </row>
    <row r="13" spans="1:15" ht="29.25" customHeight="1" thickBot="1">
      <c r="A13" s="1118"/>
      <c r="B13" s="1120"/>
      <c r="C13" s="1120"/>
      <c r="D13" s="1118"/>
      <c r="E13" s="1118"/>
      <c r="F13" s="1120"/>
      <c r="G13" s="753" t="s">
        <v>46</v>
      </c>
      <c r="H13" s="753" t="s">
        <v>23</v>
      </c>
      <c r="I13" s="753" t="s">
        <v>58</v>
      </c>
      <c r="J13" s="753" t="s">
        <v>262</v>
      </c>
      <c r="K13" s="753"/>
      <c r="L13" s="753"/>
      <c r="N13" s="755" t="s">
        <v>365</v>
      </c>
    </row>
    <row r="14" spans="1:15">
      <c r="A14" s="734" t="s">
        <v>2</v>
      </c>
      <c r="B14" s="734" t="s">
        <v>3</v>
      </c>
      <c r="C14" s="734" t="s">
        <v>4</v>
      </c>
      <c r="D14" s="734" t="s">
        <v>5</v>
      </c>
      <c r="E14" s="734" t="s">
        <v>6</v>
      </c>
      <c r="F14" s="734">
        <v>1</v>
      </c>
      <c r="G14" s="734">
        <v>2</v>
      </c>
      <c r="H14" s="734">
        <v>3</v>
      </c>
      <c r="I14" s="734">
        <v>4</v>
      </c>
      <c r="J14" s="734">
        <v>5</v>
      </c>
      <c r="K14" s="734">
        <v>6</v>
      </c>
      <c r="L14" s="734">
        <v>7</v>
      </c>
    </row>
    <row r="15" spans="1:15" ht="21.7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  <c r="K15" s="737"/>
      <c r="L15" s="737"/>
    </row>
    <row r="16" spans="1:15" ht="21.75" customHeight="1">
      <c r="A16" s="738">
        <f ca="1">IF(ROWS($1:1)&gt;COUNT(Dong7),"",OFFSET(TH!C$1,SMALL(Dong7,ROWS($1:1)),))</f>
        <v>40634</v>
      </c>
      <c r="B16" s="738" t="str">
        <f ca="1">IF(ROWS($1:1)&gt;COUNT(Dong7),"",OFFSET(TH!D$1,SMALL(Dong7,ROWS($1:1)),))</f>
        <v>C02</v>
      </c>
      <c r="C16" s="738">
        <f ca="1">IF(ROWS($1:1)&gt;COUNT(Dong7),"",OFFSET(TH!E$1,SMALL(Dong7,ROWS($1:1)),))</f>
        <v>40623</v>
      </c>
      <c r="D16" s="739" t="str">
        <f ca="1">IF(ROWS($1:1)&gt;COUNT(Dong7),"",OFFSET(TH!F$1,SMALL(Dong7,ROWS($1:1)),))</f>
        <v>Phí Cấp giấy chứng nhận đăng kí mẫu dấu</v>
      </c>
      <c r="E16" s="738" t="str">
        <f ca="1">IF(ROWS($1:1)&gt;COUNT(Dong7),"",OFFSET(TH!M$1,SMALL(Dong7,ROWS($1:1)),))</f>
        <v>1111</v>
      </c>
      <c r="F16" s="740">
        <f ca="1">IF(ROWS($1:1)&gt;COUNT(Dong7),"",OFFSET(TH!K$1,SMALL(Dong7,ROWS($1:1)),))</f>
        <v>50000</v>
      </c>
      <c r="G16" s="740">
        <f t="shared" ref="G16:J30" ca="1" si="0">IF($E16=G$13,$F16,0)</f>
        <v>50000</v>
      </c>
      <c r="H16" s="740">
        <f t="shared" ca="1" si="0"/>
        <v>0</v>
      </c>
      <c r="I16" s="740">
        <f t="shared" ca="1" si="0"/>
        <v>0</v>
      </c>
      <c r="J16" s="740">
        <f t="shared" ca="1" si="0"/>
        <v>0</v>
      </c>
      <c r="K16" s="740">
        <f ca="1">IF(LEFT($E16,3)=K$13,$F16,0)</f>
        <v>0</v>
      </c>
      <c r="L16" s="740">
        <f ca="1">IF(LEFT($E16,3)=L$13,$F16,0)</f>
        <v>0</v>
      </c>
    </row>
    <row r="17" spans="1:12" ht="21.75" customHeight="1">
      <c r="A17" s="738">
        <f ca="1">IF(ROWS($1:2)&gt;COUNT(Dong7),"",OFFSET(TH!C$1,SMALL(Dong7,ROWS($1:2)),))</f>
        <v>40634</v>
      </c>
      <c r="B17" s="738" t="str">
        <f ca="1">IF(ROWS($1:2)&gt;COUNT(Dong7),"",OFFSET(TH!D$1,SMALL(Dong7,ROWS($1:2)),))</f>
        <v>C03</v>
      </c>
      <c r="C17" s="738">
        <f ca="1">IF(ROWS($1:2)&gt;COUNT(Dong7),"",OFFSET(TH!E$1,SMALL(Dong7,ROWS($1:2)),))</f>
        <v>40619</v>
      </c>
      <c r="D17" s="739" t="str">
        <f ca="1">IF(ROWS($1:2)&gt;COUNT(Dong7),"",OFFSET(TH!F$1,SMALL(Dong7,ROWS($1:2)),))</f>
        <v>Phí khắc dấu</v>
      </c>
      <c r="E17" s="738" t="str">
        <f ca="1">IF(ROWS($1:2)&gt;COUNT(Dong7),"",OFFSET(TH!M$1,SMALL(Dong7,ROWS($1:2)),))</f>
        <v>1111</v>
      </c>
      <c r="F17" s="740">
        <f ca="1">IF(ROWS($1:2)&gt;COUNT(Dong7),"",OFFSET(TH!K$1,SMALL(Dong7,ROWS($1:2)),))</f>
        <v>363636</v>
      </c>
      <c r="G17" s="740">
        <f t="shared" ca="1" si="0"/>
        <v>363636</v>
      </c>
      <c r="H17" s="740">
        <f t="shared" ca="1" si="0"/>
        <v>0</v>
      </c>
      <c r="I17" s="740">
        <f t="shared" ca="1" si="0"/>
        <v>0</v>
      </c>
      <c r="J17" s="740">
        <f t="shared" ca="1" si="0"/>
        <v>0</v>
      </c>
      <c r="K17" s="740">
        <f t="shared" ref="K17:L30" ca="1" si="1">IF(LEFT($E17,3)=K$13,$F17,0)</f>
        <v>0</v>
      </c>
      <c r="L17" s="740">
        <f t="shared" ca="1" si="1"/>
        <v>0</v>
      </c>
    </row>
    <row r="18" spans="1:12" ht="21.75" customHeight="1">
      <c r="A18" s="738">
        <f ca="1">IF(ROWS($1:3)&gt;COUNT(Dong7),"",OFFSET(TH!C$1,SMALL(Dong7,ROWS($1:3)),))</f>
        <v>40638</v>
      </c>
      <c r="B18" s="738" t="str">
        <f ca="1">IF(ROWS($1:3)&gt;COUNT(Dong7),"",OFFSET(TH!D$1,SMALL(Dong7,ROWS($1:3)),))</f>
        <v>C07</v>
      </c>
      <c r="C18" s="738">
        <f ca="1">IF(ROWS($1:3)&gt;COUNT(Dong7),"",OFFSET(TH!E$1,SMALL(Dong7,ROWS($1:3)),))</f>
        <v>40638</v>
      </c>
      <c r="D18" s="739" t="str">
        <f ca="1">IF(ROWS($1:3)&gt;COUNT(Dong7),"",OFFSET(TH!F$1,SMALL(Dong7,ROWS($1:3)),))</f>
        <v>Phí DV đăng ký thành lập doanh nghiệp</v>
      </c>
      <c r="E18" s="738" t="str">
        <f ca="1">IF(ROWS($1:3)&gt;COUNT(Dong7),"",OFFSET(TH!M$1,SMALL(Dong7,ROWS($1:3)),))</f>
        <v>1111</v>
      </c>
      <c r="F18" s="740">
        <f ca="1">IF(ROWS($1:3)&gt;COUNT(Dong7),"",OFFSET(TH!K$1,SMALL(Dong7,ROWS($1:3)),))</f>
        <v>2000000</v>
      </c>
      <c r="G18" s="740">
        <f t="shared" ca="1" si="0"/>
        <v>2000000</v>
      </c>
      <c r="H18" s="740">
        <f t="shared" ca="1" si="0"/>
        <v>0</v>
      </c>
      <c r="I18" s="740">
        <f t="shared" ca="1" si="0"/>
        <v>0</v>
      </c>
      <c r="J18" s="740">
        <f t="shared" ca="1" si="0"/>
        <v>0</v>
      </c>
      <c r="K18" s="740">
        <f t="shared" ca="1" si="1"/>
        <v>0</v>
      </c>
      <c r="L18" s="740">
        <f t="shared" ca="1" si="1"/>
        <v>0</v>
      </c>
    </row>
    <row r="19" spans="1:12" ht="21.75" customHeight="1">
      <c r="A19" s="738">
        <f ca="1">IF(ROWS($1:4)&gt;COUNT(Dong7),"",OFFSET(TH!C$1,SMALL(Dong7,ROWS($1:4)),))</f>
        <v>40638</v>
      </c>
      <c r="B19" s="738" t="str">
        <f ca="1">IF(ROWS($1:4)&gt;COUNT(Dong7),"",OFFSET(TH!D$1,SMALL(Dong7,ROWS($1:4)),))</f>
        <v>C08</v>
      </c>
      <c r="C19" s="738">
        <f ca="1">IF(ROWS($1:4)&gt;COUNT(Dong7),"",OFFSET(TH!E$1,SMALL(Dong7,ROWS($1:4)),))</f>
        <v>40638</v>
      </c>
      <c r="D19" s="739" t="str">
        <f ca="1">IF(ROWS($1:4)&gt;COUNT(Dong7),"",OFFSET(TH!F$1,SMALL(Dong7,ROWS($1:4)),))</f>
        <v>Đăng bố cáo doanh nghiệp lên báo TT Giao Dịch</v>
      </c>
      <c r="E19" s="738" t="str">
        <f ca="1">IF(ROWS($1:4)&gt;COUNT(Dong7),"",OFFSET(TH!M$1,SMALL(Dong7,ROWS($1:4)),))</f>
        <v>1111</v>
      </c>
      <c r="F19" s="740">
        <f ca="1">IF(ROWS($1:4)&gt;COUNT(Dong7),"",OFFSET(TH!K$1,SMALL(Dong7,ROWS($1:4)),))</f>
        <v>108000</v>
      </c>
      <c r="G19" s="740">
        <f t="shared" ca="1" si="0"/>
        <v>108000</v>
      </c>
      <c r="H19" s="740">
        <f t="shared" ca="1" si="0"/>
        <v>0</v>
      </c>
      <c r="I19" s="740">
        <f t="shared" ca="1" si="0"/>
        <v>0</v>
      </c>
      <c r="J19" s="740">
        <f t="shared" ca="1" si="0"/>
        <v>0</v>
      </c>
      <c r="K19" s="740">
        <f t="shared" ca="1" si="1"/>
        <v>0</v>
      </c>
      <c r="L19" s="740">
        <f t="shared" ca="1" si="1"/>
        <v>0</v>
      </c>
    </row>
    <row r="20" spans="1:12" ht="21.75" customHeight="1">
      <c r="A20" s="738">
        <f ca="1">IF(ROWS($1:5)&gt;COUNT(Dong7),"",OFFSET(TH!C$1,SMALL(Dong7,ROWS($1:5)),))</f>
        <v>40652</v>
      </c>
      <c r="B20" s="738" t="str">
        <f ca="1">IF(ROWS($1:5)&gt;COUNT(Dong7),"",OFFSET(TH!D$1,SMALL(Dong7,ROWS($1:5)),))</f>
        <v>C18</v>
      </c>
      <c r="C20" s="738">
        <f ca="1">IF(ROWS($1:5)&gt;COUNT(Dong7),"",OFFSET(TH!E$1,SMALL(Dong7,ROWS($1:5)),))</f>
        <v>40652</v>
      </c>
      <c r="D20" s="739" t="str">
        <f ca="1">IF(ROWS($1:5)&gt;COUNT(Dong7),"",OFFSET(TH!F$1,SMALL(Dong7,ROWS($1:5)),))</f>
        <v>Thuế môn bài phải nộp</v>
      </c>
      <c r="E20" s="738" t="str">
        <f ca="1">IF(ROWS($1:5)&gt;COUNT(Dong7),"",OFFSET(TH!M$1,SMALL(Dong7,ROWS($1:5)),))</f>
        <v>33382</v>
      </c>
      <c r="F20" s="740">
        <f ca="1">IF(ROWS($1:5)&gt;COUNT(Dong7),"",OFFSET(TH!K$1,SMALL(Dong7,ROWS($1:5)),))</f>
        <v>1000000</v>
      </c>
      <c r="G20" s="740">
        <f t="shared" ca="1" si="0"/>
        <v>0</v>
      </c>
      <c r="H20" s="740">
        <f t="shared" ca="1" si="0"/>
        <v>0</v>
      </c>
      <c r="I20" s="740">
        <f t="shared" ca="1" si="0"/>
        <v>1000000</v>
      </c>
      <c r="J20" s="740">
        <f t="shared" ca="1" si="0"/>
        <v>0</v>
      </c>
      <c r="K20" s="740">
        <f t="shared" ca="1" si="1"/>
        <v>0</v>
      </c>
      <c r="L20" s="740">
        <f t="shared" ca="1" si="1"/>
        <v>0</v>
      </c>
    </row>
    <row r="21" spans="1:12" ht="21.75" customHeight="1">
      <c r="A21" s="738">
        <f ca="1">IF(ROWS($1:6)&gt;COUNT(Dong7),"",OFFSET(TH!C$1,SMALL(Dong7,ROWS($1:6)),))</f>
        <v>40673</v>
      </c>
      <c r="B21" s="738" t="str">
        <f ca="1">IF(ROWS($1:6)&gt;COUNT(Dong7),"",OFFSET(TH!D$1,SMALL(Dong7,ROWS($1:6)),))</f>
        <v>GBN</v>
      </c>
      <c r="C21" s="738">
        <f ca="1">IF(ROWS($1:6)&gt;COUNT(Dong7),"",OFFSET(TH!E$1,SMALL(Dong7,ROWS($1:6)),))</f>
        <v>40673</v>
      </c>
      <c r="D21" s="739" t="str">
        <f ca="1">IF(ROWS($1:6)&gt;COUNT(Dong7),"",OFFSET(TH!F$1,SMALL(Dong7,ROWS($1:6)),))</f>
        <v>Phí chuyển tiền</v>
      </c>
      <c r="E21" s="738" t="str">
        <f ca="1">IF(ROWS($1:6)&gt;COUNT(Dong7),"",OFFSET(TH!M$1,SMALL(Dong7,ROWS($1:6)),))</f>
        <v>1121</v>
      </c>
      <c r="F21" s="740">
        <f ca="1">IF(ROWS($1:6)&gt;COUNT(Dong7),"",OFFSET(TH!K$1,SMALL(Dong7,ROWS($1:6)),))</f>
        <v>10000</v>
      </c>
      <c r="G21" s="740">
        <f t="shared" ca="1" si="0"/>
        <v>0</v>
      </c>
      <c r="H21" s="740">
        <f t="shared" ca="1" si="0"/>
        <v>10000</v>
      </c>
      <c r="I21" s="740">
        <f t="shared" ca="1" si="0"/>
        <v>0</v>
      </c>
      <c r="J21" s="740">
        <f t="shared" ca="1" si="0"/>
        <v>0</v>
      </c>
      <c r="K21" s="740">
        <f t="shared" ca="1" si="1"/>
        <v>0</v>
      </c>
      <c r="L21" s="740">
        <f t="shared" ca="1" si="1"/>
        <v>0</v>
      </c>
    </row>
    <row r="22" spans="1:12" ht="21.75" customHeight="1">
      <c r="A22" s="738">
        <f ca="1">IF(ROWS($1:7)&gt;COUNT(Dong7),"",OFFSET(TH!C$1,SMALL(Dong7,ROWS($1:7)),))</f>
        <v>40679</v>
      </c>
      <c r="B22" s="738" t="str">
        <f ca="1">IF(ROWS($1:7)&gt;COUNT(Dong7),"",OFFSET(TH!D$1,SMALL(Dong7,ROWS($1:7)),))</f>
        <v>C24</v>
      </c>
      <c r="C22" s="738">
        <f ca="1">IF(ROWS($1:7)&gt;COUNT(Dong7),"",OFFSET(TH!E$1,SMALL(Dong7,ROWS($1:7)),))</f>
        <v>40679</v>
      </c>
      <c r="D22" s="739" t="str">
        <f ca="1">IF(ROWS($1:7)&gt;COUNT(Dong7),"",OFFSET(TH!F$1,SMALL(Dong7,ROWS($1:7)),))</f>
        <v>Chi phí in hóa đơn</v>
      </c>
      <c r="E22" s="738" t="str">
        <f ca="1">IF(ROWS($1:7)&gt;COUNT(Dong7),"",OFFSET(TH!M$1,SMALL(Dong7,ROWS($1:7)),))</f>
        <v>1111</v>
      </c>
      <c r="F22" s="740">
        <f ca="1">IF(ROWS($1:7)&gt;COUNT(Dong7),"",OFFSET(TH!K$1,SMALL(Dong7,ROWS($1:7)),))</f>
        <v>2700000</v>
      </c>
      <c r="G22" s="740">
        <f t="shared" ca="1" si="0"/>
        <v>2700000</v>
      </c>
      <c r="H22" s="740">
        <f t="shared" ca="1" si="0"/>
        <v>0</v>
      </c>
      <c r="I22" s="740">
        <f t="shared" ca="1" si="0"/>
        <v>0</v>
      </c>
      <c r="J22" s="740">
        <f t="shared" ca="1" si="0"/>
        <v>0</v>
      </c>
      <c r="K22" s="740">
        <f t="shared" ca="1" si="1"/>
        <v>0</v>
      </c>
      <c r="L22" s="740">
        <f t="shared" ca="1" si="1"/>
        <v>0</v>
      </c>
    </row>
    <row r="23" spans="1:12" ht="21.75" customHeight="1">
      <c r="A23" s="738">
        <f ca="1">IF(ROWS($1:8)&gt;COUNT(Dong7),"",OFFSET(TH!C$1,SMALL(Dong7,ROWS($1:8)),))</f>
        <v>40680</v>
      </c>
      <c r="B23" s="738" t="str">
        <f ca="1">IF(ROWS($1:8)&gt;COUNT(Dong7),"",OFFSET(TH!D$1,SMALL(Dong7,ROWS($1:8)),))</f>
        <v>GBN</v>
      </c>
      <c r="C23" s="738">
        <f ca="1">IF(ROWS($1:8)&gt;COUNT(Dong7),"",OFFSET(TH!E$1,SMALL(Dong7,ROWS($1:8)),))</f>
        <v>40680</v>
      </c>
      <c r="D23" s="739" t="str">
        <f ca="1">IF(ROWS($1:8)&gt;COUNT(Dong7),"",OFFSET(TH!F$1,SMALL(Dong7,ROWS($1:8)),))</f>
        <v>Phí chuyển tiền</v>
      </c>
      <c r="E23" s="738" t="str">
        <f ca="1">IF(ROWS($1:8)&gt;COUNT(Dong7),"",OFFSET(TH!M$1,SMALL(Dong7,ROWS($1:8)),))</f>
        <v>1121</v>
      </c>
      <c r="F23" s="740">
        <f ca="1">IF(ROWS($1:8)&gt;COUNT(Dong7),"",OFFSET(TH!K$1,SMALL(Dong7,ROWS($1:8)),))</f>
        <v>10000</v>
      </c>
      <c r="G23" s="740">
        <f t="shared" ca="1" si="0"/>
        <v>0</v>
      </c>
      <c r="H23" s="740">
        <f t="shared" ca="1" si="0"/>
        <v>10000</v>
      </c>
      <c r="I23" s="740">
        <f t="shared" ca="1" si="0"/>
        <v>0</v>
      </c>
      <c r="J23" s="740">
        <f t="shared" ca="1" si="0"/>
        <v>0</v>
      </c>
      <c r="K23" s="740">
        <f t="shared" ca="1" si="1"/>
        <v>0</v>
      </c>
      <c r="L23" s="740">
        <f t="shared" ca="1" si="1"/>
        <v>0</v>
      </c>
    </row>
    <row r="24" spans="1:12" ht="21.75" customHeight="1">
      <c r="A24" s="738">
        <f ca="1">IF(ROWS($1:9)&gt;COUNT(Dong7),"",OFFSET(TH!C$1,SMALL(Dong7,ROWS($1:9)),))</f>
        <v>40686</v>
      </c>
      <c r="B24" s="738" t="str">
        <f ca="1">IF(ROWS($1:9)&gt;COUNT(Dong7),"",OFFSET(TH!D$1,SMALL(Dong7,ROWS($1:9)),))</f>
        <v>C29</v>
      </c>
      <c r="C24" s="738">
        <f ca="1">IF(ROWS($1:9)&gt;COUNT(Dong7),"",OFFSET(TH!E$1,SMALL(Dong7,ROWS($1:9)),))</f>
        <v>40686</v>
      </c>
      <c r="D24" s="739" t="str">
        <f ca="1">IF(ROWS($1:9)&gt;COUNT(Dong7),"",OFFSET(TH!F$1,SMALL(Dong7,ROWS($1:9)),))</f>
        <v>Thuế môn bài phải nộp</v>
      </c>
      <c r="E24" s="738" t="str">
        <f ca="1">IF(ROWS($1:9)&gt;COUNT(Dong7),"",OFFSET(TH!M$1,SMALL(Dong7,ROWS($1:9)),))</f>
        <v>33382</v>
      </c>
      <c r="F24" s="740">
        <f ca="1">IF(ROWS($1:9)&gt;COUNT(Dong7),"",OFFSET(TH!K$1,SMALL(Dong7,ROWS($1:9)),))</f>
        <v>1000000</v>
      </c>
      <c r="G24" s="740">
        <f t="shared" ca="1" si="0"/>
        <v>0</v>
      </c>
      <c r="H24" s="740">
        <f t="shared" ca="1" si="0"/>
        <v>0</v>
      </c>
      <c r="I24" s="740">
        <f t="shared" ca="1" si="0"/>
        <v>1000000</v>
      </c>
      <c r="J24" s="740">
        <f t="shared" ca="1" si="0"/>
        <v>0</v>
      </c>
      <c r="K24" s="740">
        <f t="shared" ca="1" si="1"/>
        <v>0</v>
      </c>
      <c r="L24" s="740">
        <f t="shared" ca="1" si="1"/>
        <v>0</v>
      </c>
    </row>
    <row r="25" spans="1:12" ht="21.75" customHeight="1">
      <c r="A25" s="738">
        <f ca="1">IF(ROWS($1:10)&gt;COUNT(Dong7),"",OFFSET(TH!C$1,SMALL(Dong7,ROWS($1:10)),))</f>
        <v>40689</v>
      </c>
      <c r="B25" s="738" t="str">
        <f ca="1">IF(ROWS($1:10)&gt;COUNT(Dong7),"",OFFSET(TH!D$1,SMALL(Dong7,ROWS($1:10)),))</f>
        <v>C32</v>
      </c>
      <c r="C25" s="738">
        <f ca="1">IF(ROWS($1:10)&gt;COUNT(Dong7),"",OFFSET(TH!E$1,SMALL(Dong7,ROWS($1:10)),))</f>
        <v>40689</v>
      </c>
      <c r="D25" s="739" t="str">
        <f ca="1">IF(ROWS($1:10)&gt;COUNT(Dong7),"",OFFSET(TH!F$1,SMALL(Dong7,ROWS($1:10)),))</f>
        <v>Giấy Canson</v>
      </c>
      <c r="E25" s="738" t="str">
        <f ca="1">IF(ROWS($1:10)&gt;COUNT(Dong7),"",OFFSET(TH!M$1,SMALL(Dong7,ROWS($1:10)),))</f>
        <v>1111</v>
      </c>
      <c r="F25" s="740">
        <f ca="1">IF(ROWS($1:10)&gt;COUNT(Dong7),"",OFFSET(TH!K$1,SMALL(Dong7,ROWS($1:10)),))</f>
        <v>267000</v>
      </c>
      <c r="G25" s="740">
        <f t="shared" ca="1" si="0"/>
        <v>267000</v>
      </c>
      <c r="H25" s="740">
        <f t="shared" ca="1" si="0"/>
        <v>0</v>
      </c>
      <c r="I25" s="740">
        <f t="shared" ca="1" si="0"/>
        <v>0</v>
      </c>
      <c r="J25" s="740">
        <f t="shared" ca="1" si="0"/>
        <v>0</v>
      </c>
      <c r="K25" s="740">
        <f t="shared" ca="1" si="1"/>
        <v>0</v>
      </c>
      <c r="L25" s="740">
        <f t="shared" ca="1" si="1"/>
        <v>0</v>
      </c>
    </row>
    <row r="26" spans="1:12" ht="21.75" customHeight="1">
      <c r="A26" s="738">
        <f ca="1">IF(ROWS($1:11)&gt;COUNT(Dong7),"",OFFSET(TH!C$1,SMALL(Dong7,ROWS($1:11)),))</f>
        <v>40689</v>
      </c>
      <c r="B26" s="738" t="str">
        <f ca="1">IF(ROWS($1:11)&gt;COUNT(Dong7),"",OFFSET(TH!D$1,SMALL(Dong7,ROWS($1:11)),))</f>
        <v>C33</v>
      </c>
      <c r="C26" s="738">
        <f ca="1">IF(ROWS($1:11)&gt;COUNT(Dong7),"",OFFSET(TH!E$1,SMALL(Dong7,ROWS($1:11)),))</f>
        <v>40689</v>
      </c>
      <c r="D26" s="739" t="str">
        <f ca="1">IF(ROWS($1:11)&gt;COUNT(Dong7),"",OFFSET(TH!F$1,SMALL(Dong7,ROWS($1:11)),))</f>
        <v>Dịch vụ viễn thông</v>
      </c>
      <c r="E26" s="738" t="str">
        <f ca="1">IF(ROWS($1:11)&gt;COUNT(Dong7),"",OFFSET(TH!M$1,SMALL(Dong7,ROWS($1:11)),))</f>
        <v>1111</v>
      </c>
      <c r="F26" s="740">
        <f ca="1">IF(ROWS($1:11)&gt;COUNT(Dong7),"",OFFSET(TH!K$1,SMALL(Dong7,ROWS($1:11)),))</f>
        <v>494235</v>
      </c>
      <c r="G26" s="740">
        <f t="shared" ca="1" si="0"/>
        <v>494235</v>
      </c>
      <c r="H26" s="740">
        <f t="shared" ca="1" si="0"/>
        <v>0</v>
      </c>
      <c r="I26" s="740">
        <f t="shared" ca="1" si="0"/>
        <v>0</v>
      </c>
      <c r="J26" s="740">
        <f t="shared" ca="1" si="0"/>
        <v>0</v>
      </c>
      <c r="K26" s="740">
        <f t="shared" ca="1" si="1"/>
        <v>0</v>
      </c>
      <c r="L26" s="740">
        <f t="shared" ca="1" si="1"/>
        <v>0</v>
      </c>
    </row>
    <row r="27" spans="1:12" ht="21.75" customHeight="1">
      <c r="A27" s="738">
        <f ca="1">IF(ROWS($1:12)&gt;COUNT(Dong7),"",OFFSET(TH!C$1,SMALL(Dong7,ROWS($1:12)),))</f>
        <v>40689</v>
      </c>
      <c r="B27" s="738" t="str">
        <f ca="1">IF(ROWS($1:12)&gt;COUNT(Dong7),"",OFFSET(TH!D$1,SMALL(Dong7,ROWS($1:12)),))</f>
        <v>C34</v>
      </c>
      <c r="C27" s="738">
        <f ca="1">IF(ROWS($1:12)&gt;COUNT(Dong7),"",OFFSET(TH!E$1,SMALL(Dong7,ROWS($1:12)),))</f>
        <v>40689</v>
      </c>
      <c r="D27" s="739" t="str">
        <f ca="1">IF(ROWS($1:12)&gt;COUNT(Dong7),"",OFFSET(TH!F$1,SMALL(Dong7,ROWS($1:12)),))</f>
        <v>Dịch vụ viễn thông</v>
      </c>
      <c r="E27" s="738" t="str">
        <f ca="1">IF(ROWS($1:12)&gt;COUNT(Dong7),"",OFFSET(TH!M$1,SMALL(Dong7,ROWS($1:12)),))</f>
        <v>1111</v>
      </c>
      <c r="F27" s="740">
        <f ca="1">IF(ROWS($1:12)&gt;COUNT(Dong7),"",OFFSET(TH!K$1,SMALL(Dong7,ROWS($1:12)),))</f>
        <v>467016</v>
      </c>
      <c r="G27" s="740">
        <f t="shared" ca="1" si="0"/>
        <v>467016</v>
      </c>
      <c r="H27" s="740">
        <f t="shared" ca="1" si="0"/>
        <v>0</v>
      </c>
      <c r="I27" s="740">
        <f t="shared" ca="1" si="0"/>
        <v>0</v>
      </c>
      <c r="J27" s="740">
        <f t="shared" ca="1" si="0"/>
        <v>0</v>
      </c>
      <c r="K27" s="740">
        <f t="shared" ca="1" si="1"/>
        <v>0</v>
      </c>
      <c r="L27" s="740">
        <f t="shared" ca="1" si="1"/>
        <v>0</v>
      </c>
    </row>
    <row r="28" spans="1:12" ht="21.75" customHeight="1">
      <c r="A28" s="738">
        <f ca="1">IF(ROWS($1:13)&gt;COUNT(Dong7),"",OFFSET(TH!C$1,SMALL(Dong7,ROWS($1:13)),))</f>
        <v>40690</v>
      </c>
      <c r="B28" s="738" t="str">
        <f ca="1">IF(ROWS($1:13)&gt;COUNT(Dong7),"",OFFSET(TH!D$1,SMALL(Dong7,ROWS($1:13)),))</f>
        <v>GBN</v>
      </c>
      <c r="C28" s="738">
        <f ca="1">IF(ROWS($1:13)&gt;COUNT(Dong7),"",OFFSET(TH!E$1,SMALL(Dong7,ROWS($1:13)),))</f>
        <v>40690</v>
      </c>
      <c r="D28" s="739" t="str">
        <f ca="1">IF(ROWS($1:13)&gt;COUNT(Dong7),"",OFFSET(TH!F$1,SMALL(Dong7,ROWS($1:13)),))</f>
        <v>Phí chuyển tiền</v>
      </c>
      <c r="E28" s="738" t="str">
        <f ca="1">IF(ROWS($1:13)&gt;COUNT(Dong7),"",OFFSET(TH!M$1,SMALL(Dong7,ROWS($1:13)),))</f>
        <v>1121</v>
      </c>
      <c r="F28" s="740">
        <f ca="1">IF(ROWS($1:13)&gt;COUNT(Dong7),"",OFFSET(TH!K$1,SMALL(Dong7,ROWS($1:13)),))</f>
        <v>10000</v>
      </c>
      <c r="G28" s="740">
        <f t="shared" ca="1" si="0"/>
        <v>0</v>
      </c>
      <c r="H28" s="740">
        <f t="shared" ca="1" si="0"/>
        <v>10000</v>
      </c>
      <c r="I28" s="740">
        <f t="shared" ca="1" si="0"/>
        <v>0</v>
      </c>
      <c r="J28" s="740">
        <f t="shared" ca="1" si="0"/>
        <v>0</v>
      </c>
      <c r="K28" s="740">
        <f t="shared" ca="1" si="1"/>
        <v>0</v>
      </c>
      <c r="L28" s="740">
        <f t="shared" ca="1" si="1"/>
        <v>0</v>
      </c>
    </row>
    <row r="29" spans="1:12" ht="21.75" customHeight="1">
      <c r="A29" s="738">
        <f ca="1">IF(ROWS($1:14)&gt;COUNT(Dong7),"",OFFSET(TH!C$1,SMALL(Dong7,ROWS($1:14)),))</f>
        <v>40690</v>
      </c>
      <c r="B29" s="738" t="str">
        <f ca="1">IF(ROWS($1:14)&gt;COUNT(Dong7),"",OFFSET(TH!D$1,SMALL(Dong7,ROWS($1:14)),))</f>
        <v>GBN</v>
      </c>
      <c r="C29" s="738">
        <f ca="1">IF(ROWS($1:14)&gt;COUNT(Dong7),"",OFFSET(TH!E$1,SMALL(Dong7,ROWS($1:14)),))</f>
        <v>40690</v>
      </c>
      <c r="D29" s="739" t="str">
        <f ca="1">IF(ROWS($1:14)&gt;COUNT(Dong7),"",OFFSET(TH!F$1,SMALL(Dong7,ROWS($1:14)),))</f>
        <v>Phí chuyển tiền</v>
      </c>
      <c r="E29" s="738" t="str">
        <f ca="1">IF(ROWS($1:14)&gt;COUNT(Dong7),"",OFFSET(TH!M$1,SMALL(Dong7,ROWS($1:14)),))</f>
        <v>1121</v>
      </c>
      <c r="F29" s="740">
        <f ca="1">IF(ROWS($1:14)&gt;COUNT(Dong7),"",OFFSET(TH!K$1,SMALL(Dong7,ROWS($1:14)),))</f>
        <v>10000</v>
      </c>
      <c r="G29" s="740">
        <f t="shared" ca="1" si="0"/>
        <v>0</v>
      </c>
      <c r="H29" s="740">
        <f t="shared" ca="1" si="0"/>
        <v>10000</v>
      </c>
      <c r="I29" s="740">
        <f t="shared" ca="1" si="0"/>
        <v>0</v>
      </c>
      <c r="J29" s="740">
        <f t="shared" ca="1" si="0"/>
        <v>0</v>
      </c>
      <c r="K29" s="740">
        <f t="shared" ca="1" si="1"/>
        <v>0</v>
      </c>
      <c r="L29" s="740">
        <f t="shared" ca="1" si="1"/>
        <v>0</v>
      </c>
    </row>
    <row r="30" spans="1:12" ht="21.75" customHeight="1">
      <c r="A30" s="738">
        <f ca="1">IF(ROWS($1:15)&gt;COUNT(Dong7),"",OFFSET(TH!C$1,SMALL(Dong7,ROWS($1:15)),))</f>
        <v>40694</v>
      </c>
      <c r="B30" s="738" t="str">
        <f ca="1">IF(ROWS($1:15)&gt;COUNT(Dong7),"",OFFSET(TH!D$1,SMALL(Dong7,ROWS($1:15)),))</f>
        <v>CTGS</v>
      </c>
      <c r="C30" s="738">
        <f ca="1">IF(ROWS($1:15)&gt;COUNT(Dong7),"",OFFSET(TH!E$1,SMALL(Dong7,ROWS($1:15)),))</f>
        <v>40694</v>
      </c>
      <c r="D30" s="739" t="str">
        <f ca="1">IF(ROWS($1:15)&gt;COUNT(Dong7),"",OFFSET(TH!F$1,SMALL(Dong7,ROWS($1:15)),))</f>
        <v>Tiền lương BP Quản lý</v>
      </c>
      <c r="E30" s="738" t="str">
        <f ca="1">IF(ROWS($1:15)&gt;COUNT(Dong7),"",OFFSET(TH!M$1,SMALL(Dong7,ROWS($1:15)),))</f>
        <v>3341</v>
      </c>
      <c r="F30" s="740">
        <f ca="1">IF(ROWS($1:15)&gt;COUNT(Dong7),"",OFFSET(TH!K$1,SMALL(Dong7,ROWS($1:15)),))</f>
        <v>7025000</v>
      </c>
      <c r="G30" s="740">
        <f t="shared" ca="1" si="0"/>
        <v>0</v>
      </c>
      <c r="H30" s="740">
        <f t="shared" ca="1" si="0"/>
        <v>0</v>
      </c>
      <c r="I30" s="740">
        <f t="shared" ca="1" si="0"/>
        <v>0</v>
      </c>
      <c r="J30" s="740">
        <f t="shared" ca="1" si="0"/>
        <v>7025000</v>
      </c>
      <c r="K30" s="740">
        <f t="shared" ca="1" si="1"/>
        <v>0</v>
      </c>
      <c r="L30" s="740">
        <f t="shared" ca="1" si="1"/>
        <v>0</v>
      </c>
    </row>
    <row r="31" spans="1:12" ht="21.75" customHeight="1">
      <c r="A31" s="738"/>
      <c r="B31" s="741"/>
      <c r="C31" s="738"/>
      <c r="D31" s="742"/>
      <c r="E31" s="743"/>
      <c r="F31" s="744"/>
      <c r="G31" s="744"/>
      <c r="H31" s="744"/>
      <c r="I31" s="744"/>
      <c r="J31" s="744"/>
      <c r="K31" s="744"/>
      <c r="L31" s="744"/>
    </row>
    <row r="32" spans="1:12" ht="21.75" customHeight="1">
      <c r="A32" s="738"/>
      <c r="B32" s="741"/>
      <c r="C32" s="738"/>
      <c r="D32" s="736" t="s">
        <v>125</v>
      </c>
      <c r="E32" s="735" t="s">
        <v>18</v>
      </c>
      <c r="F32" s="737">
        <f ca="1">SUM(F15:F31)</f>
        <v>15514887</v>
      </c>
      <c r="G32" s="737">
        <f t="shared" ref="G32:L32" ca="1" si="2">SUM(G15:G31)</f>
        <v>6449887</v>
      </c>
      <c r="H32" s="737">
        <f t="shared" ca="1" si="2"/>
        <v>40000</v>
      </c>
      <c r="I32" s="737">
        <f t="shared" ca="1" si="2"/>
        <v>2000000</v>
      </c>
      <c r="J32" s="737">
        <f t="shared" ca="1" si="2"/>
        <v>7025000</v>
      </c>
      <c r="K32" s="737">
        <f t="shared" ca="1" si="2"/>
        <v>0</v>
      </c>
      <c r="L32" s="737">
        <f t="shared" ca="1" si="2"/>
        <v>0</v>
      </c>
    </row>
    <row r="33" spans="1:12" ht="21.75" customHeight="1">
      <c r="A33" s="745"/>
      <c r="B33" s="743"/>
      <c r="C33" s="745"/>
      <c r="D33" s="746" t="s">
        <v>809</v>
      </c>
      <c r="E33" s="741"/>
      <c r="F33" s="747">
        <f ca="1">SUM(G33:L33)</f>
        <v>15514887</v>
      </c>
      <c r="G33" s="747">
        <f t="shared" ref="G33:L33" ca="1" si="3">G32</f>
        <v>6449887</v>
      </c>
      <c r="H33" s="747">
        <f t="shared" ca="1" si="3"/>
        <v>40000</v>
      </c>
      <c r="I33" s="747">
        <f t="shared" ca="1" si="3"/>
        <v>2000000</v>
      </c>
      <c r="J33" s="747">
        <f t="shared" ca="1" si="3"/>
        <v>7025000</v>
      </c>
      <c r="K33" s="747">
        <f t="shared" ca="1" si="3"/>
        <v>0</v>
      </c>
      <c r="L33" s="747">
        <f t="shared" ca="1" si="3"/>
        <v>0</v>
      </c>
    </row>
    <row r="34" spans="1:12" ht="21.75" customHeight="1">
      <c r="A34" s="748"/>
      <c r="B34" s="748"/>
      <c r="C34" s="748"/>
      <c r="D34" s="749" t="s">
        <v>10</v>
      </c>
      <c r="E34" s="748" t="s">
        <v>18</v>
      </c>
      <c r="F34" s="750">
        <f t="shared" ref="F34:L34" ca="1" si="4">F15+F32-F33</f>
        <v>0</v>
      </c>
      <c r="G34" s="750">
        <f t="shared" ca="1" si="4"/>
        <v>0</v>
      </c>
      <c r="H34" s="750">
        <f t="shared" ca="1" si="4"/>
        <v>0</v>
      </c>
      <c r="I34" s="750">
        <f t="shared" ca="1" si="4"/>
        <v>0</v>
      </c>
      <c r="J34" s="750">
        <f t="shared" ca="1" si="4"/>
        <v>0</v>
      </c>
      <c r="K34" s="750">
        <f t="shared" ca="1" si="4"/>
        <v>0</v>
      </c>
      <c r="L34" s="750">
        <f t="shared" ca="1" si="4"/>
        <v>0</v>
      </c>
    </row>
    <row r="36" spans="1:12">
      <c r="B36" s="751"/>
      <c r="C36" s="731" t="s">
        <v>802</v>
      </c>
    </row>
    <row r="37" spans="1:12">
      <c r="C37" s="731" t="str">
        <f ca="1">"- Ngày mở sổ: "&amp;"01/"&amp;MONTH(A16)&amp;"/"&amp;YEAR(A16)</f>
        <v>- Ngày mở sổ: 01/4/2011</v>
      </c>
    </row>
    <row r="38" spans="1:12">
      <c r="E38" s="730"/>
      <c r="F38" s="730"/>
      <c r="G38" s="730"/>
      <c r="H38" s="730"/>
      <c r="I38" s="730"/>
      <c r="J38" s="107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2011</v>
      </c>
      <c r="K38" s="1077"/>
      <c r="L38" s="1077"/>
    </row>
    <row r="39" spans="1:12">
      <c r="B39" s="730"/>
      <c r="C39" s="727" t="s">
        <v>11</v>
      </c>
      <c r="D39" s="730"/>
      <c r="E39" s="730"/>
      <c r="F39" s="730"/>
      <c r="G39" s="730"/>
      <c r="H39" s="730"/>
      <c r="I39" s="730"/>
      <c r="J39" s="1077" t="s">
        <v>12</v>
      </c>
      <c r="K39" s="1077"/>
      <c r="L39" s="1077"/>
    </row>
    <row r="40" spans="1:12">
      <c r="B40" s="730"/>
      <c r="C40" s="727" t="s">
        <v>13</v>
      </c>
      <c r="D40" s="730"/>
      <c r="E40" s="730"/>
      <c r="F40" s="730"/>
      <c r="G40" s="730"/>
      <c r="H40" s="730"/>
      <c r="I40" s="730"/>
      <c r="J40" s="1124" t="s">
        <v>13</v>
      </c>
      <c r="K40" s="1124"/>
      <c r="L40" s="1124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24" customWidth="1"/>
    <col min="3" max="3" width="8.5703125" style="824" customWidth="1"/>
    <col min="4" max="4" width="51.42578125" style="824" customWidth="1"/>
    <col min="5" max="5" width="8" style="824" customWidth="1"/>
    <col min="6" max="6" width="12.28515625" style="824" bestFit="1" customWidth="1"/>
    <col min="7" max="7" width="10.140625" style="824" customWidth="1"/>
    <col min="8" max="8" width="10.7109375" style="824" customWidth="1"/>
    <col min="9" max="9" width="11.42578125" style="824" customWidth="1"/>
    <col min="10" max="10" width="11.5703125" style="824" customWidth="1"/>
    <col min="11" max="11" width="11.42578125" style="824" customWidth="1"/>
    <col min="12" max="12" width="9.42578125" style="824" customWidth="1"/>
    <col min="13" max="13" width="6.7109375" style="824" customWidth="1"/>
    <col min="14" max="16384" width="9.140625" style="824"/>
  </cols>
  <sheetData>
    <row r="2" spans="1:15">
      <c r="A2" s="726" t="str">
        <f>'632'!A2</f>
        <v>Đơn vị: CÔNG TY TNHH SX TM KIM DUNG PHÁT</v>
      </c>
      <c r="F2" s="823"/>
      <c r="G2" s="823"/>
      <c r="H2" s="1122" t="s">
        <v>789</v>
      </c>
      <c r="I2" s="1122"/>
      <c r="J2" s="1122"/>
      <c r="K2" s="1122"/>
      <c r="L2" s="752"/>
    </row>
    <row r="3" spans="1:15" ht="15" customHeight="1">
      <c r="A3" s="756" t="str">
        <f>'632'!A3</f>
        <v>Địa chỉ: 1A227/1 Ấp 1, Phạm Văn Hai, Bình Chánh, TPHCM</v>
      </c>
      <c r="H3" s="112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5"/>
      <c r="J3" s="1125"/>
      <c r="K3" s="1125"/>
      <c r="L3" s="730"/>
    </row>
    <row r="4" spans="1:15">
      <c r="H4" s="1125"/>
      <c r="I4" s="1125"/>
      <c r="J4" s="1125"/>
      <c r="K4" s="1125"/>
      <c r="L4" s="730"/>
    </row>
    <row r="5" spans="1:15" ht="19.5" customHeight="1">
      <c r="A5" s="1123" t="s">
        <v>790</v>
      </c>
      <c r="B5" s="1123"/>
      <c r="C5" s="1123"/>
      <c r="D5" s="1123"/>
      <c r="E5" s="1123"/>
      <c r="F5" s="1123"/>
      <c r="G5" s="1123"/>
      <c r="H5" s="1123"/>
      <c r="I5" s="1123"/>
      <c r="J5" s="1123"/>
      <c r="K5" s="1123"/>
      <c r="L5" s="1123"/>
      <c r="M5" s="729" t="s">
        <v>261</v>
      </c>
      <c r="N5" s="645">
        <f>IF(N13="Quý I",1,IF(N13="Quý II",4,IF(N13="Quý III",7,IF(N13="Quý IV",10,""))))</f>
        <v>7</v>
      </c>
      <c r="O5" s="645">
        <f>IF(N13="Quý I",3,IF(N13="Quý II",6,IF(N13="Quý III",9,IF(N13="Quý IV",12,""))))</f>
        <v>9</v>
      </c>
    </row>
    <row r="6" spans="1:15">
      <c r="A6" s="1124" t="s">
        <v>791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</row>
    <row r="7" spans="1:15">
      <c r="B7" s="730"/>
      <c r="C7" s="730"/>
      <c r="D7" s="730"/>
      <c r="E7" s="731" t="s">
        <v>1077</v>
      </c>
      <c r="G7" s="730"/>
      <c r="H7" s="730"/>
      <c r="I7" s="730"/>
      <c r="J7" s="730"/>
      <c r="K7" s="730"/>
      <c r="L7" s="730"/>
      <c r="M7" s="757"/>
    </row>
    <row r="8" spans="1:15">
      <c r="B8" s="730"/>
      <c r="C8" s="730"/>
      <c r="D8" s="730"/>
      <c r="E8" s="731" t="s">
        <v>793</v>
      </c>
      <c r="G8" s="730"/>
      <c r="H8" s="730"/>
      <c r="I8" s="730"/>
      <c r="J8" s="730"/>
      <c r="K8" s="730"/>
      <c r="L8" s="730"/>
    </row>
    <row r="9" spans="1:15">
      <c r="B9" s="732"/>
      <c r="C9" s="732"/>
      <c r="D9" s="732"/>
      <c r="E9" s="731" t="s">
        <v>794</v>
      </c>
      <c r="G9" s="732"/>
      <c r="H9" s="732"/>
      <c r="I9" s="732"/>
      <c r="J9" s="732"/>
      <c r="K9" s="732"/>
      <c r="L9" s="732"/>
    </row>
    <row r="10" spans="1:15" ht="9" customHeight="1">
      <c r="C10" s="1121"/>
      <c r="D10" s="1121"/>
      <c r="E10" s="1121"/>
      <c r="F10" s="1121"/>
      <c r="G10" s="1121"/>
      <c r="H10" s="1121"/>
      <c r="I10" s="1121"/>
      <c r="J10" s="1121"/>
      <c r="K10" s="1121"/>
      <c r="L10" s="1121"/>
    </row>
    <row r="11" spans="1:15" ht="15.75" customHeight="1">
      <c r="A11" s="1118" t="s">
        <v>19</v>
      </c>
      <c r="B11" s="1119" t="s">
        <v>1</v>
      </c>
      <c r="C11" s="1119"/>
      <c r="D11" s="1118" t="s">
        <v>0</v>
      </c>
      <c r="E11" s="1118" t="s">
        <v>209</v>
      </c>
      <c r="F11" s="1119" t="s">
        <v>1076</v>
      </c>
      <c r="G11" s="1119"/>
      <c r="H11" s="1119"/>
      <c r="I11" s="1119"/>
      <c r="J11" s="1119"/>
      <c r="K11" s="1119"/>
      <c r="L11" s="1119"/>
    </row>
    <row r="12" spans="1:15" ht="15.75" customHeight="1" thickBot="1">
      <c r="A12" s="1118"/>
      <c r="B12" s="1120" t="s">
        <v>15</v>
      </c>
      <c r="C12" s="1120" t="s">
        <v>31</v>
      </c>
      <c r="D12" s="1118"/>
      <c r="E12" s="1118"/>
      <c r="F12" s="1120" t="s">
        <v>796</v>
      </c>
      <c r="G12" s="1120" t="s">
        <v>797</v>
      </c>
      <c r="H12" s="1120"/>
      <c r="I12" s="1120"/>
      <c r="J12" s="1120"/>
      <c r="K12" s="1120"/>
      <c r="L12" s="1120"/>
    </row>
    <row r="13" spans="1:15" ht="29.25" customHeight="1" thickBot="1">
      <c r="A13" s="1118"/>
      <c r="B13" s="1120"/>
      <c r="C13" s="1120"/>
      <c r="D13" s="1118"/>
      <c r="E13" s="1118"/>
      <c r="F13" s="1120"/>
      <c r="G13" s="753" t="s">
        <v>46</v>
      </c>
      <c r="H13" s="753" t="s">
        <v>23</v>
      </c>
      <c r="I13" s="753"/>
      <c r="J13" s="753"/>
      <c r="K13" s="753"/>
      <c r="L13" s="753"/>
      <c r="N13" s="755" t="s">
        <v>1079</v>
      </c>
    </row>
    <row r="14" spans="1:15">
      <c r="A14" s="825" t="s">
        <v>2</v>
      </c>
      <c r="B14" s="825" t="s">
        <v>3</v>
      </c>
      <c r="C14" s="825" t="s">
        <v>4</v>
      </c>
      <c r="D14" s="825" t="s">
        <v>5</v>
      </c>
      <c r="E14" s="825" t="s">
        <v>6</v>
      </c>
      <c r="F14" s="825">
        <v>1</v>
      </c>
      <c r="G14" s="825">
        <v>2</v>
      </c>
      <c r="H14" s="825">
        <v>3</v>
      </c>
      <c r="I14" s="825">
        <v>4</v>
      </c>
      <c r="J14" s="825">
        <v>5</v>
      </c>
      <c r="K14" s="825">
        <v>6</v>
      </c>
      <c r="L14" s="825">
        <v>7</v>
      </c>
    </row>
    <row r="15" spans="1:15" ht="21.75" customHeight="1">
      <c r="A15" s="735"/>
      <c r="B15" s="735"/>
      <c r="C15" s="735"/>
      <c r="D15" s="736" t="s">
        <v>7</v>
      </c>
      <c r="E15" s="735"/>
      <c r="F15" s="737"/>
      <c r="G15" s="737"/>
      <c r="H15" s="737"/>
      <c r="I15" s="737"/>
      <c r="J15" s="737"/>
      <c r="K15" s="737"/>
      <c r="L15" s="737"/>
    </row>
    <row r="16" spans="1:15" ht="21.75" customHeight="1">
      <c r="A16" s="738">
        <f ca="1">IF(ROWS($1:1)&gt;COUNT(Dong13),"",OFFSET(TH!C$1,SMALL(Dong13,ROWS($1:1)),))</f>
        <v>40755</v>
      </c>
      <c r="B16" s="738" t="str">
        <f ca="1">IF(ROWS($1:1)&gt;COUNT(Dong13),"",OFFSET(TH!D$1,SMALL(Dong13,ROWS($1:1)),))</f>
        <v>C07</v>
      </c>
      <c r="C16" s="738">
        <f ca="1">IF(ROWS($1:1)&gt;COUNT(Dong13),"",OFFSET(TH!E$1,SMALL(Dong13,ROWS($1:1)),))</f>
        <v>40755</v>
      </c>
      <c r="D16" s="739" t="str">
        <f ca="1">IF(ROWS($1:1)&gt;COUNT(Dong13),"",OFFSET(TH!F$1,SMALL(Dong13,ROWS($1:1)),))</f>
        <v>Difsel 0.05S, lệ phí xăng dầu</v>
      </c>
      <c r="E16" s="738" t="str">
        <f ca="1">IF(ROWS($1:1)&gt;COUNT(Dong13),"",OFFSET(TH!M$1,SMALL(Dong13,ROWS($1:1)),))</f>
        <v>1111</v>
      </c>
      <c r="F16" s="837">
        <f ca="1">IF(ROWS($1:1)&gt;COUNT(Dong13),"",OFFSET(TH!K$1,SMALL(Dong13,ROWS($1:1)),))</f>
        <v>455629</v>
      </c>
      <c r="G16" s="740">
        <f t="shared" ref="G16:J25" ca="1" si="0">IF($E16=G$13,$F16,0)</f>
        <v>455629</v>
      </c>
      <c r="H16" s="740">
        <f t="shared" ca="1" si="0"/>
        <v>0</v>
      </c>
      <c r="I16" s="740">
        <f t="shared" ca="1" si="0"/>
        <v>0</v>
      </c>
      <c r="J16" s="740">
        <f t="shared" ca="1" si="0"/>
        <v>0</v>
      </c>
      <c r="K16" s="740">
        <f ca="1">IF(LEFT($E16,3)=K$13,$F16,0)</f>
        <v>0</v>
      </c>
      <c r="L16" s="740">
        <f ca="1">IF(LEFT($E16,3)=L$13,$F16,0)</f>
        <v>0</v>
      </c>
    </row>
    <row r="17" spans="1:12" ht="21.75" customHeight="1">
      <c r="A17" s="738">
        <f ca="1">IF(ROWS($1:2)&gt;COUNT(Dong13),"",OFFSET(TH!C$1,SMALL(Dong13,ROWS($1:2)),))</f>
        <v>40758</v>
      </c>
      <c r="B17" s="738" t="str">
        <f ca="1">IF(ROWS($1:2)&gt;COUNT(Dong13),"",OFFSET(TH!D$1,SMALL(Dong13,ROWS($1:2)),))</f>
        <v>C08</v>
      </c>
      <c r="C17" s="738">
        <f ca="1">IF(ROWS($1:2)&gt;COUNT(Dong13),"",OFFSET(TH!E$1,SMALL(Dong13,ROWS($1:2)),))</f>
        <v>40758</v>
      </c>
      <c r="D17" s="739" t="str">
        <f ca="1">IF(ROWS($1:2)&gt;COUNT(Dong13),"",OFFSET(TH!F$1,SMALL(Dong13,ROWS($1:2)),))</f>
        <v>Difsel 0.05S, lệ phí xăng dầu</v>
      </c>
      <c r="E17" s="738" t="str">
        <f ca="1">IF(ROWS($1:2)&gt;COUNT(Dong13),"",OFFSET(TH!M$1,SMALL(Dong13,ROWS($1:2)),))</f>
        <v>1111</v>
      </c>
      <c r="F17" s="837">
        <f ca="1">IF(ROWS($1:2)&gt;COUNT(Dong13),"",OFFSET(TH!K$1,SMALL(Dong13,ROWS($1:2)),))</f>
        <v>384545</v>
      </c>
      <c r="G17" s="740">
        <f t="shared" ca="1" si="0"/>
        <v>384545</v>
      </c>
      <c r="H17" s="740">
        <f t="shared" ca="1" si="0"/>
        <v>0</v>
      </c>
      <c r="I17" s="740">
        <f t="shared" ca="1" si="0"/>
        <v>0</v>
      </c>
      <c r="J17" s="740">
        <f t="shared" ca="1" si="0"/>
        <v>0</v>
      </c>
      <c r="K17" s="740">
        <f t="shared" ref="K17:L25" ca="1" si="1">IF(LEFT($E17,3)=K$13,$F17,0)</f>
        <v>0</v>
      </c>
      <c r="L17" s="740">
        <f t="shared" ca="1" si="1"/>
        <v>0</v>
      </c>
    </row>
    <row r="18" spans="1:12" ht="21.75" customHeight="1">
      <c r="A18" s="738">
        <f ca="1">IF(ROWS($1:3)&gt;COUNT(Dong13),"",OFFSET(TH!C$1,SMALL(Dong13,ROWS($1:3)),))</f>
        <v>40762</v>
      </c>
      <c r="B18" s="738" t="str">
        <f ca="1">IF(ROWS($1:3)&gt;COUNT(Dong13),"",OFFSET(TH!D$1,SMALL(Dong13,ROWS($1:3)),))</f>
        <v>C10</v>
      </c>
      <c r="C18" s="738">
        <f ca="1">IF(ROWS($1:3)&gt;COUNT(Dong13),"",OFFSET(TH!E$1,SMALL(Dong13,ROWS($1:3)),))</f>
        <v>40762</v>
      </c>
      <c r="D18" s="739" t="str">
        <f ca="1">IF(ROWS($1:3)&gt;COUNT(Dong13),"",OFFSET(TH!F$1,SMALL(Dong13,ROWS($1:3)),))</f>
        <v>Difsel 0.05S, lệ phí xăng dầu</v>
      </c>
      <c r="E18" s="738" t="str">
        <f ca="1">IF(ROWS($1:3)&gt;COUNT(Dong13),"",OFFSET(TH!M$1,SMALL(Dong13,ROWS($1:3)),))</f>
        <v>1111</v>
      </c>
      <c r="F18" s="837">
        <f ca="1">IF(ROWS($1:3)&gt;COUNT(Dong13),"",OFFSET(TH!K$1,SMALL(Dong13,ROWS($1:3)),))</f>
        <v>455629</v>
      </c>
      <c r="G18" s="740">
        <f t="shared" ca="1" si="0"/>
        <v>455629</v>
      </c>
      <c r="H18" s="740">
        <f t="shared" ca="1" si="0"/>
        <v>0</v>
      </c>
      <c r="I18" s="740">
        <f t="shared" ca="1" si="0"/>
        <v>0</v>
      </c>
      <c r="J18" s="740">
        <f t="shared" ca="1" si="0"/>
        <v>0</v>
      </c>
      <c r="K18" s="740">
        <f t="shared" ca="1" si="1"/>
        <v>0</v>
      </c>
      <c r="L18" s="740">
        <f t="shared" ca="1" si="1"/>
        <v>0</v>
      </c>
    </row>
    <row r="19" spans="1:12" ht="21.75" customHeight="1">
      <c r="A19" s="738">
        <f ca="1">IF(ROWS($1:4)&gt;COUNT(Dong13),"",OFFSET(TH!C$1,SMALL(Dong13,ROWS($1:4)),))</f>
        <v>40808</v>
      </c>
      <c r="B19" s="738" t="str">
        <f ca="1">IF(ROWS($1:4)&gt;COUNT(Dong13),"",OFFSET(TH!D$1,SMALL(Dong13,ROWS($1:4)),))</f>
        <v>C21</v>
      </c>
      <c r="C19" s="738">
        <f ca="1">IF(ROWS($1:4)&gt;COUNT(Dong13),"",OFFSET(TH!E$1,SMALL(Dong13,ROWS($1:4)),))</f>
        <v>40808</v>
      </c>
      <c r="D19" s="739" t="str">
        <f ca="1">IF(ROWS($1:4)&gt;COUNT(Dong13),"",OFFSET(TH!F$1,SMALL(Dong13,ROWS($1:4)),))</f>
        <v>Dầu DO, Phí xăng dầu</v>
      </c>
      <c r="E19" s="738" t="str">
        <f ca="1">IF(ROWS($1:4)&gt;COUNT(Dong13),"",OFFSET(TH!M$1,SMALL(Dong13,ROWS($1:4)),))</f>
        <v>1111</v>
      </c>
      <c r="F19" s="837">
        <f ca="1">IF(ROWS($1:4)&gt;COUNT(Dong13),"",OFFSET(TH!K$1,SMALL(Dong13,ROWS($1:4)),))</f>
        <v>500011</v>
      </c>
      <c r="G19" s="740">
        <f t="shared" ca="1" si="0"/>
        <v>500011</v>
      </c>
      <c r="H19" s="740">
        <f t="shared" ca="1" si="0"/>
        <v>0</v>
      </c>
      <c r="I19" s="740">
        <f t="shared" ca="1" si="0"/>
        <v>0</v>
      </c>
      <c r="J19" s="740">
        <f t="shared" ca="1" si="0"/>
        <v>0</v>
      </c>
      <c r="K19" s="740">
        <f t="shared" ca="1" si="1"/>
        <v>0</v>
      </c>
      <c r="L19" s="740">
        <f t="shared" ca="1" si="1"/>
        <v>0</v>
      </c>
    </row>
    <row r="20" spans="1:12" ht="21.75" customHeight="1">
      <c r="A20" s="738" t="str">
        <f ca="1">IF(ROWS($1:5)&gt;COUNT(Dong13),"",OFFSET(TH!C$1,SMALL(Dong13,ROWS($1:5)),))</f>
        <v/>
      </c>
      <c r="B20" s="738" t="str">
        <f ca="1">IF(ROWS($1:5)&gt;COUNT(Dong13),"",OFFSET(TH!D$1,SMALL(Dong13,ROWS($1:5)),))</f>
        <v/>
      </c>
      <c r="C20" s="738" t="str">
        <f ca="1">IF(ROWS($1:5)&gt;COUNT(Dong13),"",OFFSET(TH!E$1,SMALL(Dong13,ROWS($1:5)),))</f>
        <v/>
      </c>
      <c r="D20" s="739" t="str">
        <f ca="1">IF(ROWS($1:5)&gt;COUNT(Dong13),"",OFFSET(TH!F$1,SMALL(Dong13,ROWS($1:5)),))</f>
        <v/>
      </c>
      <c r="E20" s="738" t="str">
        <f ca="1">IF(ROWS($1:5)&gt;COUNT(Dong13),"",OFFSET(TH!M$1,SMALL(Dong13,ROWS($1:5)),))</f>
        <v/>
      </c>
      <c r="F20" s="837" t="str">
        <f ca="1">IF(ROWS($1:5)&gt;COUNT(Dong13),"",OFFSET(TH!K$1,SMALL(Dong13,ROWS($1:5)),))</f>
        <v/>
      </c>
      <c r="G20" s="740">
        <f t="shared" ca="1" si="0"/>
        <v>0</v>
      </c>
      <c r="H20" s="740">
        <f t="shared" ca="1" si="0"/>
        <v>0</v>
      </c>
      <c r="I20" s="740" t="str">
        <f t="shared" ca="1" si="0"/>
        <v/>
      </c>
      <c r="J20" s="740" t="str">
        <f t="shared" ca="1" si="0"/>
        <v/>
      </c>
      <c r="K20" s="740" t="str">
        <f t="shared" ca="1" si="1"/>
        <v/>
      </c>
      <c r="L20" s="740" t="str">
        <f t="shared" ca="1" si="1"/>
        <v/>
      </c>
    </row>
    <row r="21" spans="1:12" ht="21.75" customHeight="1">
      <c r="A21" s="738" t="str">
        <f ca="1">IF(ROWS($1:6)&gt;COUNT(Dong13),"",OFFSET(TH!C$1,SMALL(Dong13,ROWS($1:6)),))</f>
        <v/>
      </c>
      <c r="B21" s="738" t="str">
        <f ca="1">IF(ROWS($1:6)&gt;COUNT(Dong13),"",OFFSET(TH!D$1,SMALL(Dong13,ROWS($1:6)),))</f>
        <v/>
      </c>
      <c r="C21" s="738" t="str">
        <f ca="1">IF(ROWS($1:6)&gt;COUNT(Dong13),"",OFFSET(TH!E$1,SMALL(Dong13,ROWS($1:6)),))</f>
        <v/>
      </c>
      <c r="D21" s="739" t="str">
        <f ca="1">IF(ROWS($1:6)&gt;COUNT(Dong13),"",OFFSET(TH!F$1,SMALL(Dong13,ROWS($1:6)),))</f>
        <v/>
      </c>
      <c r="E21" s="738" t="str">
        <f ca="1">IF(ROWS($1:6)&gt;COUNT(Dong13),"",OFFSET(TH!M$1,SMALL(Dong13,ROWS($1:6)),))</f>
        <v/>
      </c>
      <c r="F21" s="837" t="str">
        <f ca="1">IF(ROWS($1:6)&gt;COUNT(Dong13),"",OFFSET(TH!K$1,SMALL(Dong13,ROWS($1:6)),))</f>
        <v/>
      </c>
      <c r="G21" s="740">
        <f t="shared" ca="1" si="0"/>
        <v>0</v>
      </c>
      <c r="H21" s="740">
        <f t="shared" ca="1" si="0"/>
        <v>0</v>
      </c>
      <c r="I21" s="740" t="str">
        <f t="shared" ca="1" si="0"/>
        <v/>
      </c>
      <c r="J21" s="740" t="str">
        <f t="shared" ca="1" si="0"/>
        <v/>
      </c>
      <c r="K21" s="740" t="str">
        <f t="shared" ca="1" si="1"/>
        <v/>
      </c>
      <c r="L21" s="740" t="str">
        <f t="shared" ca="1" si="1"/>
        <v/>
      </c>
    </row>
    <row r="22" spans="1:12" ht="21.75" customHeight="1">
      <c r="A22" s="738" t="str">
        <f ca="1">IF(ROWS($1:7)&gt;COUNT(Dong13),"",OFFSET(TH!C$1,SMALL(Dong13,ROWS($1:7)),))</f>
        <v/>
      </c>
      <c r="B22" s="738" t="str">
        <f ca="1">IF(ROWS($1:7)&gt;COUNT(Dong13),"",OFFSET(TH!D$1,SMALL(Dong13,ROWS($1:7)),))</f>
        <v/>
      </c>
      <c r="C22" s="738" t="str">
        <f ca="1">IF(ROWS($1:7)&gt;COUNT(Dong13),"",OFFSET(TH!E$1,SMALL(Dong13,ROWS($1:7)),))</f>
        <v/>
      </c>
      <c r="D22" s="739" t="str">
        <f ca="1">IF(ROWS($1:7)&gt;COUNT(Dong13),"",OFFSET(TH!F$1,SMALL(Dong13,ROWS($1:7)),))</f>
        <v/>
      </c>
      <c r="E22" s="738" t="str">
        <f ca="1">IF(ROWS($1:7)&gt;COUNT(Dong13),"",OFFSET(TH!M$1,SMALL(Dong13,ROWS($1:7)),))</f>
        <v/>
      </c>
      <c r="F22" s="837" t="str">
        <f ca="1">IF(ROWS($1:7)&gt;COUNT(Dong13),"",OFFSET(TH!K$1,SMALL(Dong13,ROWS($1:7)),))</f>
        <v/>
      </c>
      <c r="G22" s="740">
        <f t="shared" ca="1" si="0"/>
        <v>0</v>
      </c>
      <c r="H22" s="740">
        <f t="shared" ca="1" si="0"/>
        <v>0</v>
      </c>
      <c r="I22" s="740" t="str">
        <f t="shared" ca="1" si="0"/>
        <v/>
      </c>
      <c r="J22" s="740" t="str">
        <f t="shared" ca="1" si="0"/>
        <v/>
      </c>
      <c r="K22" s="740" t="str">
        <f t="shared" ca="1" si="1"/>
        <v/>
      </c>
      <c r="L22" s="740" t="str">
        <f t="shared" ca="1" si="1"/>
        <v/>
      </c>
    </row>
    <row r="23" spans="1:12" ht="21.75" customHeight="1">
      <c r="A23" s="738" t="str">
        <f ca="1">IF(ROWS($1:8)&gt;COUNT(Dong13),"",OFFSET(TH!C$1,SMALL(Dong13,ROWS($1:8)),))</f>
        <v/>
      </c>
      <c r="B23" s="738" t="str">
        <f ca="1">IF(ROWS($1:8)&gt;COUNT(Dong13),"",OFFSET(TH!D$1,SMALL(Dong13,ROWS($1:8)),))</f>
        <v/>
      </c>
      <c r="C23" s="738" t="str">
        <f ca="1">IF(ROWS($1:8)&gt;COUNT(Dong13),"",OFFSET(TH!E$1,SMALL(Dong13,ROWS($1:8)),))</f>
        <v/>
      </c>
      <c r="D23" s="739" t="str">
        <f ca="1">IF(ROWS($1:8)&gt;COUNT(Dong13),"",OFFSET(TH!F$1,SMALL(Dong13,ROWS($1:8)),))</f>
        <v/>
      </c>
      <c r="E23" s="738" t="str">
        <f ca="1">IF(ROWS($1:8)&gt;COUNT(Dong13),"",OFFSET(TH!M$1,SMALL(Dong13,ROWS($1:8)),))</f>
        <v/>
      </c>
      <c r="F23" s="837" t="str">
        <f ca="1">IF(ROWS($1:8)&gt;COUNT(Dong13),"",OFFSET(TH!K$1,SMALL(Dong13,ROWS($1:8)),))</f>
        <v/>
      </c>
      <c r="G23" s="740">
        <f t="shared" ca="1" si="0"/>
        <v>0</v>
      </c>
      <c r="H23" s="740">
        <f t="shared" ca="1" si="0"/>
        <v>0</v>
      </c>
      <c r="I23" s="740" t="str">
        <f t="shared" ca="1" si="0"/>
        <v/>
      </c>
      <c r="J23" s="740" t="str">
        <f t="shared" ca="1" si="0"/>
        <v/>
      </c>
      <c r="K23" s="740" t="str">
        <f t="shared" ca="1" si="1"/>
        <v/>
      </c>
      <c r="L23" s="740" t="str">
        <f t="shared" ca="1" si="1"/>
        <v/>
      </c>
    </row>
    <row r="24" spans="1:12" ht="21.75" customHeight="1">
      <c r="A24" s="738" t="str">
        <f ca="1">IF(ROWS($1:9)&gt;COUNT(Dong13),"",OFFSET(TH!C$1,SMALL(Dong13,ROWS($1:9)),))</f>
        <v/>
      </c>
      <c r="B24" s="738" t="str">
        <f ca="1">IF(ROWS($1:9)&gt;COUNT(Dong13),"",OFFSET(TH!D$1,SMALL(Dong13,ROWS($1:9)),))</f>
        <v/>
      </c>
      <c r="C24" s="738" t="str">
        <f ca="1">IF(ROWS($1:9)&gt;COUNT(Dong13),"",OFFSET(TH!E$1,SMALL(Dong13,ROWS($1:9)),))</f>
        <v/>
      </c>
      <c r="D24" s="739" t="str">
        <f ca="1">IF(ROWS($1:9)&gt;COUNT(Dong13),"",OFFSET(TH!F$1,SMALL(Dong13,ROWS($1:9)),))</f>
        <v/>
      </c>
      <c r="E24" s="738" t="str">
        <f ca="1">IF(ROWS($1:9)&gt;COUNT(Dong13),"",OFFSET(TH!M$1,SMALL(Dong13,ROWS($1:9)),))</f>
        <v/>
      </c>
      <c r="F24" s="837" t="str">
        <f ca="1">IF(ROWS($1:9)&gt;COUNT(Dong13),"",OFFSET(TH!K$1,SMALL(Dong13,ROWS($1:9)),))</f>
        <v/>
      </c>
      <c r="G24" s="740">
        <f t="shared" ca="1" si="0"/>
        <v>0</v>
      </c>
      <c r="H24" s="740">
        <f t="shared" ca="1" si="0"/>
        <v>0</v>
      </c>
      <c r="I24" s="740" t="str">
        <f t="shared" ca="1" si="0"/>
        <v/>
      </c>
      <c r="J24" s="740" t="str">
        <f t="shared" ca="1" si="0"/>
        <v/>
      </c>
      <c r="K24" s="740" t="str">
        <f t="shared" ca="1" si="1"/>
        <v/>
      </c>
      <c r="L24" s="740" t="str">
        <f t="shared" ca="1" si="1"/>
        <v/>
      </c>
    </row>
    <row r="25" spans="1:12" ht="21.75" customHeight="1">
      <c r="A25" s="738" t="str">
        <f ca="1">IF(ROWS($1:10)&gt;COUNT(Dong13),"",OFFSET(TH!C$1,SMALL(Dong13,ROWS($1:10)),))</f>
        <v/>
      </c>
      <c r="B25" s="738" t="str">
        <f ca="1">IF(ROWS($1:10)&gt;COUNT(Dong13),"",OFFSET(TH!D$1,SMALL(Dong13,ROWS($1:10)),))</f>
        <v/>
      </c>
      <c r="C25" s="738" t="str">
        <f ca="1">IF(ROWS($1:10)&gt;COUNT(Dong13),"",OFFSET(TH!E$1,SMALL(Dong13,ROWS($1:10)),))</f>
        <v/>
      </c>
      <c r="D25" s="739" t="str">
        <f ca="1">IF(ROWS($1:10)&gt;COUNT(Dong13),"",OFFSET(TH!F$1,SMALL(Dong13,ROWS($1:10)),))</f>
        <v/>
      </c>
      <c r="E25" s="738" t="str">
        <f ca="1">IF(ROWS($1:10)&gt;COUNT(Dong13),"",OFFSET(TH!M$1,SMALL(Dong13,ROWS($1:10)),))</f>
        <v/>
      </c>
      <c r="F25" s="837" t="str">
        <f ca="1">IF(ROWS($1:10)&gt;COUNT(Dong13),"",OFFSET(TH!K$1,SMALL(Dong13,ROWS($1:10)),))</f>
        <v/>
      </c>
      <c r="G25" s="740">
        <f t="shared" ca="1" si="0"/>
        <v>0</v>
      </c>
      <c r="H25" s="740">
        <f t="shared" ca="1" si="0"/>
        <v>0</v>
      </c>
      <c r="I25" s="740" t="str">
        <f t="shared" ca="1" si="0"/>
        <v/>
      </c>
      <c r="J25" s="740" t="str">
        <f t="shared" ca="1" si="0"/>
        <v/>
      </c>
      <c r="K25" s="740" t="str">
        <f t="shared" ca="1" si="1"/>
        <v/>
      </c>
      <c r="L25" s="740" t="str">
        <f t="shared" ca="1" si="1"/>
        <v/>
      </c>
    </row>
    <row r="26" spans="1:12" ht="21.75" customHeight="1">
      <c r="A26" s="738"/>
      <c r="B26" s="741"/>
      <c r="C26" s="738"/>
      <c r="D26" s="742"/>
      <c r="E26" s="743"/>
      <c r="F26" s="744"/>
      <c r="G26" s="744"/>
      <c r="H26" s="744"/>
      <c r="I26" s="744"/>
      <c r="J26" s="744"/>
      <c r="K26" s="744"/>
      <c r="L26" s="744"/>
    </row>
    <row r="27" spans="1:12" ht="21.75" customHeight="1">
      <c r="A27" s="738"/>
      <c r="B27" s="741"/>
      <c r="C27" s="738"/>
      <c r="D27" s="736" t="s">
        <v>125</v>
      </c>
      <c r="E27" s="735" t="s">
        <v>18</v>
      </c>
      <c r="F27" s="737">
        <f t="shared" ref="F27:L27" ca="1" si="2">SUM(F15:F26)</f>
        <v>1795814</v>
      </c>
      <c r="G27" s="737">
        <f t="shared" ca="1" si="2"/>
        <v>1795814</v>
      </c>
      <c r="H27" s="737">
        <f t="shared" ca="1" si="2"/>
        <v>0</v>
      </c>
      <c r="I27" s="737">
        <f t="shared" ca="1" si="2"/>
        <v>0</v>
      </c>
      <c r="J27" s="737">
        <f t="shared" ca="1" si="2"/>
        <v>0</v>
      </c>
      <c r="K27" s="737">
        <f t="shared" ca="1" si="2"/>
        <v>0</v>
      </c>
      <c r="L27" s="737">
        <f t="shared" ca="1" si="2"/>
        <v>0</v>
      </c>
    </row>
    <row r="28" spans="1:12" ht="21.75" customHeight="1">
      <c r="A28" s="745"/>
      <c r="B28" s="743"/>
      <c r="C28" s="745"/>
      <c r="D28" s="746" t="s">
        <v>1078</v>
      </c>
      <c r="E28" s="741"/>
      <c r="F28" s="737">
        <f ca="1">SUM(G28:L28)</f>
        <v>1795814</v>
      </c>
      <c r="G28" s="747">
        <f t="shared" ref="G28:L28" ca="1" si="3">G27</f>
        <v>1795814</v>
      </c>
      <c r="H28" s="747">
        <f t="shared" ca="1" si="3"/>
        <v>0</v>
      </c>
      <c r="I28" s="747">
        <f t="shared" ca="1" si="3"/>
        <v>0</v>
      </c>
      <c r="J28" s="747">
        <f t="shared" ca="1" si="3"/>
        <v>0</v>
      </c>
      <c r="K28" s="747">
        <f t="shared" ca="1" si="3"/>
        <v>0</v>
      </c>
      <c r="L28" s="747">
        <f t="shared" ca="1" si="3"/>
        <v>0</v>
      </c>
    </row>
    <row r="29" spans="1:12" ht="21.75" customHeight="1">
      <c r="A29" s="748"/>
      <c r="B29" s="748"/>
      <c r="C29" s="748"/>
      <c r="D29" s="749" t="s">
        <v>10</v>
      </c>
      <c r="E29" s="748" t="s">
        <v>18</v>
      </c>
      <c r="F29" s="750">
        <f t="shared" ref="F29:L29" ca="1" si="4">F15+F27-F28</f>
        <v>0</v>
      </c>
      <c r="G29" s="750">
        <f t="shared" ca="1" si="4"/>
        <v>0</v>
      </c>
      <c r="H29" s="750">
        <f t="shared" ca="1" si="4"/>
        <v>0</v>
      </c>
      <c r="I29" s="750">
        <f t="shared" ca="1" si="4"/>
        <v>0</v>
      </c>
      <c r="J29" s="750">
        <f t="shared" ca="1" si="4"/>
        <v>0</v>
      </c>
      <c r="K29" s="750">
        <f t="shared" ca="1" si="4"/>
        <v>0</v>
      </c>
      <c r="L29" s="750">
        <f t="shared" ca="1" si="4"/>
        <v>0</v>
      </c>
    </row>
    <row r="31" spans="1:12">
      <c r="B31" s="751"/>
      <c r="C31" s="731" t="s">
        <v>802</v>
      </c>
    </row>
    <row r="32" spans="1:12">
      <c r="C32" s="731" t="str">
        <f ca="1">"- Ngày mở sổ: "&amp;"01/"&amp;MONTH(A16)&amp;"/"&amp;YEAR(A16)</f>
        <v>- Ngày mở sổ: 01/7/2011</v>
      </c>
    </row>
    <row r="33" spans="2:12">
      <c r="E33" s="730"/>
      <c r="F33" s="730"/>
      <c r="G33" s="730"/>
      <c r="H33" s="730"/>
      <c r="I33" s="730"/>
      <c r="J33" s="1077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2011</v>
      </c>
      <c r="K33" s="1077"/>
      <c r="L33" s="1077"/>
    </row>
    <row r="34" spans="2:12">
      <c r="B34" s="730"/>
      <c r="C34" s="824" t="s">
        <v>11</v>
      </c>
      <c r="D34" s="730"/>
      <c r="E34" s="730"/>
      <c r="F34" s="730"/>
      <c r="G34" s="730"/>
      <c r="H34" s="730"/>
      <c r="I34" s="730"/>
      <c r="J34" s="1077" t="s">
        <v>12</v>
      </c>
      <c r="K34" s="1077"/>
      <c r="L34" s="1077"/>
    </row>
    <row r="35" spans="2:12">
      <c r="B35" s="730"/>
      <c r="C35" s="824" t="s">
        <v>13</v>
      </c>
      <c r="D35" s="730"/>
      <c r="E35" s="730"/>
      <c r="F35" s="730"/>
      <c r="G35" s="730"/>
      <c r="H35" s="730"/>
      <c r="I35" s="730"/>
      <c r="J35" s="1124" t="s">
        <v>13</v>
      </c>
      <c r="K35" s="1124"/>
      <c r="L35" s="1124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56</vt:i4>
      </vt:variant>
    </vt:vector>
  </HeadingPairs>
  <TitlesOfParts>
    <vt:vector size="80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DSGT2</vt:lpstr>
      <vt:lpstr>DSGT3</vt:lpstr>
      <vt:lpstr>DSGT4</vt:lpstr>
      <vt:lpstr>DSKH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2016-10-01T02:10:16Z</dcterms:modified>
</cp:coreProperties>
</file>