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'131'!$B$4:$B$36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'131'!$A$1:$H$37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5621"/>
</workbook>
</file>

<file path=xl/calcChain.xml><?xml version="1.0" encoding="utf-8"?>
<calcChain xmlns="http://schemas.openxmlformats.org/spreadsheetml/2006/main">
  <c r="B348" i="55" l="1"/>
  <c r="A348" i="55" s="1"/>
  <c r="AC918" i="34"/>
  <c r="AC917" i="34"/>
  <c r="AC915" i="34"/>
  <c r="AC912" i="34"/>
  <c r="AC910" i="34"/>
  <c r="AC909" i="34"/>
  <c r="AC889" i="34"/>
  <c r="AC888" i="34"/>
  <c r="AC887" i="34"/>
  <c r="AC885" i="34"/>
  <c r="AC884" i="34"/>
  <c r="AC883" i="34"/>
  <c r="AC881" i="34"/>
  <c r="AC880" i="34"/>
  <c r="AC879" i="34"/>
  <c r="AC855" i="34"/>
  <c r="AC842" i="34"/>
  <c r="AC835" i="34"/>
  <c r="AC834" i="34"/>
  <c r="AC833" i="34"/>
  <c r="AC829" i="34"/>
  <c r="AC828" i="34"/>
  <c r="AC819" i="34"/>
  <c r="AC818" i="34"/>
  <c r="AC805" i="34"/>
  <c r="AC795" i="34"/>
  <c r="AC792" i="34"/>
  <c r="AC769" i="34"/>
  <c r="AC768" i="34"/>
  <c r="AC767" i="34"/>
  <c r="AC765" i="34"/>
  <c r="AC764" i="34"/>
  <c r="AC763" i="34"/>
  <c r="AC761" i="34"/>
  <c r="AC755" i="34"/>
  <c r="AC754" i="34"/>
  <c r="AC745" i="34"/>
  <c r="AC744" i="34"/>
  <c r="AC743" i="34"/>
  <c r="AC741" i="34"/>
  <c r="AC740" i="34"/>
  <c r="AC739" i="34"/>
  <c r="AC738" i="34"/>
  <c r="AC737" i="34"/>
  <c r="AC736" i="34"/>
  <c r="AC732" i="34"/>
  <c r="AC731" i="34"/>
  <c r="AC729" i="34"/>
  <c r="AC728" i="34"/>
  <c r="AC725" i="34"/>
  <c r="AC723" i="34"/>
  <c r="AC722" i="34"/>
  <c r="AC721" i="34"/>
  <c r="AC711" i="34"/>
  <c r="AC710" i="34"/>
  <c r="AC709" i="34"/>
  <c r="AC705" i="34"/>
  <c r="AC704" i="34"/>
  <c r="AC703" i="34"/>
  <c r="AC701" i="34"/>
  <c r="AC700" i="34"/>
  <c r="AC695" i="34"/>
  <c r="AC693" i="34"/>
  <c r="AC688" i="34"/>
  <c r="AC687" i="34"/>
  <c r="AC686" i="34"/>
  <c r="AC685" i="34"/>
  <c r="AC684" i="34"/>
  <c r="AC683" i="34"/>
  <c r="AC672" i="34"/>
  <c r="AC671" i="34"/>
  <c r="AC670" i="34"/>
  <c r="AC669" i="34"/>
  <c r="AC668" i="34"/>
  <c r="AC666" i="34"/>
  <c r="AC664" i="34"/>
  <c r="AC659" i="34"/>
  <c r="AC658" i="34"/>
  <c r="AC657" i="34"/>
  <c r="AC656" i="34"/>
  <c r="AC655" i="34"/>
  <c r="AC652" i="34"/>
  <c r="AC651" i="34"/>
  <c r="AC650" i="34"/>
  <c r="AC649" i="34"/>
  <c r="AC646" i="34"/>
  <c r="AC645" i="34"/>
  <c r="AC644" i="34"/>
  <c r="AC636" i="34"/>
  <c r="AC635" i="34"/>
  <c r="AC634" i="34"/>
  <c r="AC633" i="34"/>
  <c r="AC630" i="34"/>
  <c r="AC629" i="34"/>
  <c r="AC628" i="34"/>
  <c r="AC627" i="34"/>
  <c r="AC626" i="34"/>
  <c r="AC625" i="34"/>
  <c r="AC617" i="34"/>
  <c r="AC615" i="34"/>
  <c r="AC614" i="34"/>
  <c r="AC605" i="34"/>
  <c r="AC604" i="34"/>
  <c r="AC599" i="34"/>
  <c r="AC598" i="34"/>
  <c r="AC597" i="34"/>
  <c r="AC596" i="34"/>
  <c r="AC594" i="34"/>
  <c r="AC585" i="34"/>
  <c r="AC584" i="34"/>
  <c r="AC583" i="34"/>
  <c r="AC575" i="34"/>
  <c r="AC574" i="34"/>
  <c r="AC571" i="34"/>
  <c r="AC570" i="34"/>
  <c r="AC569" i="34"/>
  <c r="AC565" i="34"/>
  <c r="AC564" i="34"/>
  <c r="AC563" i="34"/>
  <c r="AC562" i="34"/>
  <c r="AC561" i="34"/>
  <c r="AC555" i="34"/>
  <c r="AC554" i="34"/>
  <c r="AC553" i="34"/>
  <c r="AC552" i="34"/>
  <c r="AC551" i="34"/>
  <c r="AC547" i="34"/>
  <c r="AC546" i="34"/>
  <c r="AC543" i="34"/>
  <c r="AC542" i="34"/>
  <c r="AC541" i="34"/>
  <c r="AC540" i="34"/>
  <c r="AC539" i="34"/>
  <c r="AC538" i="34"/>
  <c r="AC537" i="34"/>
  <c r="AC536" i="34"/>
  <c r="AC534" i="34"/>
  <c r="AC533" i="34"/>
  <c r="AC528" i="34"/>
  <c r="AC527" i="34"/>
  <c r="AC526" i="34"/>
  <c r="AC525" i="34"/>
  <c r="AC522" i="34"/>
  <c r="AC521" i="34"/>
  <c r="AC520" i="34"/>
  <c r="AC516" i="34"/>
  <c r="AC515" i="34"/>
  <c r="AC514" i="34"/>
  <c r="AC506" i="34"/>
  <c r="AC503" i="34"/>
  <c r="AC502" i="34"/>
  <c r="AC496" i="34"/>
  <c r="AC495" i="34"/>
  <c r="AC494" i="34"/>
  <c r="AC493" i="34"/>
  <c r="AC492" i="34"/>
  <c r="AC491" i="34"/>
  <c r="AC489" i="34"/>
  <c r="AC488" i="34"/>
  <c r="AC487" i="34"/>
  <c r="AC486" i="34"/>
  <c r="AC482" i="34"/>
  <c r="AC481" i="34"/>
  <c r="AC480" i="34"/>
  <c r="AC479" i="34"/>
  <c r="AC477" i="34"/>
  <c r="AC476" i="34"/>
  <c r="AC475" i="34"/>
  <c r="AC474" i="34"/>
  <c r="AC473" i="34"/>
  <c r="AC466" i="34"/>
  <c r="AC465" i="34"/>
  <c r="AC464" i="34"/>
  <c r="AC463" i="34"/>
  <c r="AC460" i="34"/>
  <c r="AC459" i="34"/>
  <c r="AC457" i="34"/>
  <c r="AC455" i="34"/>
  <c r="AC454" i="34"/>
  <c r="AC453" i="34"/>
  <c r="AC452" i="34"/>
  <c r="AC451" i="34"/>
  <c r="AC450" i="34"/>
  <c r="AC449" i="34"/>
  <c r="AC445" i="34"/>
  <c r="AC444" i="34"/>
  <c r="AC443" i="34"/>
  <c r="AC441" i="34"/>
  <c r="AC440" i="34"/>
  <c r="AC438" i="34"/>
  <c r="AC437" i="34"/>
  <c r="AC436" i="34"/>
  <c r="AC435" i="34"/>
  <c r="AC434" i="34"/>
  <c r="AC425" i="34"/>
  <c r="AC424" i="34"/>
  <c r="AC422" i="34"/>
  <c r="AC421" i="34"/>
  <c r="AC420" i="34"/>
  <c r="AC418" i="34"/>
  <c r="AC417" i="34"/>
  <c r="AC416" i="34"/>
  <c r="AC415" i="34"/>
  <c r="AC414" i="34"/>
  <c r="AC413" i="34"/>
  <c r="AC412" i="34"/>
  <c r="AC405" i="34"/>
  <c r="AC404" i="34"/>
  <c r="AC403" i="34"/>
  <c r="AC402" i="34"/>
  <c r="AC401" i="34"/>
  <c r="AC399" i="34"/>
  <c r="AC398" i="34"/>
  <c r="AC397" i="34"/>
  <c r="AC396" i="34"/>
  <c r="AC389" i="34"/>
  <c r="AC388" i="34"/>
  <c r="AC382" i="34"/>
  <c r="AC381" i="34"/>
  <c r="AC380" i="34"/>
  <c r="AC379" i="34"/>
  <c r="AC378" i="34"/>
  <c r="AC377" i="34"/>
  <c r="AC373" i="34"/>
  <c r="AC372" i="34"/>
  <c r="AC371" i="34"/>
  <c r="AC368" i="34"/>
  <c r="AC366" i="34"/>
  <c r="AC365" i="34"/>
  <c r="AC364" i="34"/>
  <c r="AC363" i="34"/>
  <c r="AC362" i="34"/>
  <c r="AC361" i="34"/>
  <c r="AC359" i="34"/>
  <c r="AC358" i="34"/>
  <c r="AC357" i="34"/>
  <c r="AC356" i="34"/>
  <c r="AC355" i="34"/>
  <c r="AC354" i="34"/>
  <c r="AC353" i="34"/>
  <c r="AC352" i="34"/>
  <c r="AC350" i="34"/>
  <c r="AC349" i="34"/>
  <c r="AC348" i="34"/>
  <c r="AC347" i="34"/>
  <c r="AC346" i="34"/>
  <c r="AC345" i="34"/>
  <c r="AC343" i="34"/>
  <c r="AC342" i="34"/>
  <c r="AC341" i="34"/>
  <c r="AC340" i="34"/>
  <c r="AC339" i="34"/>
  <c r="AC338" i="34"/>
  <c r="AC336" i="34"/>
  <c r="AC335" i="34"/>
  <c r="AC334" i="34"/>
  <c r="AC333" i="34"/>
  <c r="AC332" i="34"/>
  <c r="AC326" i="34"/>
  <c r="AC325" i="34"/>
  <c r="AC324" i="34"/>
  <c r="AC323" i="34"/>
  <c r="AC322" i="34"/>
  <c r="AC320" i="34"/>
  <c r="AC319" i="34"/>
  <c r="AC318" i="34"/>
  <c r="AC317" i="34"/>
  <c r="AC316" i="34"/>
  <c r="AC315" i="34"/>
  <c r="AC309" i="34"/>
  <c r="AC308" i="34"/>
  <c r="AC307" i="34"/>
  <c r="AC306" i="34"/>
  <c r="AC305" i="34"/>
  <c r="AC304" i="34"/>
  <c r="AC302" i="34"/>
  <c r="AC301" i="34"/>
  <c r="AC300" i="34"/>
  <c r="AC299" i="34"/>
  <c r="AC298" i="34"/>
  <c r="AC297" i="34"/>
  <c r="AC296" i="34"/>
  <c r="AC295" i="34"/>
  <c r="AC293" i="34"/>
  <c r="AC292" i="34"/>
  <c r="AC291" i="34"/>
  <c r="AC290" i="34"/>
  <c r="AC289" i="34"/>
  <c r="AC288" i="34"/>
  <c r="AC287" i="34"/>
  <c r="AC286" i="34"/>
  <c r="AC284" i="34"/>
  <c r="AC283" i="34"/>
  <c r="AC282" i="34"/>
  <c r="AC281" i="34"/>
  <c r="AC280" i="34"/>
  <c r="AC279" i="34"/>
  <c r="AC278" i="34"/>
  <c r="AC277" i="34"/>
  <c r="AC275" i="34"/>
  <c r="AC274" i="34"/>
  <c r="AC273" i="34"/>
  <c r="AC272" i="34"/>
  <c r="AC271" i="34"/>
  <c r="AC270" i="34"/>
  <c r="AC269" i="34"/>
  <c r="AC268" i="34"/>
  <c r="AC266" i="34"/>
  <c r="AC265" i="34"/>
  <c r="AC264" i="34"/>
  <c r="AC263" i="34"/>
  <c r="AC262" i="34"/>
  <c r="AC261" i="34"/>
  <c r="AC260" i="34"/>
  <c r="AC259" i="34"/>
  <c r="AC249" i="34"/>
  <c r="AC248" i="34"/>
  <c r="AC247" i="34"/>
  <c r="AC246" i="34"/>
  <c r="AC245" i="34"/>
  <c r="AC244" i="34"/>
  <c r="AC243" i="34"/>
  <c r="AC242" i="34"/>
  <c r="AC240" i="34"/>
  <c r="AC239" i="34"/>
  <c r="AC238" i="34"/>
  <c r="AC237" i="34"/>
  <c r="AC236" i="34"/>
  <c r="AC235" i="34"/>
  <c r="AC234" i="34"/>
  <c r="AC233" i="34"/>
  <c r="AC231" i="34"/>
  <c r="AC230" i="34"/>
  <c r="AC229" i="34"/>
  <c r="AC228" i="34"/>
  <c r="AC227" i="34"/>
  <c r="AC226" i="34"/>
  <c r="AC225" i="34"/>
  <c r="AC224" i="34"/>
  <c r="AC223" i="34"/>
  <c r="AC204" i="34"/>
  <c r="AC203" i="34"/>
  <c r="AC202" i="34"/>
  <c r="AC199" i="34"/>
  <c r="AC198" i="34"/>
  <c r="AC197" i="34"/>
  <c r="AC196" i="34"/>
  <c r="AC193" i="34"/>
  <c r="AC192" i="34"/>
  <c r="AC191" i="34"/>
  <c r="AC188" i="34"/>
  <c r="AC187" i="34"/>
  <c r="AC186" i="34"/>
  <c r="AC185" i="34"/>
  <c r="AC184" i="34"/>
  <c r="AC183" i="34"/>
  <c r="AC182" i="34"/>
  <c r="AC181" i="34"/>
  <c r="AC180" i="34"/>
  <c r="AC179" i="34"/>
  <c r="AC178" i="34"/>
  <c r="AC177" i="34"/>
  <c r="AC176" i="34"/>
  <c r="AC175" i="34"/>
  <c r="AC174" i="34"/>
  <c r="AC173" i="34"/>
  <c r="AC172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5" i="34"/>
  <c r="AC154" i="34"/>
  <c r="AC153" i="34"/>
  <c r="AC139" i="34"/>
  <c r="AC138" i="34"/>
  <c r="AC137" i="34"/>
  <c r="AC136" i="34"/>
  <c r="AC135" i="34"/>
  <c r="AC134" i="34"/>
  <c r="AC133" i="34"/>
  <c r="AC132" i="34"/>
  <c r="AC131" i="34"/>
  <c r="AC130" i="34"/>
  <c r="AC129" i="34"/>
  <c r="AC128" i="34"/>
  <c r="AC127" i="34"/>
  <c r="AC126" i="34"/>
  <c r="AC124" i="34"/>
  <c r="AC123" i="34"/>
  <c r="AC122" i="34"/>
  <c r="AC121" i="34"/>
  <c r="AC120" i="34"/>
  <c r="AC118" i="34"/>
  <c r="AC117" i="34"/>
  <c r="AC116" i="34"/>
  <c r="AC115" i="34"/>
  <c r="AC114" i="34"/>
  <c r="AC113" i="34"/>
  <c r="AC112" i="34"/>
  <c r="AC111" i="34"/>
  <c r="AC63" i="34"/>
  <c r="AC62" i="34"/>
  <c r="AC61" i="34"/>
  <c r="AC59" i="34"/>
  <c r="AC58" i="34"/>
  <c r="AC57" i="34"/>
  <c r="AC56" i="34"/>
  <c r="AC55" i="34"/>
  <c r="AC54" i="34"/>
  <c r="AC53" i="34"/>
  <c r="AC52" i="34"/>
  <c r="AC50" i="34"/>
  <c r="AC49" i="34"/>
  <c r="AC48" i="34"/>
  <c r="AC47" i="34"/>
  <c r="AC46" i="34"/>
  <c r="AC45" i="34"/>
  <c r="AC44" i="34"/>
  <c r="AC43" i="34"/>
  <c r="AC41" i="34"/>
  <c r="AC40" i="34"/>
  <c r="AC39" i="34"/>
  <c r="AC38" i="34"/>
  <c r="AC37" i="34"/>
  <c r="AC35" i="34"/>
  <c r="AC34" i="34"/>
  <c r="AC33" i="34"/>
  <c r="G140" i="55" a="1"/>
  <c r="G140" i="55" s="1"/>
  <c r="I140" i="55" a="1"/>
  <c r="I140" i="55" s="1"/>
  <c r="G244" i="55" a="1"/>
  <c r="G244" i="55" s="1"/>
  <c r="I244" i="55" a="1"/>
  <c r="I244" i="55" s="1"/>
  <c r="K244" i="55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K33" i="55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K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K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K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K160" i="55"/>
  <c r="G194" i="55" a="1"/>
  <c r="G194" i="55" s="1"/>
  <c r="I194" i="55" a="1"/>
  <c r="I194" i="55" s="1"/>
  <c r="G23" i="55" a="1"/>
  <c r="G23" i="55" s="1"/>
  <c r="K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K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K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256" i="55" l="1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2" i="15"/>
  <c r="C41" i="15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33" i="34"/>
  <c r="R33" i="34"/>
  <c r="S33" i="34"/>
  <c r="T33" i="34"/>
  <c r="U33" i="34"/>
  <c r="W33" i="34"/>
  <c r="Y33" i="34"/>
  <c r="Z33" i="34"/>
  <c r="N34" i="34"/>
  <c r="R34" i="34"/>
  <c r="S34" i="34"/>
  <c r="T34" i="34"/>
  <c r="U34" i="34"/>
  <c r="W34" i="34"/>
  <c r="Y34" i="34"/>
  <c r="Z34" i="34"/>
  <c r="N35" i="34"/>
  <c r="R35" i="34"/>
  <c r="S35" i="34"/>
  <c r="T35" i="34"/>
  <c r="U35" i="34"/>
  <c r="W35" i="34"/>
  <c r="Y35" i="34"/>
  <c r="Z35" i="34"/>
  <c r="N36" i="34"/>
  <c r="R36" i="34"/>
  <c r="S36" i="34"/>
  <c r="T36" i="34"/>
  <c r="U36" i="34"/>
  <c r="W36" i="34"/>
  <c r="Y36" i="34"/>
  <c r="Z36" i="34"/>
  <c r="N37" i="34"/>
  <c r="R37" i="34"/>
  <c r="S37" i="34"/>
  <c r="T37" i="34"/>
  <c r="U37" i="34"/>
  <c r="W37" i="34"/>
  <c r="Y37" i="34"/>
  <c r="Z37" i="34"/>
  <c r="N38" i="34"/>
  <c r="R38" i="34"/>
  <c r="S38" i="34"/>
  <c r="T38" i="34"/>
  <c r="U38" i="34"/>
  <c r="W38" i="34"/>
  <c r="Y38" i="34"/>
  <c r="Z38" i="34"/>
  <c r="N39" i="34"/>
  <c r="R39" i="34"/>
  <c r="S39" i="34"/>
  <c r="T39" i="34"/>
  <c r="U39" i="34"/>
  <c r="W39" i="34"/>
  <c r="Y39" i="34"/>
  <c r="Z39" i="34"/>
  <c r="N40" i="34"/>
  <c r="R40" i="34"/>
  <c r="S40" i="34"/>
  <c r="T40" i="34"/>
  <c r="U40" i="34"/>
  <c r="W40" i="34"/>
  <c r="Y40" i="34"/>
  <c r="Z40" i="34"/>
  <c r="N41" i="34"/>
  <c r="R41" i="34"/>
  <c r="S41" i="34"/>
  <c r="T41" i="34"/>
  <c r="U41" i="34"/>
  <c r="W41" i="34"/>
  <c r="Y41" i="34"/>
  <c r="Z41" i="34"/>
  <c r="N42" i="34"/>
  <c r="R42" i="34"/>
  <c r="S42" i="34"/>
  <c r="T42" i="34"/>
  <c r="U42" i="34"/>
  <c r="W42" i="34"/>
  <c r="Y42" i="34"/>
  <c r="Z42" i="34"/>
  <c r="N43" i="34"/>
  <c r="U43" i="34"/>
  <c r="W43" i="34"/>
  <c r="Y43" i="34"/>
  <c r="Z43" i="34"/>
  <c r="N44" i="34"/>
  <c r="R44" i="34"/>
  <c r="S44" i="34"/>
  <c r="T44" i="34"/>
  <c r="U44" i="34"/>
  <c r="W44" i="34"/>
  <c r="Y44" i="34"/>
  <c r="Z44" i="34"/>
  <c r="N45" i="34"/>
  <c r="R45" i="34"/>
  <c r="S45" i="34"/>
  <c r="T45" i="34"/>
  <c r="U45" i="34"/>
  <c r="W45" i="34"/>
  <c r="Y45" i="34"/>
  <c r="Z45" i="34"/>
  <c r="N46" i="34"/>
  <c r="R46" i="34"/>
  <c r="S46" i="34"/>
  <c r="T46" i="34"/>
  <c r="U46" i="34"/>
  <c r="W46" i="34"/>
  <c r="Y46" i="34"/>
  <c r="Z46" i="34"/>
  <c r="N47" i="34"/>
  <c r="R47" i="34"/>
  <c r="S47" i="34"/>
  <c r="T47" i="34"/>
  <c r="U47" i="34"/>
  <c r="W47" i="34"/>
  <c r="Y47" i="34"/>
  <c r="Z47" i="34"/>
  <c r="N48" i="34"/>
  <c r="R48" i="34"/>
  <c r="S48" i="34"/>
  <c r="T48" i="34"/>
  <c r="U48" i="34"/>
  <c r="W48" i="34"/>
  <c r="Y48" i="34"/>
  <c r="Z48" i="34"/>
  <c r="N49" i="34"/>
  <c r="R49" i="34"/>
  <c r="S49" i="34"/>
  <c r="T49" i="34"/>
  <c r="U49" i="34"/>
  <c r="W49" i="34"/>
  <c r="Y49" i="34"/>
  <c r="Z49" i="34"/>
  <c r="N50" i="34"/>
  <c r="R50" i="34"/>
  <c r="S50" i="34"/>
  <c r="T50" i="34"/>
  <c r="U50" i="34"/>
  <c r="W50" i="34"/>
  <c r="Y50" i="34"/>
  <c r="Z50" i="34"/>
  <c r="N51" i="34"/>
  <c r="R51" i="34"/>
  <c r="S51" i="34"/>
  <c r="T51" i="34"/>
  <c r="U51" i="34"/>
  <c r="W51" i="34"/>
  <c r="Y51" i="34"/>
  <c r="Z51" i="34"/>
  <c r="N52" i="34"/>
  <c r="R52" i="34"/>
  <c r="S52" i="34"/>
  <c r="T52" i="34"/>
  <c r="U52" i="34"/>
  <c r="W52" i="34"/>
  <c r="Y52" i="34"/>
  <c r="Z52" i="34"/>
  <c r="N53" i="34"/>
  <c r="R53" i="34"/>
  <c r="S53" i="34"/>
  <c r="T53" i="34"/>
  <c r="U53" i="34"/>
  <c r="W53" i="34"/>
  <c r="Y53" i="34"/>
  <c r="Z53" i="34"/>
  <c r="N54" i="34"/>
  <c r="R54" i="34"/>
  <c r="S54" i="34"/>
  <c r="T54" i="34"/>
  <c r="U54" i="34"/>
  <c r="W54" i="34"/>
  <c r="Y54" i="34"/>
  <c r="Z54" i="34"/>
  <c r="N55" i="34"/>
  <c r="R55" i="34"/>
  <c r="S55" i="34"/>
  <c r="T55" i="34"/>
  <c r="U55" i="34"/>
  <c r="W55" i="34"/>
  <c r="Y55" i="34"/>
  <c r="Z55" i="34"/>
  <c r="N56" i="34"/>
  <c r="R56" i="34"/>
  <c r="S56" i="34"/>
  <c r="T56" i="34"/>
  <c r="U56" i="34"/>
  <c r="W56" i="34"/>
  <c r="Y56" i="34"/>
  <c r="Z56" i="34"/>
  <c r="N57" i="34"/>
  <c r="U57" i="34"/>
  <c r="W57" i="34"/>
  <c r="Y57" i="34"/>
  <c r="Z57" i="34"/>
  <c r="N58" i="34"/>
  <c r="R58" i="34"/>
  <c r="S58" i="34"/>
  <c r="T58" i="34"/>
  <c r="U58" i="34"/>
  <c r="W58" i="34"/>
  <c r="Y58" i="34"/>
  <c r="Z58" i="34"/>
  <c r="N59" i="34"/>
  <c r="R59" i="34"/>
  <c r="S59" i="34"/>
  <c r="T59" i="34"/>
  <c r="U59" i="34"/>
  <c r="W59" i="34"/>
  <c r="Y59" i="34"/>
  <c r="Z59" i="34"/>
  <c r="N60" i="34"/>
  <c r="R60" i="34"/>
  <c r="S60" i="34"/>
  <c r="T60" i="34"/>
  <c r="U60" i="34"/>
  <c r="W60" i="34"/>
  <c r="Y60" i="34"/>
  <c r="Z60" i="34"/>
  <c r="N61" i="34"/>
  <c r="R61" i="34"/>
  <c r="S61" i="34"/>
  <c r="T61" i="34"/>
  <c r="U61" i="34"/>
  <c r="W61" i="34"/>
  <c r="Y61" i="34"/>
  <c r="Z61" i="34"/>
  <c r="N62" i="34"/>
  <c r="R62" i="34"/>
  <c r="S62" i="34"/>
  <c r="T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R101" i="34"/>
  <c r="S101" i="34"/>
  <c r="T101" i="34"/>
  <c r="U101" i="34"/>
  <c r="W101" i="34"/>
  <c r="Y101" i="34"/>
  <c r="Z101" i="34"/>
  <c r="N102" i="34"/>
  <c r="R102" i="34"/>
  <c r="S102" i="34"/>
  <c r="T102" i="34"/>
  <c r="U102" i="34"/>
  <c r="W102" i="34"/>
  <c r="Y102" i="34"/>
  <c r="Z102" i="34"/>
  <c r="N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U110" i="34"/>
  <c r="W110" i="34"/>
  <c r="Y110" i="34"/>
  <c r="Z110" i="34"/>
  <c r="N111" i="34"/>
  <c r="R111" i="34"/>
  <c r="S111" i="34"/>
  <c r="T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R115" i="34"/>
  <c r="S115" i="34"/>
  <c r="T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R127" i="34"/>
  <c r="S127" i="34"/>
  <c r="T127" i="34"/>
  <c r="U127" i="34"/>
  <c r="W127" i="34"/>
  <c r="Y127" i="34"/>
  <c r="Z127" i="34"/>
  <c r="N128" i="34"/>
  <c r="R128" i="34"/>
  <c r="S128" i="34"/>
  <c r="T128" i="34"/>
  <c r="U128" i="34"/>
  <c r="W128" i="34"/>
  <c r="Y128" i="34"/>
  <c r="Z128" i="34"/>
  <c r="N129" i="34"/>
  <c r="R129" i="34"/>
  <c r="S129" i="34"/>
  <c r="T129" i="34"/>
  <c r="U129" i="34"/>
  <c r="W129" i="34"/>
  <c r="Y129" i="34"/>
  <c r="Z129" i="34"/>
  <c r="N130" i="34"/>
  <c r="R130" i="34"/>
  <c r="S130" i="34"/>
  <c r="T130" i="34"/>
  <c r="U130" i="34"/>
  <c r="W130" i="34"/>
  <c r="Y130" i="34"/>
  <c r="Z130" i="34"/>
  <c r="N131" i="34"/>
  <c r="R131" i="34"/>
  <c r="S131" i="34"/>
  <c r="T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R135" i="34"/>
  <c r="S135" i="34"/>
  <c r="T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R138" i="34"/>
  <c r="S138" i="34"/>
  <c r="T138" i="34"/>
  <c r="U138" i="34"/>
  <c r="W138" i="34"/>
  <c r="Y138" i="34"/>
  <c r="Z138" i="34"/>
  <c r="N139" i="34"/>
  <c r="R139" i="34"/>
  <c r="S139" i="34"/>
  <c r="T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R142" i="34"/>
  <c r="S142" i="34"/>
  <c r="T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A54" i="34" s="1"/>
  <c r="B51" i="34"/>
  <c r="A51" i="34" s="1"/>
  <c r="AA51" i="34" l="1"/>
  <c r="AA54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AA499" i="34"/>
  <c r="AA495" i="34"/>
  <c r="AA491" i="34"/>
  <c r="AA487" i="34"/>
  <c r="AA483" i="34"/>
  <c r="AA479" i="34"/>
  <c r="AA475" i="34"/>
  <c r="AA471" i="34"/>
  <c r="AA467" i="34"/>
  <c r="AA463" i="34"/>
  <c r="AA459" i="34"/>
  <c r="AA455" i="34"/>
  <c r="AA451" i="34"/>
  <c r="AA447" i="34"/>
  <c r="AA443" i="34"/>
  <c r="AA439" i="34"/>
  <c r="AA435" i="34"/>
  <c r="AA424" i="34"/>
  <c r="AA431" i="34"/>
  <c r="AA417" i="34"/>
  <c r="AA403" i="34"/>
  <c r="AA497" i="34"/>
  <c r="AA493" i="34"/>
  <c r="AA489" i="34"/>
  <c r="AA485" i="34"/>
  <c r="AA481" i="34"/>
  <c r="AA477" i="34"/>
  <c r="AA473" i="34"/>
  <c r="AA469" i="34"/>
  <c r="AA465" i="34"/>
  <c r="AA461" i="34"/>
  <c r="AA457" i="34"/>
  <c r="AA453" i="34"/>
  <c r="AA449" i="34"/>
  <c r="AA445" i="34"/>
  <c r="AA441" i="34"/>
  <c r="AA437" i="34"/>
  <c r="AA433" i="34"/>
  <c r="AA427" i="34"/>
  <c r="AA419" i="34"/>
  <c r="AA406" i="34"/>
  <c r="AA498" i="34"/>
  <c r="AA494" i="34"/>
  <c r="AA490" i="34"/>
  <c r="AA486" i="34"/>
  <c r="AA482" i="34"/>
  <c r="AA478" i="34"/>
  <c r="AA474" i="34"/>
  <c r="AA470" i="34"/>
  <c r="AA466" i="34"/>
  <c r="AA462" i="34"/>
  <c r="AA458" i="34"/>
  <c r="AA454" i="34"/>
  <c r="AA450" i="34"/>
  <c r="AA446" i="34"/>
  <c r="AA442" i="34"/>
  <c r="AA438" i="34"/>
  <c r="AA434" i="34"/>
  <c r="AA428" i="34"/>
  <c r="AA430" i="34"/>
  <c r="AA407" i="34"/>
  <c r="AA500" i="34"/>
  <c r="AA496" i="34"/>
  <c r="AA492" i="34"/>
  <c r="AA488" i="34"/>
  <c r="AA484" i="34"/>
  <c r="AA480" i="34"/>
  <c r="AA476" i="34"/>
  <c r="AA472" i="34"/>
  <c r="AA468" i="34"/>
  <c r="AA464" i="34"/>
  <c r="AA460" i="34"/>
  <c r="AA456" i="34"/>
  <c r="AA452" i="34"/>
  <c r="AA448" i="34"/>
  <c r="AA444" i="34"/>
  <c r="AA440" i="34"/>
  <c r="AA436" i="34"/>
  <c r="AA425" i="34"/>
  <c r="AA432" i="34"/>
  <c r="AA418" i="34"/>
  <c r="AA405" i="34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A166" i="34" s="1"/>
  <c r="B165" i="34"/>
  <c r="A165" i="34" s="1"/>
  <c r="B164" i="34"/>
  <c r="A164" i="34" s="1"/>
  <c r="B162" i="34"/>
  <c r="A162" i="34" s="1"/>
  <c r="B161" i="34"/>
  <c r="A161" i="34" s="1"/>
  <c r="B160" i="34"/>
  <c r="A160" i="34" s="1"/>
  <c r="B159" i="34"/>
  <c r="A159" i="34" s="1"/>
  <c r="B158" i="34"/>
  <c r="A158" i="34" s="1"/>
  <c r="B157" i="34"/>
  <c r="A157" i="34" s="1"/>
  <c r="B156" i="34"/>
  <c r="A156" i="34" s="1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A151" i="34" s="1"/>
  <c r="B213" i="34"/>
  <c r="A213" i="34" s="1"/>
  <c r="B212" i="34"/>
  <c r="A212" i="34" s="1"/>
  <c r="B135" i="34"/>
  <c r="A135" i="34" s="1"/>
  <c r="B134" i="34"/>
  <c r="A134" i="34" s="1"/>
  <c r="B133" i="34"/>
  <c r="A133" i="34" s="1"/>
  <c r="B130" i="34"/>
  <c r="A130" i="34" s="1"/>
  <c r="B121" i="34"/>
  <c r="A121" i="34" s="1"/>
  <c r="A35" i="70"/>
  <c r="B118" i="34"/>
  <c r="A118" i="34" s="1"/>
  <c r="B122" i="34"/>
  <c r="A122" i="34" s="1"/>
  <c r="B127" i="34"/>
  <c r="A127" i="34" s="1"/>
  <c r="B128" i="34"/>
  <c r="A128" i="34" s="1"/>
  <c r="B129" i="34"/>
  <c r="A129" i="34" s="1"/>
  <c r="B131" i="34"/>
  <c r="A131" i="34" s="1"/>
  <c r="B132" i="34"/>
  <c r="A132" i="34" s="1"/>
  <c r="B136" i="34"/>
  <c r="A136" i="34" s="1"/>
  <c r="B137" i="34"/>
  <c r="A137" i="34" s="1"/>
  <c r="B138" i="34"/>
  <c r="A138" i="34" s="1"/>
  <c r="B139" i="34"/>
  <c r="A139" i="34" s="1"/>
  <c r="B149" i="34"/>
  <c r="A149" i="34" s="1"/>
  <c r="B150" i="34"/>
  <c r="A150" i="34" s="1"/>
  <c r="B288" i="34"/>
  <c r="A288" i="34" s="1"/>
  <c r="B289" i="34"/>
  <c r="A289" i="34" s="1"/>
  <c r="B163" i="34"/>
  <c r="A163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22" i="14" l="1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15" i="34"/>
  <c r="A115" i="34" s="1"/>
  <c r="B116" i="34"/>
  <c r="A116" i="34" s="1"/>
  <c r="B117" i="34"/>
  <c r="A117" i="34" s="1"/>
  <c r="O116" i="34" l="1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A85" i="34" s="1"/>
  <c r="B86" i="34"/>
  <c r="A86" i="34" s="1"/>
  <c r="B87" i="34"/>
  <c r="A87" i="34" s="1"/>
  <c r="B88" i="34"/>
  <c r="A88" i="34" s="1"/>
  <c r="B89" i="34"/>
  <c r="A89" i="34" s="1"/>
  <c r="B96" i="34"/>
  <c r="A96" i="34" s="1"/>
  <c r="B97" i="34"/>
  <c r="A97" i="34" s="1"/>
  <c r="B98" i="34"/>
  <c r="A98" i="34" s="1"/>
  <c r="B99" i="34"/>
  <c r="A99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75" i="34"/>
  <c r="A75" i="34" s="1"/>
  <c r="B42" i="34"/>
  <c r="A42" i="34" s="1"/>
  <c r="B74" i="34"/>
  <c r="A74" i="34" s="1"/>
  <c r="B91" i="34"/>
  <c r="A91" i="34" s="1"/>
  <c r="B90" i="34"/>
  <c r="A90" i="34" s="1"/>
  <c r="B145" i="34"/>
  <c r="A145" i="34" s="1"/>
  <c r="B144" i="34"/>
  <c r="A144" i="34" s="1"/>
  <c r="B143" i="34"/>
  <c r="A143" i="34" s="1"/>
  <c r="B142" i="34"/>
  <c r="A142" i="34" s="1"/>
  <c r="B141" i="34"/>
  <c r="A141" i="34" s="1"/>
  <c r="B125" i="34"/>
  <c r="A125" i="34" s="1"/>
  <c r="B120" i="34"/>
  <c r="A120" i="34" s="1"/>
  <c r="B119" i="34"/>
  <c r="A119" i="34" s="1"/>
  <c r="B112" i="34"/>
  <c r="A112" i="34" s="1"/>
  <c r="B41" i="34"/>
  <c r="A41" i="34" s="1"/>
  <c r="B35" i="34"/>
  <c r="A35" i="34" s="1"/>
  <c r="B36" i="34"/>
  <c r="A36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123" i="34"/>
  <c r="A123" i="34" s="1"/>
  <c r="B124" i="34"/>
  <c r="A124" i="34" s="1"/>
  <c r="B68" i="34"/>
  <c r="A68" i="34" s="1"/>
  <c r="B69" i="34"/>
  <c r="A69" i="34" s="1"/>
  <c r="B108" i="34"/>
  <c r="A108" i="34" s="1"/>
  <c r="B109" i="34"/>
  <c r="A109" i="34" s="1"/>
  <c r="B110" i="34"/>
  <c r="A110" i="34" s="1"/>
  <c r="B111" i="34"/>
  <c r="A111" i="34" s="1"/>
  <c r="B65" i="34"/>
  <c r="A65" i="34" s="1"/>
  <c r="B60" i="34"/>
  <c r="A60" i="34" s="1"/>
  <c r="B61" i="34"/>
  <c r="A61" i="34" s="1"/>
  <c r="B58" i="34"/>
  <c r="A58" i="34" s="1"/>
  <c r="B59" i="34"/>
  <c r="A59" i="34" s="1"/>
  <c r="B49" i="34"/>
  <c r="A49" i="34" s="1"/>
  <c r="B50" i="34"/>
  <c r="A50" i="34" s="1"/>
  <c r="B52" i="34"/>
  <c r="A52" i="34" s="1"/>
  <c r="B53" i="34"/>
  <c r="A53" i="34" s="1"/>
  <c r="B55" i="34"/>
  <c r="A55" i="34" s="1"/>
  <c r="B56" i="34"/>
  <c r="A56" i="34" s="1"/>
  <c r="B44" i="34"/>
  <c r="A44" i="34" s="1"/>
  <c r="B45" i="34"/>
  <c r="A45" i="34" s="1"/>
  <c r="B46" i="34"/>
  <c r="A46" i="34" s="1"/>
  <c r="B47" i="34"/>
  <c r="A47" i="34" s="1"/>
  <c r="B48" i="34"/>
  <c r="A48" i="34" s="1"/>
  <c r="B33" i="34"/>
  <c r="A33" i="34" s="1"/>
  <c r="B34" i="34"/>
  <c r="A34" i="34" s="1"/>
  <c r="B37" i="34"/>
  <c r="A37" i="34" s="1"/>
  <c r="B38" i="34"/>
  <c r="A38" i="34" s="1"/>
  <c r="B39" i="34"/>
  <c r="A39" i="34" s="1"/>
  <c r="B40" i="34"/>
  <c r="A40" i="34" s="1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A66" i="34" s="1"/>
  <c r="B67" i="34"/>
  <c r="A67" i="34" s="1"/>
  <c r="B71" i="34"/>
  <c r="A71" i="34" s="1"/>
  <c r="B72" i="34"/>
  <c r="A72" i="34" s="1"/>
  <c r="B62" i="34"/>
  <c r="A62" i="34" s="1"/>
  <c r="B63" i="34"/>
  <c r="A63" i="34" s="1"/>
  <c r="B64" i="34"/>
  <c r="A64" i="34" s="1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O331" i="34" l="1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s="1"/>
  <c r="T690" i="34" l="1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E12" i="61"/>
  <c r="D12" i="61"/>
  <c r="F12" i="61"/>
  <c r="G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H267" i="55" l="1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L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L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L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L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L209" i="55" s="1"/>
  <c r="H132" i="55" a="1"/>
  <c r="H132" i="55" s="1"/>
  <c r="L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L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L195" i="55" s="1"/>
  <c r="H211" i="55" a="1"/>
  <c r="H211" i="55" s="1"/>
  <c r="L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L226" i="55" s="1"/>
  <c r="H149" i="55" a="1"/>
  <c r="H149" i="55" s="1"/>
  <c r="L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L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L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L56" i="55" s="1"/>
  <c r="H95" i="55" a="1"/>
  <c r="H95" i="55" s="1"/>
  <c r="L95" i="55" s="1"/>
  <c r="H223" i="55" a="1"/>
  <c r="H223" i="55" s="1"/>
  <c r="L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L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L275" i="55" s="1"/>
  <c r="H219" i="55" a="1"/>
  <c r="H219" i="55" s="1"/>
  <c r="J44" i="55" a="1"/>
  <c r="J44" i="55" s="1"/>
  <c r="J231" i="55" a="1"/>
  <c r="J231" i="55" s="1"/>
  <c r="H244" i="55" a="1"/>
  <c r="H244" i="55" s="1"/>
  <c r="L244" i="55" s="1"/>
  <c r="J248" i="55" a="1"/>
  <c r="J248" i="55" s="1"/>
  <c r="J277" i="55" a="1"/>
  <c r="J277" i="55" s="1"/>
  <c r="J37" i="55" a="1"/>
  <c r="J37" i="55" s="1"/>
  <c r="H76" i="55" a="1"/>
  <c r="H76" i="55" s="1"/>
  <c r="L76" i="55" s="1"/>
  <c r="H24" i="55" a="1"/>
  <c r="H24" i="55" s="1"/>
  <c r="L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L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G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116" i="55" l="1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s="1"/>
  <c r="I22" i="14" l="1"/>
  <c r="I23" i="14" s="1"/>
  <c r="J22" i="71"/>
  <c r="I22" i="71"/>
  <c r="I23" i="71" s="1"/>
  <c r="J23" i="14" l="1"/>
  <c r="J24" i="14" s="1"/>
  <c r="J23" i="71"/>
  <c r="I24" i="71"/>
  <c r="J24" i="71"/>
  <c r="F15" i="47"/>
  <c r="I24" i="14" l="1"/>
  <c r="I25" i="14" s="1"/>
  <c r="J25" i="71"/>
  <c r="F22" i="47"/>
  <c r="I23" i="47" s="1"/>
  <c r="I25" i="71"/>
  <c r="H15" i="47"/>
  <c r="I15" i="47"/>
  <c r="J25" i="14" l="1"/>
  <c r="J26" i="14" s="1"/>
  <c r="I26" i="71"/>
  <c r="H23" i="47"/>
  <c r="J26" i="71"/>
  <c r="J27" i="71" s="1"/>
  <c r="I16" i="47"/>
  <c r="H16" i="47"/>
  <c r="I26" i="14" l="1"/>
  <c r="I27" i="14" s="1"/>
  <c r="I27" i="71"/>
  <c r="H17" i="47"/>
  <c r="I17" i="47"/>
  <c r="J27" i="14" l="1"/>
  <c r="J28" i="14" s="1"/>
  <c r="I28" i="71"/>
  <c r="J28" i="71"/>
  <c r="I18" i="47"/>
  <c r="H18" i="47"/>
  <c r="I28" i="14" l="1"/>
  <c r="I29" i="14" s="1"/>
  <c r="J29" i="71"/>
  <c r="I29" i="71"/>
  <c r="H19" i="47"/>
  <c r="I19" i="47"/>
  <c r="J29" i="14" l="1"/>
  <c r="J30" i="14" s="1"/>
  <c r="I30" i="71"/>
  <c r="J30" i="71"/>
  <c r="I20" i="47"/>
  <c r="H20" i="47"/>
  <c r="I30" i="14" l="1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35" i="70" l="1" a="1"/>
  <c r="F35" i="70" s="1"/>
  <c r="E35" i="70" a="1"/>
  <c r="E35" i="70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9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9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H349" i="55" l="1"/>
  <c r="J349" i="55"/>
  <c r="J350" i="55"/>
  <c r="F21" i="15"/>
  <c r="H350" i="55"/>
  <c r="E21" i="15"/>
  <c r="H11" i="70"/>
  <c r="G34" i="70"/>
  <c r="G13" i="70"/>
  <c r="H5" i="70"/>
  <c r="G35" i="70"/>
  <c r="H28" i="70"/>
  <c r="H7" i="70"/>
  <c r="G55" i="15"/>
  <c r="G57" i="15" s="1"/>
  <c r="G17" i="70"/>
  <c r="G22" i="15"/>
  <c r="I67" i="15"/>
  <c r="H35" i="70"/>
  <c r="H23" i="70"/>
  <c r="H50" i="15"/>
  <c r="H33" i="70"/>
  <c r="H18" i="70"/>
  <c r="H10" i="70"/>
  <c r="H26" i="70"/>
  <c r="G31" i="70"/>
  <c r="H30" i="70"/>
  <c r="G12" i="70"/>
  <c r="H20" i="70"/>
  <c r="G29" i="70"/>
  <c r="H25" i="70"/>
  <c r="G32" i="70"/>
  <c r="G16" i="70"/>
  <c r="H14" i="70"/>
  <c r="H6" i="70"/>
  <c r="G8" i="70"/>
  <c r="G24" i="70"/>
  <c r="I63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17" i="12"/>
  <c r="E37" i="70"/>
  <c r="E41" i="70" s="1"/>
  <c r="G4" i="70"/>
  <c r="F37" i="70"/>
  <c r="F41" i="70" s="1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G42" i="15" s="1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G350" i="55" l="1"/>
  <c r="I350" i="55"/>
  <c r="L349" i="55"/>
  <c r="K350" i="55" s="1"/>
  <c r="F19" i="12"/>
  <c r="H52" i="15"/>
  <c r="J17" i="45" s="1"/>
  <c r="G37" i="70"/>
  <c r="H37" i="70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<sst xmlns="http://schemas.openxmlformats.org/spreadsheetml/2006/main" count="7162" uniqueCount="1208">
  <si>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</si>
  <si>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</si>
  <si>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</si>
  <si>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</si>
  <si>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</si>
  <si>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</si>
  <si>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</si>
  <si>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</si>
  <si>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</si>
  <si>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</si>
  <si>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</si>
  <si>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</si>
  <si>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</si>
  <si>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</si>
  <si>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</si>
  <si>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</si>
  <si>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</si>
  <si>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</si>
  <si>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</si>
  <si>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</si>
  <si>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</si>
  <si>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</si>
  <si>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</si>
  <si>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</si>
  <si>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</si>
  <si>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</si>
  <si>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</si>
  <si>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</si>
  <si>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</si>
  <si>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</si>
  <si>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</si>
  <si>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</si>
  <si>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</si>
  <si>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</si>
  <si>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</si>
  <si>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</si>
  <si>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</si>
  <si>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</si>
  <si>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</si>
  <si>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</si>
  <si>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</si>
  <si>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</si>
  <si>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</si>
  <si>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</si>
  <si>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</si>
  <si>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</si>
  <si>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</si>
  <si>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</si>
  <si>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</si>
  <si>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</si>
  <si>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</si>
  <si>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</si>
  <si>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</si>
  <si>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</si>
  <si>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</si>
  <si>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</si>
  <si>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</si>
  <si>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</si>
  <si>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</si>
  <si>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</si>
  <si>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</si>
  <si>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</si>
  <si>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</si>
  <si>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</si>
  <si>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</si>
  <si>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</si>
  <si>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</si>
  <si>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</si>
  <si>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</si>
  <si>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</si>
  <si>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</si>
  <si>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</si>
  <si>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</si>
  <si>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</si>
  <si>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</si>
  <si>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</si>
  <si>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</si>
  <si>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</si>
  <si>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</si>
  <si>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</si>
  <si>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</si>
  <si>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</si>
  <si>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</si>
  <si>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</si>
  <si>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</si>
  <si>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</si>
  <si>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</si>
  <si>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</si>
  <si>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</si>
  <si>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</si>
  <si>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</si>
  <si>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</si>
  <si>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</si>
  <si>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</si>
  <si>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</si>
  <si>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</si>
  <si>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</si>
  <si>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</si>
  <si>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</si>
  <si>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</si>
  <si>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</si>
  <si>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</si>
  <si>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</si>
  <si>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</si>
  <si>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</si>
  <si>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</si>
  <si>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</si>
  <si>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</si>
  <si>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</si>
  <si>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</si>
  <si>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</si>
  <si>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</si>
  <si>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</si>
  <si>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</si>
  <si>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</si>
  <si>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</si>
  <si>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</si>
  <si>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</si>
  <si>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</si>
  <si>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</si>
  <si>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</si>
  <si>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</si>
  <si>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</si>
  <si>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</si>
  <si>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</si>
  <si>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</si>
  <si>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</si>
  <si>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</si>
  <si>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</si>
  <si>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</si>
  <si>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</si>
  <si>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</si>
  <si>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</si>
  <si>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</si>
  <si>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</si>
  <si>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</si>
  <si>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</si>
  <si>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</si>
  <si>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</si>
  <si>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</si>
  <si>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</si>
  <si>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</si>
  <si>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</si>
  <si>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</si>
  <si>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</si>
  <si>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</si>
  <si>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</si>
  <si>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</si>
  <si>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</si>
  <si>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</si>
  <si>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</si>
  <si>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</si>
  <si>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</si>
  <si>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</si>
  <si>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</si>
  <si>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</si>
  <si>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</si>
  <si>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</si>
  <si>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</si>
  <si>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</si>
  <si>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</si>
  <si>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</si>
  <si>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</si>
  <si>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</si>
  <si>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</si>
  <si>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</si>
  <si>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</si>
  <si>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</si>
  <si>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</si>
  <si>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</si>
  <si>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</si>
  <si>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</si>
  <si>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</si>
  <si>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</si>
  <si>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</si>
  <si>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</si>
  <si>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</si>
  <si>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</si>
  <si>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</si>
  <si>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</si>
  <si>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</si>
  <si>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</si>
  <si>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</si>
  <si>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</si>
  <si>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</si>
  <si>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</si>
  <si>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</si>
  <si>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</si>
  <si>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</si>
  <si>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</si>
  <si>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</si>
  <si>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</si>
  <si>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</si>
  <si>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</si>
  <si>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</si>
  <si>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</si>
  <si>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</si>
  <si>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</si>
  <si>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</si>
  <si>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</si>
  <si>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</si>
  <si>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</si>
  <si>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</si>
  <si>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</si>
  <si>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</si>
  <si>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</si>
  <si>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</si>
  <si>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</si>
  <si>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</si>
  <si>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</si>
  <si>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</si>
  <si>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</si>
  <si>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</si>
  <si>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</si>
  <si>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</si>
  <si>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</si>
  <si>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</si>
  <si>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</si>
  <si>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</si>
  <si>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</si>
  <si>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</si>
  <si>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</si>
  <si>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</si>
  <si>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</si>
  <si>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</si>
  <si>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</si>
  <si>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</si>
  <si>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</si>
  <si>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</si>
  <si>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</si>
  <si>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</si>
  <si>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</si>
  <si>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</si>
  <si>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</si>
  <si>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</si>
  <si>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</si>
  <si>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</si>
  <si>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</si>
  <si>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</si>
  <si>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</si>
  <si>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</si>
  <si>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</si>
  <si>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</si>
  <si>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</si>
  <si>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</si>
  <si>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</si>
  <si>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</si>
  <si>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</si>
  <si>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</si>
  <si>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</si>
  <si>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</si>
  <si>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</si>
  <si>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</si>
  <si>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</si>
  <si>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</si>
  <si>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</si>
  <si>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</si>
  <si>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</si>
  <si>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</si>
  <si>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</si>
  <si>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</si>
  <si>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</si>
  <si>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</si>
  <si>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</si>
  <si>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</si>
  <si>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</si>
  <si>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</si>
  <si>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</si>
  <si>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</si>
  <si>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</si>
  <si>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</si>
  <si>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</si>
  <si>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</si>
  <si>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</si>
  <si>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</si>
  <si>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</si>
  <si>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</si>
  <si>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</si>
  <si>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</si>
  <si>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</si>
  <si>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</si>
  <si>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</si>
  <si>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</si>
  <si>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</si>
  <si>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</si>
  <si>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</si>
  <si>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</si>
  <si>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</si>
  <si>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</si>
  <si>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</si>
  <si>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</si>
  <si>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</si>
  <si>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</si>
  <si>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</si>
  <si>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</si>
  <si>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</si>
  <si>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</si>
  <si>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</si>
  <si>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</si>
  <si>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</si>
  <si>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</si>
  <si>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</si>
  <si>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</si>
  <si>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</si>
  <si>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</si>
  <si>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</si>
  <si>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</si>
  <si>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</si>
  <si>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</si>
  <si>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</si>
  <si>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</si>
  <si>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</si>
  <si>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</si>
  <si>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</si>
  <si>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</si>
  <si>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</si>
  <si>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</si>
  <si>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</si>
  <si>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</si>
  <si>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</si>
  <si>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</si>
  <si>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</si>
  <si>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</si>
  <si>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</si>
  <si>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</si>
  <si>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</si>
  <si>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</si>
  <si>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</si>
  <si>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</si>
  <si>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</si>
  <si>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</si>
  <si>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</si>
  <si>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</si>
  <si>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</si>
  <si>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</si>
  <si>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</si>
  <si>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</si>
  <si>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</si>
  <si>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</si>
  <si>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</si>
  <si>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</si>
  <si>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</si>
  <si>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</si>
  <si>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</si>
  <si>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</si>
  <si>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</si>
  <si>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</si>
  <si>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</si>
  <si>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</si>
  <si>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</si>
  <si>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</si>
  <si>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</si>
  <si>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</si>
  <si>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</si>
  <si>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</si>
  <si>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</si>
  <si>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</si>
  <si>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</si>
  <si>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</si>
  <si>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</si>
  <si>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</si>
  <si>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</si>
  <si>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</si>
  <si>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</si>
  <si>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</si>
  <si>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</si>
  <si>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</si>
  <si>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</si>
  <si>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</si>
  <si>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</si>
  <si>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</si>
  <si>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</si>
  <si>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</si>
  <si>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</si>
  <si>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</si>
  <si>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</si>
  <si>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</si>
  <si>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</si>
  <si>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</si>
  <si>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</si>
  <si>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</si>
  <si>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</si>
  <si>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</si>
  <si>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</si>
  <si>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</si>
  <si>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</si>
  <si>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</si>
  <si>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</si>
  <si>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</si>
  <si>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</si>
  <si>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</si>
  <si>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</si>
  <si>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</si>
  <si>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</si>
  <si>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</si>
  <si>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</si>
  <si>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</si>
  <si>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</si>
  <si>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</si>
  <si>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</si>
  <si>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</si>
  <si>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</si>
  <si>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</si>
  <si>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</si>
  <si>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</si>
  <si>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</si>
  <si>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</si>
  <si>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</si>
  <si>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</si>
  <si>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</si>
  <si>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</si>
  <si>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</si>
  <si>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</si>
  <si>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</si>
  <si>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</si>
  <si>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</si>
  <si>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</si>
  <si>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</si>
  <si>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</si>
  <si>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</si>
  <si>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</si>
  <si>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</si>
  <si>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</si>
  <si>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</si>
  <si>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</si>
  <si>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</si>
  <si>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</si>
  <si>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</si>
  <si>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</si>
  <si>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</si>
  <si>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</si>
  <si>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</si>
  <si>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</si>
  <si>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</si>
  <si>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</si>
  <si>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</si>
  <si>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</si>
  <si>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</si>
  <si>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</si>
  <si>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</si>
  <si>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</si>
  <si>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</si>
  <si>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</si>
  <si>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</si>
  <si>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</si>
  <si>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</si>
  <si>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</si>
  <si>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</si>
  <si>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</si>
  <si>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</si>
  <si>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</si>
  <si>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</si>
  <si>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</si>
  <si>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</si>
  <si>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</si>
  <si>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</si>
  <si>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</si>
  <si>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</si>
  <si>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</si>
  <si>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</si>
  <si>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</si>
  <si>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</si>
  <si>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</si>
  <si>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</si>
  <si>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</si>
  <si>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</si>
  <si>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</si>
  <si>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</si>
  <si>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</si>
  <si>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</si>
  <si>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</si>
  <si>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</si>
  <si>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</si>
  <si>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</si>
  <si>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</si>
  <si>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</si>
  <si>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</si>
  <si>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</si>
  <si>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</si>
  <si>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</si>
  <si>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</si>
  <si>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</si>
  <si>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</si>
  <si>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</si>
  <si>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</si>
  <si>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</si>
  <si>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</si>
  <si>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</si>
  <si>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</si>
  <si>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</si>
  <si>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</si>
  <si>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</si>
  <si>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</si>
  <si>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</si>
  <si>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</si>
  <si>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</si>
  <si>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</si>
  <si>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</si>
  <si>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</si>
  <si>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</si>
  <si>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</si>
  <si>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</si>
  <si>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</si>
  <si>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</si>
  <si>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</si>
  <si>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</si>
  <si>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</si>
  <si>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</si>
  <si>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</si>
  <si>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</si>
  <si>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</si>
  <si>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</si>
  <si>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</si>
  <si>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</si>
  <si>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</si>
  <si>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</si>
  <si>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</si>
  <si>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</si>
  <si>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</si>
  <si>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</si>
  <si>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</si>
  <si>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</si>
  <si>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</si>
  <si>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</si>
  <si>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</si>
  <si>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</si>
  <si>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</si>
  <si>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</si>
  <si>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</si>
  <si>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</si>
  <si>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</si>
  <si>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</si>
  <si>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Thanh toán tiền hàng</t>
  </si>
  <si>
    <t>Cty TNHH Sakata Inx Việt Nam</t>
  </si>
  <si>
    <t>tấm</t>
  </si>
  <si>
    <t>Kẽm đóng bao bì</t>
  </si>
  <si>
    <t>VAT Kẽm đóng bao bì</t>
  </si>
  <si>
    <t>Cơ Sở Kéo Kẽm Thành Dũng</t>
  </si>
  <si>
    <t>DNTN SX-TM-DV Dây Đông Nam</t>
  </si>
  <si>
    <t>0000019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</si>
  <si>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</si>
  <si>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</si>
  <si>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</si>
  <si>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</si>
  <si>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</si>
  <si>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</si>
  <si>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</si>
  <si>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</si>
  <si>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</si>
  <si>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</si>
  <si>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</si>
  <si>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</si>
  <si>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</si>
  <si>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Tiền điện</t>
  </si>
  <si>
    <t>VAT Tiền điện</t>
  </si>
  <si>
    <t>Máy chap khe khổ 2m</t>
  </si>
  <si>
    <t>Máy đóng kẽm</t>
  </si>
  <si>
    <t>Máy In</t>
  </si>
  <si>
    <t>Cty TNHH Bao Bì Giấy Chung Hưng</t>
  </si>
  <si>
    <t>VAT Giấy carton</t>
  </si>
  <si>
    <t>VAT Giấy 5 lớp</t>
  </si>
  <si>
    <t>Giấy 5 lớp (183x160)</t>
  </si>
  <si>
    <t>Giấy 5 lớp (228x140)</t>
  </si>
  <si>
    <t>tờ</t>
  </si>
  <si>
    <t>Cty TNHH SX-TM Bao Bì Phương Nam</t>
  </si>
  <si>
    <t>0000518</t>
  </si>
  <si>
    <t>C10</t>
  </si>
  <si>
    <t>C11</t>
  </si>
  <si>
    <t>C12</t>
  </si>
  <si>
    <t>T03</t>
  </si>
  <si>
    <t>C13</t>
  </si>
  <si>
    <t>C14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</si>
  <si>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</si>
  <si>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</si>
  <si>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</si>
  <si>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</si>
  <si>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</si>
  <si>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</si>
  <si>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</si>
  <si>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</si>
  <si>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</si>
  <si>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</si>
  <si>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</si>
  <si>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</si>
  <si>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</si>
  <si>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</si>
  <si>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</si>
  <si>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</si>
  <si>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</si>
  <si>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</si>
  <si>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</si>
  <si>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</si>
  <si>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</si>
  <si>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</si>
  <si>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</si>
  <si>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</si>
  <si>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</si>
  <si>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</si>
  <si>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</si>
  <si>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</si>
  <si>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</si>
  <si>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</si>
  <si>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</si>
  <si>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</si>
  <si>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</si>
  <si>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</si>
  <si>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</si>
  <si>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</si>
  <si>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</si>
  <si>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</si>
  <si>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</si>
  <si>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</si>
  <si>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</si>
  <si>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</si>
  <si>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</si>
  <si>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</si>
  <si>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</si>
  <si>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</si>
  <si>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</si>
  <si>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</si>
  <si>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</si>
  <si>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</si>
  <si>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</si>
  <si>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</si>
  <si>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</si>
  <si>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</si>
  <si>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</si>
  <si>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Chi Sec nhập quỹ tiền mặt</t>
  </si>
  <si>
    <t>Mực in FW-Đỏ</t>
  </si>
  <si>
    <t>0002211</t>
  </si>
  <si>
    <t>Cty Cổ phần SX TM DV Đức Quân</t>
  </si>
  <si>
    <t>Giấy 5 lớp (143x120)</t>
  </si>
  <si>
    <t>0007151</t>
  </si>
  <si>
    <t>Giấy 5 lớp (157x110)</t>
  </si>
  <si>
    <t>Giấy 5 lớp (161x110)</t>
  </si>
  <si>
    <t>Giấy 5 lớp (209x130)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</si>
  <si>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</si>
  <si>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</si>
  <si>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</si>
  <si>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</si>
  <si>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</si>
  <si>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</si>
  <si>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0007152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</si>
  <si>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</si>
  <si>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</si>
  <si>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</si>
  <si>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</si>
  <si>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</si>
  <si>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</si>
  <si>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</si>
  <si>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VAT Giấy</t>
  </si>
  <si>
    <t>Giấy 3 lớp (175x125)</t>
  </si>
  <si>
    <t>0007153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</si>
  <si>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</si>
  <si>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</si>
  <si>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</si>
  <si>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</si>
  <si>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</si>
  <si>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</si>
  <si>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</si>
  <si>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0007154</t>
  </si>
  <si>
    <t>Giấy 5 lớp (159x150)</t>
  </si>
  <si>
    <t>Giấy 5 lớp (123x150)</t>
  </si>
  <si>
    <t>0396392</t>
  </si>
  <si>
    <t>Điện Lực Bình Chánh</t>
  </si>
  <si>
    <t>Cước dịch vụ thông tin di động</t>
  </si>
  <si>
    <t>3523836; 37; 38;39;40</t>
  </si>
  <si>
    <t>Trung Tâm Di Động Khu Vực II</t>
  </si>
  <si>
    <t>VAT Cước dịch vụ thông tin di động</t>
  </si>
  <si>
    <t>3523836; 37; 38;39;41</t>
  </si>
  <si>
    <t>Mực in FW-Đen</t>
  </si>
  <si>
    <t>0002258</t>
  </si>
  <si>
    <t>Keo sữa NS:03 (LK 081)</t>
  </si>
  <si>
    <t>Cty TNHH MTV TM Nguyễn Sơn Vina</t>
  </si>
  <si>
    <t>VAT Keo sữa NS:03 (LK 081)</t>
  </si>
  <si>
    <t>Mực in V-FLEX 1562 Black 378</t>
  </si>
  <si>
    <t>0001027</t>
  </si>
  <si>
    <t>Mực in V-FLEX 6417 Green, 6412 Red</t>
  </si>
  <si>
    <t>0001447</t>
  </si>
  <si>
    <t>0000497</t>
  </si>
  <si>
    <t>Mực in FW-Xanh</t>
  </si>
  <si>
    <t>0002306</t>
  </si>
  <si>
    <t>0171354</t>
  </si>
  <si>
    <t>Cước dịch vụ viễn thông TPHCM</t>
  </si>
  <si>
    <t>9861750</t>
  </si>
  <si>
    <t xml:space="preserve">Viễn Thông TPHCM </t>
  </si>
  <si>
    <t>VAT Cước dịch vụ viễn thông TPHCM</t>
  </si>
  <si>
    <t>0002564; 0002563</t>
  </si>
  <si>
    <t>Lê Tấn Hùng</t>
  </si>
  <si>
    <t>0002358</t>
  </si>
  <si>
    <t>0046411</t>
  </si>
  <si>
    <t>Hoàn trả tiền hàng do sai tên</t>
  </si>
  <si>
    <t>3694190;91;92;93</t>
  </si>
  <si>
    <t>0014180</t>
  </si>
  <si>
    <t>Siêu Thị Sách Phúc Nhân</t>
  </si>
  <si>
    <t>0007844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</si>
  <si>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</si>
  <si>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</si>
  <si>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</si>
  <si>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</si>
  <si>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</si>
  <si>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</si>
  <si>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0007845</t>
  </si>
  <si>
    <t>Giấy 5 lớp (117x85)</t>
  </si>
  <si>
    <t>Giấy 5 lớp (173x110)</t>
  </si>
  <si>
    <t>Giấy tấm 2 vàng - 1 xeo (2070x950)</t>
  </si>
  <si>
    <t>0000541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</si>
  <si>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</si>
  <si>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</si>
  <si>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</si>
  <si>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</si>
  <si>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</si>
  <si>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</si>
  <si>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</si>
  <si>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</si>
  <si>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</si>
  <si>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</si>
  <si>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</si>
  <si>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</si>
  <si>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</si>
  <si>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</si>
  <si>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VAT giấy tấm</t>
  </si>
  <si>
    <t>Bộ máy vi tính</t>
  </si>
  <si>
    <t>0000236</t>
  </si>
  <si>
    <t>Cty TNHH Máy Tính Năng Động</t>
  </si>
  <si>
    <t>VAT Bộ máy vi tính</t>
  </si>
  <si>
    <t>Mực tím KDP V02/P, đỏ LDP R07/P(032C)</t>
  </si>
  <si>
    <t>0003201</t>
  </si>
  <si>
    <t>Cty TNHH SX TM Tân Đông Dương</t>
  </si>
  <si>
    <t>Giấy tấm 1 vàng - 4 xeo (1600x1050)</t>
  </si>
  <si>
    <t>0000563</t>
  </si>
  <si>
    <t>Giấy tấm 2 vàng - 3 xeo (2030x1550)</t>
  </si>
  <si>
    <t>Giấy tấm 2 vàng - 3 xeo (1840x1450)</t>
  </si>
  <si>
    <t>Giấy tấm 2 vàng - 3 xeo (2190x900)</t>
  </si>
  <si>
    <t>0000587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</si>
  <si>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</si>
  <si>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</si>
  <si>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</si>
  <si>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</si>
  <si>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</si>
  <si>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</si>
  <si>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</si>
  <si>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</si>
  <si>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</si>
  <si>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</si>
  <si>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</si>
  <si>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</si>
  <si>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</si>
  <si>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</si>
  <si>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</si>
  <si>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</si>
  <si>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</si>
  <si>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</si>
  <si>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</si>
  <si>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</si>
  <si>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</si>
  <si>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</si>
  <si>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</si>
  <si>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</si>
  <si>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</si>
  <si>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</si>
  <si>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</si>
  <si>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</si>
  <si>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</si>
  <si>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0000606</t>
  </si>
  <si>
    <t>Giấy tấm 2 vàng - 3 xeo (2000x1300)</t>
  </si>
  <si>
    <t>Giấy tấm 2 vàng - 1 xeo (1740x1400)</t>
  </si>
  <si>
    <t>0000608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</si>
  <si>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</si>
  <si>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</si>
  <si>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</si>
  <si>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</si>
  <si>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0000220</t>
  </si>
  <si>
    <t>Cty Cổ phần SX TM DV Bao Bì Giấy Trường Phát</t>
  </si>
  <si>
    <t>Giấy tấm 3 lớp (105x199)</t>
  </si>
  <si>
    <t>Giấy tấm 3 lớp (110x128)</t>
  </si>
  <si>
    <t>VAT Giấy tấm 3 lớp</t>
  </si>
  <si>
    <t>Mực xanh dương KDP B11/P, B12/P</t>
  </si>
  <si>
    <t>0003343</t>
  </si>
  <si>
    <t>Mực xanh dương KDP B07/P, B08/P, B09/P, B10/P</t>
  </si>
  <si>
    <t>0003329</t>
  </si>
  <si>
    <t>Mực đen, xanh đỏ</t>
  </si>
  <si>
    <t>0003377</t>
  </si>
  <si>
    <t>Nguyễn Thị Quý</t>
  </si>
  <si>
    <t>0009008</t>
  </si>
  <si>
    <t>Giấy 3 lớp (181x125)</t>
  </si>
  <si>
    <t>Giấy 3 lớp (219x160)</t>
  </si>
  <si>
    <t>Giấy 3 lớp (225x85)</t>
  </si>
  <si>
    <t>0009009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</si>
  <si>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</si>
  <si>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</si>
  <si>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</si>
  <si>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</si>
  <si>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</si>
  <si>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</si>
  <si>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</si>
  <si>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</si>
  <si>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0009028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</si>
  <si>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</si>
  <si>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</si>
  <si>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</si>
  <si>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</si>
  <si>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</si>
  <si>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</si>
  <si>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Mực in V-FLEX 6412 Red</t>
  </si>
  <si>
    <t>0005415</t>
  </si>
  <si>
    <t>0005475</t>
  </si>
  <si>
    <t>Mực vàng</t>
  </si>
  <si>
    <t>0003550</t>
  </si>
  <si>
    <t>Giấy 3 lớp (103x150)</t>
  </si>
  <si>
    <t>0009208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</si>
  <si>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</si>
  <si>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</si>
  <si>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</si>
  <si>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</si>
  <si>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</si>
  <si>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</si>
  <si>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</si>
  <si>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</si>
  <si>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0009209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</si>
  <si>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</si>
  <si>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</si>
  <si>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</si>
  <si>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</si>
  <si>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</si>
  <si>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</si>
  <si>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</si>
  <si>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</si>
  <si>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0009266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</si>
  <si>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</si>
  <si>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</si>
  <si>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</si>
  <si>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</si>
  <si>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</si>
  <si>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</si>
  <si>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</si>
  <si>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0009267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</si>
  <si>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</si>
  <si>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</si>
  <si>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</si>
  <si>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</si>
  <si>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</si>
  <si>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</si>
  <si>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</si>
  <si>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</si>
  <si>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0009268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</si>
  <si>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</si>
  <si>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</si>
  <si>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</si>
  <si>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</si>
  <si>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</si>
  <si>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</si>
  <si>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</si>
  <si>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0009269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</si>
  <si>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</si>
  <si>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</si>
  <si>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</si>
  <si>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</si>
  <si>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</si>
  <si>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</si>
  <si>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0009616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</si>
  <si>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</si>
  <si>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</si>
  <si>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</si>
  <si>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</si>
  <si>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</si>
  <si>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</si>
  <si>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0009617</t>
  </si>
  <si>
    <t>Giấy 5 lớp (158x115)</t>
  </si>
  <si>
    <t>Giấy 5 lớp (142x115)</t>
  </si>
  <si>
    <t>Giấy 5 lớp (145x125)</t>
  </si>
  <si>
    <t>Mực in V-FLEX 8470 Blue, 8471 Green</t>
  </si>
  <si>
    <t>0000340</t>
  </si>
  <si>
    <t>Giấy 3 lớp (149x80)</t>
  </si>
  <si>
    <t>0009628</t>
  </si>
  <si>
    <t>Giấy 3 lớp (165x80)</t>
  </si>
  <si>
    <t>Giấy 3 lớp (76x80)</t>
  </si>
  <si>
    <t>Giấy 5 lớp (123x80)</t>
  </si>
  <si>
    <t>0009629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</si>
  <si>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</si>
  <si>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</si>
  <si>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</si>
  <si>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</si>
  <si>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</si>
  <si>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0009650</t>
  </si>
  <si>
    <t>Giấy 3 lớp (181x80)</t>
  </si>
  <si>
    <t>Giấy 5 lớp (148x110)</t>
  </si>
  <si>
    <t>Giấy 5 lớp (238x105)</t>
  </si>
  <si>
    <t>Giấy 5 lớp (283x105)</t>
  </si>
  <si>
    <t>0009669</t>
  </si>
  <si>
    <t>Giấy 5 lớp (193x105)</t>
  </si>
  <si>
    <t>Giấy 5 lớp (147x85)</t>
  </si>
  <si>
    <t>Giấy 5 lớp (151x115)</t>
  </si>
  <si>
    <t>Giấy 5 lớp (135x115)</t>
  </si>
  <si>
    <t>0009690</t>
  </si>
  <si>
    <t>Giấy 3 lớp (96x90)</t>
  </si>
  <si>
    <t>Giấy 3 lớp (122x95)</t>
  </si>
  <si>
    <t>Giấy 3 lớp (204x95)</t>
  </si>
  <si>
    <t>Giấy 3 lớp (273x95)</t>
  </si>
  <si>
    <t>Giấy 5 lớp (194x125)</t>
  </si>
  <si>
    <t>0009702</t>
  </si>
  <si>
    <t>Giấy 5 lớp (140x160)</t>
  </si>
  <si>
    <t>0009752</t>
  </si>
  <si>
    <t>Giấy 5 lớp (138x160)</t>
  </si>
  <si>
    <t>Mực in V-FLEX 8486 Blue, 6417 Green, 8470 Blue</t>
  </si>
  <si>
    <t>0000600</t>
  </si>
  <si>
    <t>Giấy 3 lớp (128x105)</t>
  </si>
  <si>
    <t>0009759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</si>
  <si>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</si>
  <si>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</si>
  <si>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</si>
  <si>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</si>
  <si>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</si>
  <si>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</si>
  <si>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0009802</t>
  </si>
  <si>
    <t>Giấy 5 lớp (246x90)</t>
  </si>
  <si>
    <t>0054887</t>
  </si>
  <si>
    <t>0000739</t>
  </si>
  <si>
    <t>Giấy 3 lớp (160x105)</t>
  </si>
  <si>
    <t>0009828</t>
  </si>
  <si>
    <t>Giấy 3 lớp (164x115)</t>
  </si>
  <si>
    <t>Giấy 3 lớp (159x100)</t>
  </si>
  <si>
    <t>Giấy 3 lớp (174x115)</t>
  </si>
  <si>
    <t>Giấy 3 lớp (92x80)</t>
  </si>
  <si>
    <t>0009860</t>
  </si>
  <si>
    <t>Giấy 3 lớp (184x165)</t>
  </si>
  <si>
    <t>Giấy 3 lớp (184x95)</t>
  </si>
  <si>
    <t>Giấy 5 lớp (145x105)</t>
  </si>
  <si>
    <t>0000693</t>
  </si>
  <si>
    <t>Giấy 5 lớp (246x85)</t>
  </si>
  <si>
    <t>0009881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</si>
  <si>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</si>
  <si>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</si>
  <si>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</si>
  <si>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</si>
  <si>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</si>
  <si>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</si>
  <si>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0009910</t>
  </si>
  <si>
    <t>Giấy 3 lớp (216x80)</t>
  </si>
  <si>
    <t>Giấy 3 lớp (184x145)</t>
  </si>
  <si>
    <t>0009929</t>
  </si>
  <si>
    <t>Giấy 5 lớp (130x90)</t>
  </si>
  <si>
    <t>Phí kiểm đếm</t>
  </si>
  <si>
    <t>Giấy tấm 3 lớp (85x202)</t>
  </si>
  <si>
    <t>0000295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</si>
  <si>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</si>
  <si>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</si>
  <si>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</si>
  <si>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</si>
  <si>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</si>
  <si>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0009971</t>
  </si>
  <si>
    <t>Giấy 7 lớp (133x95)</t>
  </si>
  <si>
    <t>Giấy 3 lớp (216x140)</t>
  </si>
  <si>
    <t>0009991</t>
  </si>
  <si>
    <t>Giấy 7 lớp (189x105)</t>
  </si>
  <si>
    <t>Bảng in cau su</t>
  </si>
  <si>
    <t>0000279</t>
  </si>
  <si>
    <t>DNTN TM DV Anh Phi</t>
  </si>
  <si>
    <t>VAT Bảng in cau su</t>
  </si>
  <si>
    <t>0000297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</si>
  <si>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</si>
  <si>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</si>
  <si>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</si>
  <si>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</si>
  <si>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</si>
  <si>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</si>
  <si>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VAT Giấy tấm</t>
  </si>
  <si>
    <t>0010204</t>
  </si>
  <si>
    <t>Tấm lót (920x1500)</t>
  </si>
  <si>
    <t>0000204</t>
  </si>
  <si>
    <t>Cty TNHH Bao Bì BR Vina</t>
  </si>
  <si>
    <t>Tấm lót (1630x1150)</t>
  </si>
  <si>
    <t>VAT Tấm lót</t>
  </si>
  <si>
    <t>Giấy 3 lớp (196x105)</t>
  </si>
  <si>
    <t>0010229</t>
  </si>
  <si>
    <t>Giấy 3 lớp (148x100)</t>
  </si>
  <si>
    <t>Giấy 5 lớp (162x145)</t>
  </si>
  <si>
    <t>0010253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</si>
  <si>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</si>
  <si>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</si>
  <si>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</si>
  <si>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</si>
  <si>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</si>
  <si>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0010260</t>
  </si>
  <si>
    <t>Giấy 5 lớp (184x140)</t>
  </si>
  <si>
    <t>Giấy 7 lớp (189x100)</t>
  </si>
  <si>
    <t>Mực in V-FLEX 8559 Blue</t>
  </si>
  <si>
    <t>0001472</t>
  </si>
  <si>
    <t>Giấy 3 lớp (229x85)</t>
  </si>
  <si>
    <t>0010302</t>
  </si>
  <si>
    <t>Giấy 5 lớp (100x105)</t>
  </si>
  <si>
    <t>0010303</t>
  </si>
  <si>
    <t>Giấy 3 lớp (161x160)</t>
  </si>
  <si>
    <t>Giấy 3 lớp (218x160)</t>
  </si>
  <si>
    <t>Giấy 5 lớp (200x105)</t>
  </si>
  <si>
    <t>Mực in V-FLEX 8566 Green</t>
  </si>
  <si>
    <t>0001537</t>
  </si>
  <si>
    <t>Giấy 5 lớp (188x85)</t>
  </si>
  <si>
    <t>0010347</t>
  </si>
  <si>
    <t>Giấy 5 lớp (156x120)</t>
  </si>
  <si>
    <t>0010385</t>
  </si>
  <si>
    <t>Mực in V-FLEX 6412 Red, 8580 Blue</t>
  </si>
  <si>
    <t>0001787</t>
  </si>
  <si>
    <t>Giấy 5 lớp (166x150)</t>
  </si>
  <si>
    <t>0010470</t>
  </si>
  <si>
    <t>Giấy 5 lớp (190x120)</t>
  </si>
  <si>
    <t>Giấy 3 lớp (140x105)</t>
  </si>
  <si>
    <t>0010485</t>
  </si>
  <si>
    <t>Giấy 5 lớp (154x125)</t>
  </si>
  <si>
    <t>Giấy 5 lớp (166x110)</t>
  </si>
  <si>
    <t>Giấy tấm 5 lớp (90x157)</t>
  </si>
  <si>
    <t>0000325</t>
  </si>
  <si>
    <t>Giấy tấm 5 lớp (120x182)</t>
  </si>
  <si>
    <t>Giấy tấm 5 lớp (100x124)</t>
  </si>
  <si>
    <t>Giấy tấm 3 lớp (110x160)</t>
  </si>
  <si>
    <t>Mực in V-FLEX 8600 Blue</t>
  </si>
  <si>
    <t>0001982</t>
  </si>
  <si>
    <t>Giấy 5 lớp (163x125)</t>
  </si>
  <si>
    <t>0010545</t>
  </si>
  <si>
    <t>0010529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</si>
  <si>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</si>
  <si>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</si>
  <si>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</si>
  <si>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</si>
  <si>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</si>
  <si>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</si>
  <si>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0010560</t>
  </si>
  <si>
    <t>Giấy 3 lớp (170x110)</t>
  </si>
  <si>
    <t>Giấy 3 lớp (162x80)</t>
  </si>
  <si>
    <t>0010634</t>
  </si>
  <si>
    <t>Giấy 3 lớp (160x160)</t>
  </si>
  <si>
    <t>Giấy 5 lớp (176x80)</t>
  </si>
  <si>
    <t>0010803</t>
  </si>
  <si>
    <t>Giấy 3 lớp (151x90)</t>
  </si>
  <si>
    <t>Giấy 5 lớp (117x115)</t>
  </si>
  <si>
    <t>Giấy 5 lớp (242x85)</t>
  </si>
  <si>
    <t>0002303</t>
  </si>
  <si>
    <t>Giấy 3 lớp (127x145)</t>
  </si>
  <si>
    <t>0010824</t>
  </si>
  <si>
    <t>Giấy 5 lớp (132x105)</t>
  </si>
  <si>
    <t>Giấy 5 lớp (156x90)</t>
  </si>
  <si>
    <t>Giấy 3 lớp (134x160)</t>
  </si>
  <si>
    <t>0010874</t>
  </si>
  <si>
    <t>0055014</t>
  </si>
  <si>
    <t>Mực in V-FLEX 8470 Blue</t>
  </si>
  <si>
    <t>0002458</t>
  </si>
  <si>
    <t>0010929</t>
  </si>
  <si>
    <t>Giấy 5 lớp (129x95)</t>
  </si>
  <si>
    <t>Giấy 5 lớp (89x100)</t>
  </si>
  <si>
    <t>Giấy 5 lớp (141x110)</t>
  </si>
  <si>
    <t>0010976</t>
  </si>
  <si>
    <t>0011003</t>
  </si>
  <si>
    <t>Giấy 3 lớp (169x105)</t>
  </si>
  <si>
    <t>Giấy 3 lớp (150x160)</t>
  </si>
  <si>
    <t>Giấy 3 lớp (100x100)</t>
  </si>
  <si>
    <t>Nguyễn Kim Quý</t>
  </si>
  <si>
    <t>Mực in V-FLEX 8629 Blue</t>
  </si>
  <si>
    <t>0002652</t>
  </si>
  <si>
    <t>Giấy 3 lớp (72x145)</t>
  </si>
  <si>
    <t>0011024</t>
  </si>
  <si>
    <t>Giấy 5 lớp (235x105)</t>
  </si>
  <si>
    <t>0011070</t>
  </si>
  <si>
    <t>0011093</t>
  </si>
  <si>
    <t>0011102</t>
  </si>
  <si>
    <t>Giấy 3 lớp (127x105)</t>
  </si>
  <si>
    <t>Giấy 3 lớp (74x105)</t>
  </si>
  <si>
    <t>Giấy 5 lớp (206x85)</t>
  </si>
  <si>
    <t>Giấy Tampo (1800x1240)</t>
  </si>
  <si>
    <t>0003429</t>
  </si>
  <si>
    <t>Cty TNHH Bình Dương Chinh Long</t>
  </si>
  <si>
    <t>Giấy Tampo (1800x1180)</t>
  </si>
  <si>
    <t>Giấy Tampo (1600x960)</t>
  </si>
  <si>
    <t>Giấy Tampo (1600x1010)</t>
  </si>
  <si>
    <t>VAT Giấy Tampo</t>
  </si>
  <si>
    <t>Mực in V-FLEX 1562 Black, 6417 Green</t>
  </si>
  <si>
    <t>0002860</t>
  </si>
  <si>
    <t>0011207</t>
  </si>
  <si>
    <t>Giấy 5 lớp (182x160)</t>
  </si>
  <si>
    <t>0011245</t>
  </si>
  <si>
    <t>Giấy 5 lớp (125x140)</t>
  </si>
  <si>
    <t>0011256</t>
  </si>
  <si>
    <t>Giấy 5 lớp (126x130)</t>
  </si>
  <si>
    <t>Giấy Tampo (1500x1210)</t>
  </si>
  <si>
    <t>0003948</t>
  </si>
  <si>
    <t>0011302</t>
  </si>
  <si>
    <t>Giấy 3 lớp (140x140)</t>
  </si>
  <si>
    <t>0011534</t>
  </si>
  <si>
    <t>Giấy 3 lớp (190x130)</t>
  </si>
  <si>
    <t>Giấy 3 lớp (164x145)</t>
  </si>
  <si>
    <t>Giấy 3 lớp (190x115)</t>
  </si>
  <si>
    <t>0003504</t>
  </si>
  <si>
    <t>3030403</t>
  </si>
  <si>
    <t>0011598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</si>
  <si>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</si>
  <si>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</si>
  <si>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</si>
  <si>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</si>
  <si>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</si>
  <si>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0011635</t>
  </si>
  <si>
    <t>Giấy 3 lớp (127x100)</t>
  </si>
  <si>
    <t>0011658</t>
  </si>
  <si>
    <t>Mực in V-FLEX 6413 Blue</t>
  </si>
  <si>
    <t>0003766</t>
  </si>
  <si>
    <t>0011716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</si>
  <si>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</si>
  <si>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</si>
  <si>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</si>
  <si>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</si>
  <si>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</si>
  <si>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VAT Thùng carton</t>
  </si>
  <si>
    <t>Giấy 5 lớp (171x105)</t>
  </si>
  <si>
    <t>0011772</t>
  </si>
  <si>
    <t>Giấy 5 lớp (139x90)</t>
  </si>
  <si>
    <t>0751834;35;36</t>
  </si>
  <si>
    <t>Mực in V-FLEX 8714 Yellow</t>
  </si>
  <si>
    <t>0004000</t>
  </si>
  <si>
    <t>0011829</t>
  </si>
  <si>
    <t>0011858</t>
  </si>
  <si>
    <t>0011877</t>
  </si>
  <si>
    <t>Giấy 5 lớp (152x125)</t>
  </si>
  <si>
    <t>Giấy 5 lớp (259x90)</t>
  </si>
  <si>
    <t>0011913</t>
  </si>
  <si>
    <t>0011946</t>
  </si>
  <si>
    <t>Giấy 3 lớp (170x155)</t>
  </si>
  <si>
    <t>Giấy 5 lớp (54x105)</t>
  </si>
  <si>
    <t>Giấy 5 lớp (267x105)</t>
  </si>
  <si>
    <t>Giấy 5 lớp (170x130)</t>
  </si>
  <si>
    <t>0011973</t>
  </si>
  <si>
    <t>Mực in V-FLEX 8750 Brown</t>
  </si>
  <si>
    <t>0004382</t>
  </si>
  <si>
    <t>0012012</t>
  </si>
  <si>
    <t>0055151</t>
  </si>
  <si>
    <t>0012177</t>
  </si>
  <si>
    <t>0012212</t>
  </si>
  <si>
    <t>Giấy 5 lớp (132x125)</t>
  </si>
  <si>
    <t>0012218</t>
  </si>
  <si>
    <t>Giấy 5 lớp (158x90)</t>
  </si>
  <si>
    <t>3031977</t>
  </si>
  <si>
    <t>Mực in V-FLEX 6413 Blue, 6412 Red</t>
  </si>
  <si>
    <t>0004842</t>
  </si>
  <si>
    <t>0012431</t>
  </si>
  <si>
    <t>0012562</t>
  </si>
  <si>
    <t>0012788</t>
  </si>
  <si>
    <t>Mực in V-FLEX 8841 Violet</t>
  </si>
  <si>
    <t>0005910</t>
  </si>
  <si>
    <t>0012999</t>
  </si>
  <si>
    <t>0013119</t>
  </si>
  <si>
    <t>0006187</t>
  </si>
  <si>
    <t>Giấy 3 lớp (168x90)</t>
  </si>
  <si>
    <t>0013145</t>
  </si>
  <si>
    <t>Giấy 5 lớp (223x170)</t>
  </si>
  <si>
    <t>0013159</t>
  </si>
  <si>
    <t>Mực in V-FLEX 8869 Blue</t>
  </si>
  <si>
    <t>0006277</t>
  </si>
  <si>
    <t>0013392</t>
  </si>
  <si>
    <t>Mực in V-FLEX 8903 Blue, 8580 Blue, 6417 Green</t>
  </si>
  <si>
    <t>0006831</t>
  </si>
  <si>
    <t>Mực in V-FLEX 8977 Blue</t>
  </si>
  <si>
    <t>0007111</t>
  </si>
  <si>
    <t>Trương Hồng Thanh</t>
  </si>
  <si>
    <t>3021656</t>
  </si>
  <si>
    <t>Giấy carton (90x156)</t>
  </si>
  <si>
    <t>0001415</t>
  </si>
  <si>
    <t>Giấy carton (105x171)</t>
  </si>
  <si>
    <t>Giấy carton (135x210)</t>
  </si>
  <si>
    <t>0001419</t>
  </si>
  <si>
    <t>Giấy carton (115x181)</t>
  </si>
  <si>
    <t>Giấy carton (100x124)</t>
  </si>
  <si>
    <t>0001421</t>
  </si>
  <si>
    <t>Giấy carton (105x196)</t>
  </si>
  <si>
    <t>Giấy carton (85x246)</t>
  </si>
  <si>
    <t>0853250;57</t>
  </si>
  <si>
    <t>0008284</t>
  </si>
  <si>
    <t>Dao dĩa</t>
  </si>
  <si>
    <t>0000120</t>
  </si>
  <si>
    <t>DNTN TM-SX Dịch Vụ Kim Ô</t>
  </si>
  <si>
    <t>VAT Dao dĩa</t>
  </si>
  <si>
    <t>Giấy tấm 2 vàng - 3 xeo (2020x1350)</t>
  </si>
  <si>
    <t>0001540</t>
  </si>
  <si>
    <t>Giấy tấm 1 trắng + 2 xeo 150 + 1 xeo 110 + 1 vàng (1490x1300)</t>
  </si>
  <si>
    <t>Giấy tấm 2 vàng - 3 xeo (1810x1150)</t>
  </si>
  <si>
    <t>0001541</t>
  </si>
  <si>
    <t>0001552</t>
  </si>
  <si>
    <t>Giấy tấm 2 vàng - 3 xeo (2280x900)</t>
  </si>
  <si>
    <t>0001557</t>
  </si>
  <si>
    <t>Giấy tấm 2 vàng - 3 xeo (2280x1500)</t>
  </si>
  <si>
    <t>T05</t>
  </si>
  <si>
    <t>T06</t>
  </si>
  <si>
    <t>T07</t>
  </si>
  <si>
    <t>NL/N30</t>
  </si>
  <si>
    <t>NL/N31</t>
  </si>
  <si>
    <t>NL/N32</t>
  </si>
  <si>
    <t>NL/N33</t>
  </si>
  <si>
    <t>NL/N34</t>
  </si>
  <si>
    <t>NL/N35</t>
  </si>
  <si>
    <t>NL/N36</t>
  </si>
  <si>
    <t>NL/N37</t>
  </si>
  <si>
    <t>NL/N38</t>
  </si>
  <si>
    <t>NL/N39</t>
  </si>
  <si>
    <t>NL/N40</t>
  </si>
  <si>
    <t>NL/N41</t>
  </si>
  <si>
    <t>NL/N42</t>
  </si>
  <si>
    <t>NL/N43</t>
  </si>
  <si>
    <t>Quý III</t>
  </si>
  <si>
    <t>cái</t>
  </si>
  <si>
    <t>NVL</t>
  </si>
  <si>
    <t>Ngày  31  tháng   12  năm   2012</t>
  </si>
  <si>
    <t>Năm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</si>
</sst>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526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527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5" t="s">
        <v>524</v>
      </c>
      <c r="B8" s="945" t="s">
        <v>523</v>
      </c>
      <c r="C8" s="940" t="s">
        <v>37</v>
      </c>
      <c r="D8" s="941"/>
      <c r="E8" s="940" t="s">
        <v>38</v>
      </c>
      <c r="F8" s="941"/>
      <c r="G8" s="940" t="s">
        <v>525</v>
      </c>
      <c r="H8" s="941"/>
      <c r="K8" s="888"/>
      <c r="L8" s="888"/>
      <c r="M8" s="942" t="s">
        <v>445</v>
      </c>
      <c r="N8" s="942"/>
      <c r="O8" s="887"/>
    </row>
    <row r="9" spans="1:15" ht="24.75" customHeight="1" thickBot="1">
      <c r="A9" s="946"/>
      <c r="B9" s="946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568260000</v>
      </c>
      <c r="F10" s="862">
        <f t="array" ref="F10">SUM(IF(A10=KHC,TH))</f>
        <v>800642448</v>
      </c>
      <c r="G10" s="863">
        <f>MAX(C10+E10-D10-F10,0)</f>
        <v>1401170215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568260000</v>
      </c>
      <c r="F11" s="866">
        <f t="shared" si="0"/>
        <v>800642448</v>
      </c>
      <c r="G11" s="866">
        <f t="shared" si="0"/>
        <v>1401170215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20452439</v>
      </c>
      <c r="D12" s="862">
        <v>0</v>
      </c>
      <c r="E12" s="862">
        <f t="array" ref="E12">SUM(IF(A12=KHN,TH))</f>
        <v>2399086856</v>
      </c>
      <c r="F12" s="862">
        <f t="array" ref="F12">SUM(IF(A12=KHC,TH))</f>
        <v>2419204362</v>
      </c>
      <c r="G12" s="863">
        <f>MAX(C12+E12-D12-F12,0)</f>
        <v>334933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20452439</v>
      </c>
      <c r="D13" s="866">
        <f t="shared" si="1"/>
        <v>0</v>
      </c>
      <c r="E13" s="866">
        <f t="shared" si="1"/>
        <v>2399086856</v>
      </c>
      <c r="F13" s="866">
        <f t="shared" si="1"/>
        <v>2419204362</v>
      </c>
      <c r="G13" s="866">
        <f t="shared" si="1"/>
        <v>334933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1651297683</v>
      </c>
      <c r="G14" s="866">
        <f>MAX(C14+E14-D14-F14,0)</f>
        <v>0</v>
      </c>
      <c r="H14" s="866">
        <f>MAX(D14+F14-E14-C14,0)</f>
        <v>1651297683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267365417</v>
      </c>
      <c r="F15" s="862">
        <f t="array" ref="F15">SUM(IF(A15=KHC,TH))</f>
        <v>0</v>
      </c>
      <c r="G15" s="863">
        <f>MAX(C15+E15-D15-F15,0)</f>
        <v>267365417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267365417</v>
      </c>
      <c r="F16" s="866">
        <f t="shared" si="2"/>
        <v>0</v>
      </c>
      <c r="G16" s="866">
        <f t="shared" si="2"/>
        <v>267365417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2465538784</v>
      </c>
      <c r="F19" s="862">
        <f t="array" ref="F19">SUM(IF(A19=KHC,TH))</f>
        <v>0</v>
      </c>
      <c r="G19" s="863">
        <f t="shared" si="3"/>
        <v>2465538784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41070250</v>
      </c>
      <c r="F20" s="862">
        <f t="array" ref="F20">SUM(IF(A20=KHC,TH))</f>
        <v>0</v>
      </c>
      <c r="G20" s="862">
        <f t="shared" si="3"/>
        <v>41070250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2506609034</v>
      </c>
      <c r="F21" s="866">
        <f>F19+F20</f>
        <v>0</v>
      </c>
      <c r="G21" s="866">
        <f t="shared" si="3"/>
        <v>2506609034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92450000</v>
      </c>
      <c r="F23" s="867">
        <f t="array" ref="F23">SUM(IF(A23=KHC,TH))</f>
        <v>0</v>
      </c>
      <c r="G23" s="866">
        <f t="shared" si="3"/>
        <v>92450000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1898375238</v>
      </c>
      <c r="F36" s="867">
        <f t="array" ref="F36">SUM(IF(A36=KHC,TH))</f>
        <v>2863483379</v>
      </c>
      <c r="G36" s="866">
        <f t="shared" si="3"/>
        <v>0</v>
      </c>
      <c r="H36" s="866">
        <f t="shared" si="4"/>
        <v>965108141</v>
      </c>
    </row>
    <row r="37" spans="1:8" s="169" customFormat="1" ht="17.25" customHeight="1">
      <c r="A37" s="875" t="s">
        <v>626</v>
      </c>
      <c r="B37" s="861" t="s">
        <v>625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0</v>
      </c>
      <c r="F38" s="862">
        <f t="array" ref="F38">SUM(IF(A38=KHC,TH))</f>
        <v>0</v>
      </c>
      <c r="G38" s="862">
        <f t="shared" si="3"/>
        <v>0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2000000</v>
      </c>
      <c r="F40" s="877">
        <f t="array" ref="F40">SUM(IF(A40=KHC,TH))</f>
        <v>2000000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2000000</v>
      </c>
      <c r="F41" s="862">
        <f t="shared" si="10"/>
        <v>2000000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2000000</v>
      </c>
      <c r="F42" s="866">
        <f t="shared" si="11"/>
        <v>2000000</v>
      </c>
      <c r="G42" s="866">
        <f t="shared" si="11"/>
        <v>0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13889173</v>
      </c>
      <c r="F60" s="867">
        <f t="array" ref="F60">SUM(IF(A60=KHC,TH))</f>
        <v>13889173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16370500</v>
      </c>
      <c r="F64" s="867">
        <f t="array" ref="F64">SUM(IF(A64=KHC,TH))</f>
        <v>16370500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0</v>
      </c>
      <c r="F66" s="867">
        <f t="array" ref="F66">SUM(IF(A66=KHC,TH))</f>
        <v>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16370500</v>
      </c>
      <c r="F68" s="878">
        <f t="array" ref="F68">SUM(IF(A68=TH!$M$10:$M$960,TH!$K$10:$K$960))</f>
        <v>13889173</v>
      </c>
      <c r="G68" s="866"/>
      <c r="H68" s="866"/>
      <c r="I68" s="169">
        <f t="shared" si="17"/>
        <v>2481327</v>
      </c>
    </row>
    <row r="69" spans="1:9" s="169" customFormat="1" ht="17.25" customHeight="1">
      <c r="A69" s="943" t="s">
        <v>39</v>
      </c>
      <c r="B69" s="944"/>
      <c r="C69" s="879">
        <f t="shared" ref="C69:H69" si="18">C11+C13+C14+C16+C18+C21+C22+C23+C24+C28+C30+C33+C35+C36+C42+C44+C49+C52+C54+C57+C59+C60+C61+C62+C63+C64+C65+C66+C67+C68</f>
        <v>1654005102</v>
      </c>
      <c r="D69" s="879">
        <f t="shared" si="18"/>
        <v>0</v>
      </c>
      <c r="E69" s="879">
        <f t="shared" si="18"/>
        <v>7780776718</v>
      </c>
      <c r="F69" s="879">
        <f t="shared" si="18"/>
        <v>7780776718</v>
      </c>
      <c r="G69" s="879">
        <f t="shared" si="18"/>
        <v>4267929599</v>
      </c>
      <c r="H69" s="879">
        <f t="shared" si="18"/>
        <v>2616405824</v>
      </c>
    </row>
    <row r="70" spans="1:9">
      <c r="E70" s="880"/>
      <c r="F70" s="881"/>
    </row>
    <row r="71" spans="1:9">
      <c r="E71" s="881"/>
      <c r="H71" s="881">
        <f>G69-H69</f>
        <v>1651523775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abSelected="1" topLeftCell="A7" workbookViewId="0">
      <pane xSplit="13" ySplit="3" topLeftCell="N716" activePane="bottomRight" state="frozen"/>
      <selection activeCell="A7" sqref="A7"/>
      <selection pane="topRight" activeCell="N7" sqref="N7"/>
      <selection pane="bottomLeft" activeCell="A10" sqref="A10"/>
      <selection pane="bottomRight" activeCell="D917" sqref="D917:D919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67" style="212" customWidth="1"/>
    <col min="7" max="7" width="14.8554687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48" t="s">
        <v>97</v>
      </c>
      <c r="D4" s="948"/>
      <c r="E4" s="948"/>
      <c r="F4" s="948"/>
      <c r="G4" s="948"/>
      <c r="H4" s="948"/>
      <c r="I4" s="948"/>
      <c r="J4" s="948"/>
      <c r="K4" s="948"/>
      <c r="L4" s="948"/>
      <c r="M4" s="948"/>
    </row>
    <row r="5" spans="1:27" ht="14.25">
      <c r="B5" s="43"/>
      <c r="C5" s="949"/>
      <c r="D5" s="949"/>
      <c r="E5" s="949"/>
      <c r="F5" s="949"/>
      <c r="G5" s="949"/>
      <c r="H5" s="949"/>
      <c r="I5" s="949"/>
      <c r="J5" s="949"/>
      <c r="K5" s="949"/>
      <c r="L5" s="949"/>
      <c r="M5" s="949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64" t="s">
        <v>123</v>
      </c>
      <c r="B7" s="966" t="s">
        <v>105</v>
      </c>
      <c r="C7" s="950" t="s">
        <v>20</v>
      </c>
      <c r="D7" s="951" t="s">
        <v>1</v>
      </c>
      <c r="E7" s="952"/>
      <c r="F7" s="950" t="s">
        <v>0</v>
      </c>
      <c r="G7" s="954" t="s">
        <v>122</v>
      </c>
      <c r="H7" s="968" t="s">
        <v>45</v>
      </c>
      <c r="I7" s="971" t="s">
        <v>351</v>
      </c>
      <c r="J7" s="972"/>
      <c r="K7" s="950" t="s">
        <v>189</v>
      </c>
      <c r="L7" s="953" t="s">
        <v>98</v>
      </c>
      <c r="M7" s="953"/>
      <c r="N7" s="969" t="s">
        <v>8</v>
      </c>
      <c r="O7" s="958" t="s">
        <v>49</v>
      </c>
      <c r="P7" s="959"/>
      <c r="Q7" s="960"/>
      <c r="R7" s="958" t="s">
        <v>53</v>
      </c>
      <c r="S7" s="959"/>
      <c r="T7" s="960"/>
      <c r="U7" s="969" t="s">
        <v>40</v>
      </c>
      <c r="V7" s="956" t="str">
        <f>CTTK!$E$7</f>
        <v>1388</v>
      </c>
      <c r="W7" s="956" t="s">
        <v>352</v>
      </c>
      <c r="X7" s="947" t="s">
        <v>195</v>
      </c>
      <c r="Y7" s="947"/>
      <c r="Z7" s="947"/>
      <c r="AA7" s="947" t="s">
        <v>522</v>
      </c>
    </row>
    <row r="8" spans="1:27" ht="24.75" customHeight="1">
      <c r="A8" s="965"/>
      <c r="B8" s="967"/>
      <c r="C8" s="950"/>
      <c r="D8" s="217" t="s">
        <v>15</v>
      </c>
      <c r="E8" s="216" t="s">
        <v>32</v>
      </c>
      <c r="F8" s="950"/>
      <c r="G8" s="955"/>
      <c r="H8" s="968"/>
      <c r="I8" s="283" t="s">
        <v>269</v>
      </c>
      <c r="J8" s="283" t="s">
        <v>270</v>
      </c>
      <c r="K8" s="950"/>
      <c r="L8" s="218" t="s">
        <v>22</v>
      </c>
      <c r="M8" s="218" t="s">
        <v>23</v>
      </c>
      <c r="N8" s="970"/>
      <c r="O8" s="961"/>
      <c r="P8" s="962"/>
      <c r="Q8" s="963"/>
      <c r="R8" s="961"/>
      <c r="S8" s="962"/>
      <c r="T8" s="963"/>
      <c r="U8" s="970"/>
      <c r="V8" s="957"/>
      <c r="W8" s="957"/>
      <c r="X8" s="947"/>
      <c r="Y8" s="947"/>
      <c r="Z8" s="947"/>
      <c r="AA8" s="947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40939</v>
      </c>
      <c r="D10" s="51" t="s">
        <v>99</v>
      </c>
      <c r="E10" s="51">
        <v>40939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40939</v>
      </c>
      <c r="D11" s="51" t="s">
        <v>99</v>
      </c>
      <c r="E11" s="51">
        <v>40939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626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40939</v>
      </c>
      <c r="D12" s="51" t="s">
        <v>99</v>
      </c>
      <c r="E12" s="51">
        <v>40939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40939</v>
      </c>
      <c r="D13" s="51" t="s">
        <v>99</v>
      </c>
      <c r="E13" s="51">
        <v>40939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40939</v>
      </c>
      <c r="D14" s="51" t="s">
        <v>99</v>
      </c>
      <c r="E14" s="51">
        <v>40939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40939</v>
      </c>
      <c r="D15" s="51" t="s">
        <v>99</v>
      </c>
      <c r="E15" s="51">
        <v>40939</v>
      </c>
      <c r="F15" s="52" t="s">
        <v>101</v>
      </c>
      <c r="G15" s="52"/>
      <c r="H15" s="53"/>
      <c r="I15" s="275"/>
      <c r="J15" s="275"/>
      <c r="K15" s="54">
        <f>SUMIF(KHN,M15,TH)</f>
        <v>16370500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40939</v>
      </c>
      <c r="D16" s="51" t="s">
        <v>99</v>
      </c>
      <c r="E16" s="51">
        <v>40939</v>
      </c>
      <c r="F16" s="52" t="s">
        <v>102</v>
      </c>
      <c r="G16" s="52"/>
      <c r="H16" s="53"/>
      <c r="I16" s="275"/>
      <c r="J16" s="275"/>
      <c r="K16" s="54">
        <f>SUMIF(KHC,L16,TH)</f>
        <v>13889173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40939</v>
      </c>
      <c r="D17" s="51" t="s">
        <v>99</v>
      </c>
      <c r="E17" s="51">
        <v>40939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40939</v>
      </c>
      <c r="D18" s="51" t="s">
        <v>99</v>
      </c>
      <c r="E18" s="51">
        <v>40939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40939</v>
      </c>
      <c r="D19" s="51" t="s">
        <v>99</v>
      </c>
      <c r="E19" s="51">
        <v>40939</v>
      </c>
      <c r="F19" s="52" t="s">
        <v>104</v>
      </c>
      <c r="G19" s="52"/>
      <c r="H19" s="53"/>
      <c r="I19" s="275"/>
      <c r="J19" s="275"/>
      <c r="K19" s="54">
        <f>SUMIF(KHN,M19,TH)</f>
        <v>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40999</v>
      </c>
      <c r="D20" s="51" t="s">
        <v>99</v>
      </c>
      <c r="E20" s="51">
        <v>40999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41090</v>
      </c>
      <c r="D21" s="51" t="s">
        <v>99</v>
      </c>
      <c r="E21" s="51">
        <v>41090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41182</v>
      </c>
      <c r="D22" s="51" t="s">
        <v>99</v>
      </c>
      <c r="E22" s="51">
        <v>41182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41274</v>
      </c>
      <c r="D23" s="51" t="s">
        <v>99</v>
      </c>
      <c r="E23" s="51">
        <v>41274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 t="str">
        <f>IF(B24&lt;&gt;"",IF(AND(B24&gt;=_TM1,B24&lt;=_TM2,OR(TH!L24="1111",TH!M24="1111")),TH!D24,""),"")</f>
        <v/>
      </c>
      <c r="B24" s="36">
        <f t="shared" ref="B24:B87" si="3">IF(C24&lt;&gt;"",MONTH(C24),"")</f>
        <v>1</v>
      </c>
      <c r="C24" s="195">
        <v>40914</v>
      </c>
      <c r="D24" s="195" t="s">
        <v>450</v>
      </c>
      <c r="E24" s="195">
        <v>40914</v>
      </c>
      <c r="F24" s="203" t="s">
        <v>452</v>
      </c>
      <c r="G24" s="751" t="s">
        <v>447</v>
      </c>
      <c r="H24" s="7"/>
      <c r="I24" s="277"/>
      <c r="J24" s="277"/>
      <c r="K24" s="749">
        <v>100000000</v>
      </c>
      <c r="L24" s="750" t="s">
        <v>24</v>
      </c>
      <c r="M24" s="750" t="s">
        <v>352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/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v>40914</v>
      </c>
      <c r="D25" s="195" t="s">
        <v>540</v>
      </c>
      <c r="E25" s="195">
        <v>40914</v>
      </c>
      <c r="F25" s="203" t="s">
        <v>627</v>
      </c>
      <c r="G25" s="751" t="s">
        <v>447</v>
      </c>
      <c r="H25" s="7" t="s">
        <v>529</v>
      </c>
      <c r="I25" s="277"/>
      <c r="J25" s="277"/>
      <c r="K25" s="749">
        <v>20000000</v>
      </c>
      <c r="L25" s="750" t="s">
        <v>49</v>
      </c>
      <c r="M25" s="750" t="s">
        <v>24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>x</v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/>
      </c>
      <c r="T25" s="55" t="str">
        <f>IF(ISERROR(FIND('112'!$M$9,G25,1)),"",IF((AND(RIGHT(G25,2)=RIGHT('112'!$M$9,2),B25&lt;'112'!$N$8,$M25='112'!$I$6)),"x",""))</f>
        <v>x</v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v>40918</v>
      </c>
      <c r="D26" s="195" t="s">
        <v>450</v>
      </c>
      <c r="E26" s="37">
        <v>40918</v>
      </c>
      <c r="F26" s="203" t="s">
        <v>452</v>
      </c>
      <c r="G26" s="884" t="s">
        <v>447</v>
      </c>
      <c r="H26" s="7"/>
      <c r="I26" s="277"/>
      <c r="J26" s="277"/>
      <c r="K26" s="38">
        <v>54530300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 t="str">
        <f>IF(B27&lt;&gt;"",IF(AND(B27&gt;=_TM1,B27&lt;=_TM2,OR(TH!L27="1111",TH!M27="1111")),TH!D27,""),"")</f>
        <v/>
      </c>
      <c r="B27" s="36">
        <f t="shared" si="3"/>
        <v>1</v>
      </c>
      <c r="C27" s="195">
        <v>40919</v>
      </c>
      <c r="D27" s="195" t="s">
        <v>541</v>
      </c>
      <c r="E27" s="37">
        <v>40919</v>
      </c>
      <c r="F27" s="203" t="s">
        <v>627</v>
      </c>
      <c r="G27" s="884" t="s">
        <v>447</v>
      </c>
      <c r="H27" s="7" t="s">
        <v>529</v>
      </c>
      <c r="I27" s="277"/>
      <c r="J27" s="277"/>
      <c r="K27" s="38">
        <v>130000000</v>
      </c>
      <c r="L27" s="750" t="s">
        <v>49</v>
      </c>
      <c r="M27" s="750" t="s">
        <v>24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>x</v>
      </c>
      <c r="Q27" s="55" t="str">
        <f>IF(AND($M27=$O$7,$B27&lt;'111'!$N$11),"x","")</f>
        <v/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/>
      </c>
      <c r="T27" s="55" t="str">
        <f>IF(ISERROR(FIND('112'!$M$9,G27,1)),"",IF((AND(RIGHT(G27,2)=RIGHT('112'!$M$9,2),B27&lt;'112'!$N$8,$M27='112'!$I$6)),"x",""))</f>
        <v>x</v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v>40919</v>
      </c>
      <c r="D28" s="195" t="s">
        <v>451</v>
      </c>
      <c r="E28" s="37">
        <v>40919</v>
      </c>
      <c r="F28" s="203" t="s">
        <v>453</v>
      </c>
      <c r="G28" s="624" t="s">
        <v>447</v>
      </c>
      <c r="H28" s="7"/>
      <c r="I28" s="277"/>
      <c r="J28" s="277"/>
      <c r="K28" s="38">
        <v>10000</v>
      </c>
      <c r="L28" s="750" t="s">
        <v>87</v>
      </c>
      <c r="M28" s="750" t="s">
        <v>24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/>
      </c>
      <c r="T28" s="55" t="str">
        <f>IF(ISERROR(FIND('112'!$M$9,G28,1)),"",IF((AND(RIGHT(G28,2)=RIGHT('112'!$M$9,2),B28&lt;'112'!$N$8,$M28='112'!$I$6)),"x",""))</f>
        <v>x</v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v>40919</v>
      </c>
      <c r="D29" s="195" t="s">
        <v>451</v>
      </c>
      <c r="E29" s="37">
        <v>40919</v>
      </c>
      <c r="F29" s="203" t="s">
        <v>532</v>
      </c>
      <c r="G29" s="624" t="s">
        <v>447</v>
      </c>
      <c r="H29" s="7"/>
      <c r="I29" s="277"/>
      <c r="J29" s="277"/>
      <c r="K29" s="38">
        <v>19794013</v>
      </c>
      <c r="L29" s="750" t="s">
        <v>8</v>
      </c>
      <c r="M29" s="750" t="s">
        <v>24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/>
      </c>
      <c r="T29" s="55" t="str">
        <f>IF(ISERROR(FIND('112'!$M$9,G29,1)),"",IF((AND(RIGHT(G29,2)=RIGHT('112'!$M$9,2),B29&lt;'112'!$N$8,$M29='112'!$I$6)),"x",""))</f>
        <v>x</v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v>40921</v>
      </c>
      <c r="D30" s="195" t="s">
        <v>450</v>
      </c>
      <c r="E30" s="37">
        <v>40921</v>
      </c>
      <c r="F30" s="40" t="s">
        <v>452</v>
      </c>
      <c r="G30" s="624" t="s">
        <v>447</v>
      </c>
      <c r="H30" s="47"/>
      <c r="I30" s="277"/>
      <c r="J30" s="277"/>
      <c r="K30" s="885">
        <v>17694269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1</v>
      </c>
      <c r="C31" s="195">
        <v>40921</v>
      </c>
      <c r="D31" s="195" t="s">
        <v>542</v>
      </c>
      <c r="E31" s="37">
        <v>40921</v>
      </c>
      <c r="F31" s="40" t="s">
        <v>628</v>
      </c>
      <c r="G31" s="624" t="s">
        <v>629</v>
      </c>
      <c r="H31" s="47" t="s">
        <v>630</v>
      </c>
      <c r="I31" s="277"/>
      <c r="J31" s="277"/>
      <c r="K31" s="38">
        <v>900000</v>
      </c>
      <c r="L31" s="750" t="s">
        <v>199</v>
      </c>
      <c r="M31" s="750" t="s">
        <v>49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>x</v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/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 t="str">
        <f>IF(B32&lt;&gt;"",IF(AND(B32&gt;=_TM1,B32&lt;=_TM2,OR(TH!L32="1111",TH!M32="1111")),TH!D32,""),"")</f>
        <v/>
      </c>
      <c r="B32" s="36">
        <f t="shared" si="3"/>
        <v>1</v>
      </c>
      <c r="C32" s="195">
        <v>40921</v>
      </c>
      <c r="D32" s="195" t="s">
        <v>542</v>
      </c>
      <c r="E32" s="37">
        <v>40921</v>
      </c>
      <c r="F32" s="40" t="s">
        <v>459</v>
      </c>
      <c r="G32" s="624" t="s">
        <v>629</v>
      </c>
      <c r="H32" s="47" t="s">
        <v>630</v>
      </c>
      <c r="I32" s="277"/>
      <c r="J32" s="277"/>
      <c r="K32" s="38">
        <v>90000</v>
      </c>
      <c r="L32" s="750" t="s">
        <v>9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/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1</v>
      </c>
      <c r="C33" s="195">
        <v>40924</v>
      </c>
      <c r="D33" s="195" t="s">
        <v>590</v>
      </c>
      <c r="E33" s="195">
        <v>40924</v>
      </c>
      <c r="F33" s="203" t="s">
        <v>631</v>
      </c>
      <c r="G33" s="884" t="s">
        <v>632</v>
      </c>
      <c r="H33" s="7" t="s">
        <v>564</v>
      </c>
      <c r="I33" s="277">
        <v>100</v>
      </c>
      <c r="J33" s="277">
        <v>16988</v>
      </c>
      <c r="K33" s="749">
        <v>1698800</v>
      </c>
      <c r="L33" s="750" t="s">
        <v>191</v>
      </c>
      <c r="M33" s="750" t="s">
        <v>8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/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 t="str">
        <f>IF(ISNA(VLOOKUP(F33,NXT!$C$18:$C$347,1,0)),x,"")</f>
        <v/>
      </c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1</v>
      </c>
      <c r="C34" s="195">
        <v>40924</v>
      </c>
      <c r="D34" s="195" t="s">
        <v>590</v>
      </c>
      <c r="E34" s="195">
        <v>40924</v>
      </c>
      <c r="F34" s="203" t="s">
        <v>633</v>
      </c>
      <c r="G34" s="884" t="s">
        <v>632</v>
      </c>
      <c r="H34" s="7" t="s">
        <v>564</v>
      </c>
      <c r="I34" s="277">
        <v>150</v>
      </c>
      <c r="J34" s="277">
        <v>17097</v>
      </c>
      <c r="K34" s="749">
        <v>2564550</v>
      </c>
      <c r="L34" s="750" t="s">
        <v>191</v>
      </c>
      <c r="M34" s="750" t="s">
        <v>8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/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 t="str">
        <f>IF(ISNA(VLOOKUP(F34,NXT!$C$18:$C$347,1,0)),x,"")</f>
        <v/>
      </c>
    </row>
    <row r="35" spans="1:29" s="740" customFormat="1" ht="15.75" customHeight="1">
      <c r="A35" s="219" t="str">
        <f>IF(B35&lt;&gt;"",IF(AND(B35&gt;=_TM1,B35&lt;=_TM2,OR(TH!L35="1111",TH!M35="1111")),TH!D35,""),"")</f>
        <v/>
      </c>
      <c r="B35" s="36">
        <f t="shared" si="3"/>
        <v>1</v>
      </c>
      <c r="C35" s="195">
        <v>40924</v>
      </c>
      <c r="D35" s="195" t="s">
        <v>590</v>
      </c>
      <c r="E35" s="37">
        <v>40924</v>
      </c>
      <c r="F35" s="40" t="s">
        <v>634</v>
      </c>
      <c r="G35" s="624" t="s">
        <v>632</v>
      </c>
      <c r="H35" s="7" t="s">
        <v>564</v>
      </c>
      <c r="I35" s="277">
        <v>175</v>
      </c>
      <c r="J35" s="277">
        <v>17533</v>
      </c>
      <c r="K35" s="38">
        <v>3068275</v>
      </c>
      <c r="L35" s="750" t="s">
        <v>191</v>
      </c>
      <c r="M35" s="750" t="s">
        <v>8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/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/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 t="str">
        <f>IF(ISNA(VLOOKUP(F35,NXT!$C$18:$C$347,1,0)),x,"")</f>
        <v/>
      </c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1</v>
      </c>
      <c r="C36" s="195">
        <v>40924</v>
      </c>
      <c r="D36" s="195" t="s">
        <v>590</v>
      </c>
      <c r="E36" s="37">
        <v>40924</v>
      </c>
      <c r="F36" s="40" t="s">
        <v>635</v>
      </c>
      <c r="G36" s="624" t="s">
        <v>632</v>
      </c>
      <c r="H36" s="7" t="s">
        <v>564</v>
      </c>
      <c r="I36" s="277">
        <v>210</v>
      </c>
      <c r="J36" s="277">
        <v>26898</v>
      </c>
      <c r="K36" s="38">
        <v>5648580</v>
      </c>
      <c r="L36" s="750" t="s">
        <v>9</v>
      </c>
      <c r="M36" s="750" t="s">
        <v>8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/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1</v>
      </c>
      <c r="C37" s="195">
        <v>40924</v>
      </c>
      <c r="D37" s="195" t="s">
        <v>590</v>
      </c>
      <c r="E37" s="195">
        <v>40924</v>
      </c>
      <c r="F37" s="203" t="s">
        <v>636</v>
      </c>
      <c r="G37" s="884" t="s">
        <v>632</v>
      </c>
      <c r="H37" s="7" t="s">
        <v>564</v>
      </c>
      <c r="I37" s="277">
        <v>420</v>
      </c>
      <c r="J37" s="277">
        <v>17139</v>
      </c>
      <c r="K37" s="749">
        <v>7198380</v>
      </c>
      <c r="L37" s="750" t="s">
        <v>191</v>
      </c>
      <c r="M37" s="750" t="s">
        <v>8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/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 t="str">
        <f>IF(ISNA(VLOOKUP(F37,NXT!$C$18:$C$347,1,0)),x,"")</f>
        <v/>
      </c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1</v>
      </c>
      <c r="C38" s="195">
        <v>40924</v>
      </c>
      <c r="D38" s="195" t="s">
        <v>590</v>
      </c>
      <c r="E38" s="195">
        <v>40924</v>
      </c>
      <c r="F38" s="203" t="s">
        <v>637</v>
      </c>
      <c r="G38" s="884" t="s">
        <v>632</v>
      </c>
      <c r="H38" s="7" t="s">
        <v>564</v>
      </c>
      <c r="I38" s="277">
        <v>100</v>
      </c>
      <c r="J38" s="277">
        <v>25616</v>
      </c>
      <c r="K38" s="749">
        <v>2561600</v>
      </c>
      <c r="L38" s="750" t="s">
        <v>191</v>
      </c>
      <c r="M38" s="750" t="s">
        <v>8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/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/>
      </c>
      <c r="AB38" s="226"/>
      <c r="AC38" s="226" t="str">
        <f>IF(ISNA(VLOOKUP(F38,NXT!$C$18:$C$347,1,0)),x,"")</f>
        <v/>
      </c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1</v>
      </c>
      <c r="C39" s="195">
        <v>40924</v>
      </c>
      <c r="D39" s="195" t="s">
        <v>590</v>
      </c>
      <c r="E39" s="195">
        <v>40924</v>
      </c>
      <c r="F39" s="203" t="s">
        <v>638</v>
      </c>
      <c r="G39" s="884" t="s">
        <v>632</v>
      </c>
      <c r="H39" s="7" t="s">
        <v>564</v>
      </c>
      <c r="I39" s="277">
        <v>100</v>
      </c>
      <c r="J39" s="277">
        <v>11435</v>
      </c>
      <c r="K39" s="749">
        <v>1143500</v>
      </c>
      <c r="L39" s="750" t="s">
        <v>191</v>
      </c>
      <c r="M39" s="750" t="s">
        <v>8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/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/>
      </c>
      <c r="AC39" s="226" t="str">
        <f>IF(ISNA(VLOOKUP(F39,NXT!$C$18:$C$347,1,0)),x,"")</f>
        <v/>
      </c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1</v>
      </c>
      <c r="C40" s="195">
        <v>40924</v>
      </c>
      <c r="D40" s="195" t="s">
        <v>590</v>
      </c>
      <c r="E40" s="195">
        <v>40924</v>
      </c>
      <c r="F40" s="203" t="s">
        <v>639</v>
      </c>
      <c r="G40" s="884" t="s">
        <v>632</v>
      </c>
      <c r="H40" s="7" t="s">
        <v>564</v>
      </c>
      <c r="I40" s="277">
        <v>100</v>
      </c>
      <c r="J40" s="277">
        <v>24206</v>
      </c>
      <c r="K40" s="749">
        <v>2420600</v>
      </c>
      <c r="L40" s="750" t="s">
        <v>191</v>
      </c>
      <c r="M40" s="750" t="s">
        <v>8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/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/>
      </c>
      <c r="AC40" s="226" t="str">
        <f>IF(ISNA(VLOOKUP(F40,NXT!$C$18:$C$347,1,0)),x,"")</f>
        <v/>
      </c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1</v>
      </c>
      <c r="C41" s="195">
        <v>40924</v>
      </c>
      <c r="D41" s="195" t="s">
        <v>590</v>
      </c>
      <c r="E41" s="195">
        <v>40924</v>
      </c>
      <c r="F41" s="203" t="s">
        <v>640</v>
      </c>
      <c r="G41" s="884" t="s">
        <v>632</v>
      </c>
      <c r="H41" s="7" t="s">
        <v>564</v>
      </c>
      <c r="I41" s="277">
        <v>140</v>
      </c>
      <c r="J41" s="277">
        <v>20059</v>
      </c>
      <c r="K41" s="749">
        <v>2808260</v>
      </c>
      <c r="L41" s="750" t="s">
        <v>191</v>
      </c>
      <c r="M41" s="750" t="s">
        <v>8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/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/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/>
      </c>
      <c r="AC41" s="226" t="str">
        <f>IF(ISNA(VLOOKUP(F41,NXT!$C$18:$C$347,1,0)),x,"")</f>
        <v/>
      </c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1</v>
      </c>
      <c r="C42" s="195">
        <v>40924</v>
      </c>
      <c r="D42" s="195" t="s">
        <v>590</v>
      </c>
      <c r="E42" s="195">
        <v>40924</v>
      </c>
      <c r="F42" s="203" t="s">
        <v>560</v>
      </c>
      <c r="G42" s="884" t="s">
        <v>632</v>
      </c>
      <c r="H42" s="7" t="s">
        <v>564</v>
      </c>
      <c r="I42" s="277"/>
      <c r="J42" s="277"/>
      <c r="K42" s="38">
        <v>2911255</v>
      </c>
      <c r="L42" s="750" t="s">
        <v>9</v>
      </c>
      <c r="M42" s="750" t="s">
        <v>8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/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/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1</v>
      </c>
      <c r="C43" s="195">
        <v>40924</v>
      </c>
      <c r="D43" s="195" t="s">
        <v>591</v>
      </c>
      <c r="E43" s="195">
        <v>40924</v>
      </c>
      <c r="F43" s="203" t="s">
        <v>641</v>
      </c>
      <c r="G43" s="751" t="s">
        <v>642</v>
      </c>
      <c r="H43" s="7" t="s">
        <v>564</v>
      </c>
      <c r="I43" s="277">
        <v>100</v>
      </c>
      <c r="J43" s="277">
        <v>21766</v>
      </c>
      <c r="K43" s="749">
        <v>2176600</v>
      </c>
      <c r="L43" s="750" t="s">
        <v>191</v>
      </c>
      <c r="M43" s="750" t="s">
        <v>8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/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/>
      </c>
      <c r="AC43" s="226" t="str">
        <f>IF(ISNA(VLOOKUP(F43,NXT!$C$18:$C$347,1,0)),x,"")</f>
        <v/>
      </c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1</v>
      </c>
      <c r="C44" s="195">
        <v>40924</v>
      </c>
      <c r="D44" s="195" t="s">
        <v>591</v>
      </c>
      <c r="E44" s="195">
        <v>40924</v>
      </c>
      <c r="F44" s="203" t="s">
        <v>643</v>
      </c>
      <c r="G44" s="884" t="s">
        <v>642</v>
      </c>
      <c r="H44" s="7" t="s">
        <v>564</v>
      </c>
      <c r="I44" s="277">
        <v>1200</v>
      </c>
      <c r="J44" s="277">
        <v>8768</v>
      </c>
      <c r="K44" s="749">
        <v>10521600</v>
      </c>
      <c r="L44" s="750" t="s">
        <v>191</v>
      </c>
      <c r="M44" s="750" t="s">
        <v>8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/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/>
      </c>
      <c r="AB44" s="226"/>
      <c r="AC44" s="226" t="str">
        <f>IF(ISNA(VLOOKUP(F44,NXT!$C$18:$C$347,1,0)),x,"")</f>
        <v/>
      </c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1</v>
      </c>
      <c r="C45" s="195">
        <v>40924</v>
      </c>
      <c r="D45" s="195" t="s">
        <v>591</v>
      </c>
      <c r="E45" s="195">
        <v>40924</v>
      </c>
      <c r="F45" s="203" t="s">
        <v>644</v>
      </c>
      <c r="G45" s="884" t="s">
        <v>642</v>
      </c>
      <c r="H45" s="7" t="s">
        <v>564</v>
      </c>
      <c r="I45" s="277">
        <v>300</v>
      </c>
      <c r="J45" s="277">
        <v>13471</v>
      </c>
      <c r="K45" s="749">
        <v>4041300</v>
      </c>
      <c r="L45" s="750" t="s">
        <v>191</v>
      </c>
      <c r="M45" s="750" t="s">
        <v>8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/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/>
      </c>
      <c r="AB45" s="226"/>
      <c r="AC45" s="226" t="str">
        <f>IF(ISNA(VLOOKUP(F45,NXT!$C$18:$C$347,1,0)),x,"")</f>
        <v/>
      </c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1</v>
      </c>
      <c r="C46" s="195">
        <v>40924</v>
      </c>
      <c r="D46" s="195" t="s">
        <v>591</v>
      </c>
      <c r="E46" s="195">
        <v>40924</v>
      </c>
      <c r="F46" s="203" t="s">
        <v>645</v>
      </c>
      <c r="G46" s="884" t="s">
        <v>642</v>
      </c>
      <c r="H46" s="7" t="s">
        <v>564</v>
      </c>
      <c r="I46" s="277">
        <v>223</v>
      </c>
      <c r="J46" s="277">
        <v>12207</v>
      </c>
      <c r="K46" s="749">
        <v>2722161</v>
      </c>
      <c r="L46" s="750" t="s">
        <v>191</v>
      </c>
      <c r="M46" s="750" t="s">
        <v>8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/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/>
      </c>
      <c r="AB46" s="226"/>
      <c r="AC46" s="226" t="str">
        <f>IF(ISNA(VLOOKUP(F46,NXT!$C$18:$C$347,1,0)),x,"")</f>
        <v/>
      </c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1</v>
      </c>
      <c r="C47" s="195">
        <v>40924</v>
      </c>
      <c r="D47" s="195" t="s">
        <v>591</v>
      </c>
      <c r="E47" s="195">
        <v>40924</v>
      </c>
      <c r="F47" s="203" t="s">
        <v>646</v>
      </c>
      <c r="G47" s="884" t="s">
        <v>642</v>
      </c>
      <c r="H47" s="7" t="s">
        <v>564</v>
      </c>
      <c r="I47" s="277">
        <v>272</v>
      </c>
      <c r="J47" s="277">
        <v>13471</v>
      </c>
      <c r="K47" s="749">
        <v>3664112</v>
      </c>
      <c r="L47" s="750" t="s">
        <v>191</v>
      </c>
      <c r="M47" s="750" t="s">
        <v>8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/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/>
      </c>
      <c r="AB47" s="226"/>
      <c r="AC47" s="226" t="str">
        <f>IF(ISNA(VLOOKUP(F47,NXT!$C$18:$C$347,1,0)),x,"")</f>
        <v/>
      </c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1</v>
      </c>
      <c r="C48" s="195">
        <v>40924</v>
      </c>
      <c r="D48" s="195" t="s">
        <v>591</v>
      </c>
      <c r="E48" s="195">
        <v>40924</v>
      </c>
      <c r="F48" s="203" t="s">
        <v>647</v>
      </c>
      <c r="G48" s="884" t="s">
        <v>642</v>
      </c>
      <c r="H48" s="7" t="s">
        <v>564</v>
      </c>
      <c r="I48" s="277">
        <v>100</v>
      </c>
      <c r="J48" s="277">
        <v>31451</v>
      </c>
      <c r="K48" s="749">
        <v>3145100</v>
      </c>
      <c r="L48" s="750" t="s">
        <v>191</v>
      </c>
      <c r="M48" s="750" t="s">
        <v>8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/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/>
      </c>
      <c r="AB48" s="226"/>
      <c r="AC48" s="226" t="str">
        <f>IF(ISNA(VLOOKUP(F48,NXT!$C$18:$C$347,1,0)),x,"")</f>
        <v/>
      </c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1</v>
      </c>
      <c r="C49" s="195">
        <v>40924</v>
      </c>
      <c r="D49" s="195" t="s">
        <v>591</v>
      </c>
      <c r="E49" s="195">
        <v>40924</v>
      </c>
      <c r="F49" s="203" t="s">
        <v>648</v>
      </c>
      <c r="G49" s="884" t="s">
        <v>642</v>
      </c>
      <c r="H49" s="7" t="s">
        <v>564</v>
      </c>
      <c r="I49" s="277">
        <v>493</v>
      </c>
      <c r="J49" s="277">
        <v>31364</v>
      </c>
      <c r="K49" s="749">
        <v>15462452</v>
      </c>
      <c r="L49" s="750" t="s">
        <v>191</v>
      </c>
      <c r="M49" s="750" t="s">
        <v>8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/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/>
      </c>
      <c r="AC49" s="226" t="str">
        <f>IF(ISNA(VLOOKUP(F49,NXT!$C$18:$C$347,1,0)),x,"")</f>
        <v/>
      </c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1</v>
      </c>
      <c r="C50" s="195">
        <v>40924</v>
      </c>
      <c r="D50" s="195" t="s">
        <v>591</v>
      </c>
      <c r="E50" s="195">
        <v>40924</v>
      </c>
      <c r="F50" s="203" t="s">
        <v>649</v>
      </c>
      <c r="G50" s="884" t="s">
        <v>642</v>
      </c>
      <c r="H50" s="7" t="s">
        <v>564</v>
      </c>
      <c r="I50" s="277">
        <v>300</v>
      </c>
      <c r="J50" s="277">
        <v>20255</v>
      </c>
      <c r="K50" s="749">
        <v>6076500</v>
      </c>
      <c r="L50" s="750" t="s">
        <v>191</v>
      </c>
      <c r="M50" s="750" t="s">
        <v>8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/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/>
      </c>
      <c r="AC50" s="226" t="str">
        <f>IF(ISNA(VLOOKUP(F50,NXT!$C$18:$C$347,1,0)),x,"")</f>
        <v/>
      </c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1</v>
      </c>
      <c r="C51" s="37">
        <v>40924</v>
      </c>
      <c r="D51" s="195" t="s">
        <v>591</v>
      </c>
      <c r="E51" s="195">
        <v>40924</v>
      </c>
      <c r="F51" s="40" t="s">
        <v>650</v>
      </c>
      <c r="G51" s="884" t="s">
        <v>642</v>
      </c>
      <c r="H51" s="7" t="s">
        <v>564</v>
      </c>
      <c r="I51" s="277"/>
      <c r="J51" s="277"/>
      <c r="K51" s="38">
        <v>4780983</v>
      </c>
      <c r="L51" s="39" t="s">
        <v>9</v>
      </c>
      <c r="M51" s="750" t="s">
        <v>8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/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/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1</v>
      </c>
      <c r="C52" s="195">
        <v>40924</v>
      </c>
      <c r="D52" s="195" t="s">
        <v>592</v>
      </c>
      <c r="E52" s="195">
        <v>40924</v>
      </c>
      <c r="F52" s="203" t="s">
        <v>651</v>
      </c>
      <c r="G52" s="884" t="s">
        <v>652</v>
      </c>
      <c r="H52" s="7" t="s">
        <v>564</v>
      </c>
      <c r="I52" s="277">
        <v>395</v>
      </c>
      <c r="J52" s="277">
        <v>14984</v>
      </c>
      <c r="K52" s="749">
        <v>5918680</v>
      </c>
      <c r="L52" s="750" t="s">
        <v>191</v>
      </c>
      <c r="M52" s="750" t="s">
        <v>8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/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/>
      </c>
      <c r="AC52" s="226" t="str">
        <f>IF(ISNA(VLOOKUP(F52,NXT!$C$18:$C$347,1,0)),x,"")</f>
        <v/>
      </c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1</v>
      </c>
      <c r="C53" s="195">
        <v>40924</v>
      </c>
      <c r="D53" s="195" t="s">
        <v>592</v>
      </c>
      <c r="E53" s="195">
        <v>40924</v>
      </c>
      <c r="F53" s="203" t="s">
        <v>653</v>
      </c>
      <c r="G53" s="884" t="s">
        <v>652</v>
      </c>
      <c r="H53" s="7" t="s">
        <v>564</v>
      </c>
      <c r="I53" s="277">
        <v>983</v>
      </c>
      <c r="J53" s="277">
        <v>20362</v>
      </c>
      <c r="K53" s="749">
        <v>20015846</v>
      </c>
      <c r="L53" s="750" t="s">
        <v>191</v>
      </c>
      <c r="M53" s="750" t="s">
        <v>8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/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 t="str">
        <f>IF(ISNA(VLOOKUP(F53,NXT!$C$18:$C$347,1,0)),x,"")</f>
        <v/>
      </c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1</v>
      </c>
      <c r="C54" s="37">
        <v>40924</v>
      </c>
      <c r="D54" s="195" t="s">
        <v>592</v>
      </c>
      <c r="E54" s="195">
        <v>40924</v>
      </c>
      <c r="F54" s="40" t="s">
        <v>654</v>
      </c>
      <c r="G54" s="884" t="s">
        <v>652</v>
      </c>
      <c r="H54" s="7" t="s">
        <v>564</v>
      </c>
      <c r="I54" s="277">
        <v>116</v>
      </c>
      <c r="J54" s="277">
        <v>22348</v>
      </c>
      <c r="K54" s="38">
        <v>2592368</v>
      </c>
      <c r="L54" s="39" t="s">
        <v>191</v>
      </c>
      <c r="M54" s="750" t="s">
        <v>8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/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 t="str">
        <f>IF(ISNA(VLOOKUP(F54,NXT!$C$18:$C$347,1,0)),x,"")</f>
        <v/>
      </c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1</v>
      </c>
      <c r="C55" s="195">
        <v>40924</v>
      </c>
      <c r="D55" s="195" t="s">
        <v>592</v>
      </c>
      <c r="E55" s="195">
        <v>40924</v>
      </c>
      <c r="F55" s="203" t="s">
        <v>655</v>
      </c>
      <c r="G55" s="884" t="s">
        <v>652</v>
      </c>
      <c r="H55" s="7" t="s">
        <v>564</v>
      </c>
      <c r="I55" s="277">
        <v>1140</v>
      </c>
      <c r="J55" s="277">
        <v>19567</v>
      </c>
      <c r="K55" s="749">
        <v>22306380</v>
      </c>
      <c r="L55" s="750" t="s">
        <v>191</v>
      </c>
      <c r="M55" s="750" t="s">
        <v>8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/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 t="str">
        <f>IF(ISNA(VLOOKUP(F55,NXT!$C$18:$C$347,1,0)),x,"")</f>
        <v/>
      </c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1</v>
      </c>
      <c r="C56" s="195">
        <v>40924</v>
      </c>
      <c r="D56" s="195" t="s">
        <v>592</v>
      </c>
      <c r="E56" s="195">
        <v>40924</v>
      </c>
      <c r="F56" s="203" t="s">
        <v>656</v>
      </c>
      <c r="G56" s="884" t="s">
        <v>652</v>
      </c>
      <c r="H56" s="7" t="s">
        <v>564</v>
      </c>
      <c r="I56" s="277">
        <v>165</v>
      </c>
      <c r="J56" s="277">
        <v>23783</v>
      </c>
      <c r="K56" s="749">
        <v>3924195</v>
      </c>
      <c r="L56" s="750" t="s">
        <v>191</v>
      </c>
      <c r="M56" s="750" t="s">
        <v>8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/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 t="str">
        <f>IF(ISNA(VLOOKUP(F56,NXT!$C$18:$C$347,1,0)),x,"")</f>
        <v/>
      </c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1</v>
      </c>
      <c r="C57" s="195">
        <v>40924</v>
      </c>
      <c r="D57" s="195" t="s">
        <v>592</v>
      </c>
      <c r="E57" s="195">
        <v>40924</v>
      </c>
      <c r="F57" s="203" t="s">
        <v>657</v>
      </c>
      <c r="G57" s="751" t="s">
        <v>652</v>
      </c>
      <c r="H57" s="7" t="s">
        <v>564</v>
      </c>
      <c r="I57" s="277">
        <v>100</v>
      </c>
      <c r="J57" s="277">
        <v>12022</v>
      </c>
      <c r="K57" s="749">
        <v>1202200</v>
      </c>
      <c r="L57" s="750" t="s">
        <v>191</v>
      </c>
      <c r="M57" s="750" t="s">
        <v>8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/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 t="str">
        <f>IF(ISNA(VLOOKUP(F57,NXT!$C$18:$C$347,1,0)),x,"")</f>
        <v/>
      </c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1</v>
      </c>
      <c r="C58" s="195">
        <v>40924</v>
      </c>
      <c r="D58" s="195" t="s">
        <v>592</v>
      </c>
      <c r="E58" s="195">
        <v>40924</v>
      </c>
      <c r="F58" s="203" t="s">
        <v>561</v>
      </c>
      <c r="G58" s="884" t="s">
        <v>652</v>
      </c>
      <c r="H58" s="7" t="s">
        <v>564</v>
      </c>
      <c r="I58" s="277">
        <v>340</v>
      </c>
      <c r="J58" s="277">
        <v>30158</v>
      </c>
      <c r="K58" s="749">
        <v>10253720</v>
      </c>
      <c r="L58" s="750" t="s">
        <v>191</v>
      </c>
      <c r="M58" s="750" t="s">
        <v>8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/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 t="str">
        <f>IF(ISNA(VLOOKUP(F58,NXT!$C$18:$C$347,1,0)),x,"")</f>
        <v/>
      </c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1</v>
      </c>
      <c r="C59" s="195">
        <v>40924</v>
      </c>
      <c r="D59" s="195" t="s">
        <v>592</v>
      </c>
      <c r="E59" s="195">
        <v>40924</v>
      </c>
      <c r="F59" s="203" t="s">
        <v>658</v>
      </c>
      <c r="G59" s="884" t="s">
        <v>652</v>
      </c>
      <c r="H59" s="7" t="s">
        <v>564</v>
      </c>
      <c r="I59" s="277">
        <v>100</v>
      </c>
      <c r="J59" s="277">
        <v>22897</v>
      </c>
      <c r="K59" s="749">
        <v>2289700</v>
      </c>
      <c r="L59" s="750" t="s">
        <v>191</v>
      </c>
      <c r="M59" s="750" t="s">
        <v>8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/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 t="str">
        <f>IF(ISNA(VLOOKUP(F59,NXT!$C$18:$C$347,1,0)),x,"")</f>
        <v/>
      </c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1</v>
      </c>
      <c r="C60" s="195">
        <v>40924</v>
      </c>
      <c r="D60" s="195" t="s">
        <v>592</v>
      </c>
      <c r="E60" s="195">
        <v>40924</v>
      </c>
      <c r="F60" s="203" t="s">
        <v>650</v>
      </c>
      <c r="G60" s="884" t="s">
        <v>652</v>
      </c>
      <c r="H60" s="7" t="s">
        <v>564</v>
      </c>
      <c r="I60" s="277"/>
      <c r="J60" s="277"/>
      <c r="K60" s="749">
        <v>6850309</v>
      </c>
      <c r="L60" s="750" t="s">
        <v>9</v>
      </c>
      <c r="M60" s="750" t="s">
        <v>8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/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1</v>
      </c>
      <c r="C61" s="195">
        <v>40924</v>
      </c>
      <c r="D61" s="195" t="s">
        <v>593</v>
      </c>
      <c r="E61" s="195">
        <v>40924</v>
      </c>
      <c r="F61" s="203" t="s">
        <v>659</v>
      </c>
      <c r="G61" s="884" t="s">
        <v>660</v>
      </c>
      <c r="H61" s="7" t="s">
        <v>564</v>
      </c>
      <c r="I61" s="277">
        <v>200</v>
      </c>
      <c r="J61" s="277">
        <v>25802</v>
      </c>
      <c r="K61" s="749">
        <v>5160400</v>
      </c>
      <c r="L61" s="750" t="s">
        <v>191</v>
      </c>
      <c r="M61" s="750" t="s">
        <v>8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/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 t="str">
        <f>IF(ISNA(VLOOKUP(F61,NXT!$C$18:$C$347,1,0)),x,"")</f>
        <v/>
      </c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1</v>
      </c>
      <c r="C62" s="195">
        <v>40924</v>
      </c>
      <c r="D62" s="195" t="s">
        <v>593</v>
      </c>
      <c r="E62" s="195">
        <v>40924</v>
      </c>
      <c r="F62" s="203" t="s">
        <v>661</v>
      </c>
      <c r="G62" s="884" t="s">
        <v>660</v>
      </c>
      <c r="H62" s="7" t="s">
        <v>564</v>
      </c>
      <c r="I62" s="277">
        <v>110</v>
      </c>
      <c r="J62" s="277">
        <v>24566</v>
      </c>
      <c r="K62" s="749">
        <v>2702260</v>
      </c>
      <c r="L62" s="750" t="s">
        <v>191</v>
      </c>
      <c r="M62" s="750" t="s">
        <v>8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/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 t="str">
        <f>IF(ISNA(VLOOKUP(F62,NXT!$C$18:$C$347,1,0)),x,"")</f>
        <v/>
      </c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1</v>
      </c>
      <c r="C63" s="195">
        <v>40924</v>
      </c>
      <c r="D63" s="195" t="s">
        <v>593</v>
      </c>
      <c r="E63" s="195">
        <v>40924</v>
      </c>
      <c r="F63" s="203" t="s">
        <v>662</v>
      </c>
      <c r="G63" s="884" t="s">
        <v>660</v>
      </c>
      <c r="H63" s="7" t="s">
        <v>564</v>
      </c>
      <c r="I63" s="277">
        <v>10</v>
      </c>
      <c r="J63" s="277">
        <v>19004</v>
      </c>
      <c r="K63" s="749">
        <v>190040</v>
      </c>
      <c r="L63" s="750" t="s">
        <v>191</v>
      </c>
      <c r="M63" s="750" t="s">
        <v>8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/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 t="str">
        <f>IF(ISNA(VLOOKUP(F63,NXT!$C$18:$C$347,1,0)),x,"")</f>
        <v/>
      </c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1</v>
      </c>
      <c r="C64" s="195">
        <v>40924</v>
      </c>
      <c r="D64" s="195" t="s">
        <v>593</v>
      </c>
      <c r="E64" s="195">
        <v>40924</v>
      </c>
      <c r="F64" s="203" t="s">
        <v>650</v>
      </c>
      <c r="G64" s="884" t="s">
        <v>660</v>
      </c>
      <c r="H64" s="7" t="s">
        <v>564</v>
      </c>
      <c r="I64" s="277"/>
      <c r="J64" s="277"/>
      <c r="K64" s="749">
        <v>805270</v>
      </c>
      <c r="L64" s="750" t="s">
        <v>9</v>
      </c>
      <c r="M64" s="750" t="s">
        <v>8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/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1</v>
      </c>
      <c r="C65" s="195">
        <v>40925</v>
      </c>
      <c r="D65" s="195" t="s">
        <v>543</v>
      </c>
      <c r="E65" s="195">
        <v>40925</v>
      </c>
      <c r="F65" s="203" t="s">
        <v>553</v>
      </c>
      <c r="G65" s="884" t="s">
        <v>663</v>
      </c>
      <c r="H65" s="7" t="s">
        <v>664</v>
      </c>
      <c r="I65" s="277"/>
      <c r="J65" s="277"/>
      <c r="K65" s="749">
        <v>522643</v>
      </c>
      <c r="L65" s="750" t="s">
        <v>87</v>
      </c>
      <c r="M65" s="750" t="s">
        <v>49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>x</v>
      </c>
      <c r="R65" s="55" t="str">
        <f>IF(ISERROR(FIND('112'!$M$9,G65,1)),"",IF((AND(FIND('112'!$M$9,G65,1)&gt;=1,$B65&gt;='112'!$N$8,$B65&lt;='112'!$O$8,OR($L65='112'!$I$6,$M65='112'!$I$6))),"x",""))</f>
        <v/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1</v>
      </c>
      <c r="C66" s="195">
        <v>40925</v>
      </c>
      <c r="D66" s="195" t="s">
        <v>543</v>
      </c>
      <c r="E66" s="195">
        <v>40925</v>
      </c>
      <c r="F66" s="203" t="s">
        <v>554</v>
      </c>
      <c r="G66" s="884" t="s">
        <v>663</v>
      </c>
      <c r="H66" s="7" t="s">
        <v>664</v>
      </c>
      <c r="I66" s="277"/>
      <c r="J66" s="277"/>
      <c r="K66" s="749">
        <v>52264</v>
      </c>
      <c r="L66" s="750" t="s">
        <v>9</v>
      </c>
      <c r="M66" s="750" t="s">
        <v>49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>x</v>
      </c>
      <c r="R66" s="55" t="str">
        <f>IF(ISERROR(FIND('112'!$M$9,G66,1)),"",IF((AND(FIND('112'!$M$9,G66,1)&gt;=1,$B66&gt;='112'!$N$8,$B66&lt;='112'!$O$8,OR($L66='112'!$I$6,$M66='112'!$I$6))),"x",""))</f>
        <v/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1</v>
      </c>
      <c r="C67" s="195">
        <v>40926</v>
      </c>
      <c r="D67" s="195" t="s">
        <v>544</v>
      </c>
      <c r="E67" s="195">
        <v>40926</v>
      </c>
      <c r="F67" s="203" t="s">
        <v>665</v>
      </c>
      <c r="G67" s="884" t="s">
        <v>666</v>
      </c>
      <c r="H67" s="7" t="s">
        <v>667</v>
      </c>
      <c r="I67" s="277"/>
      <c r="J67" s="277"/>
      <c r="K67" s="749">
        <v>728658</v>
      </c>
      <c r="L67" s="750" t="s">
        <v>87</v>
      </c>
      <c r="M67" s="750" t="s">
        <v>49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>x</v>
      </c>
      <c r="R67" s="55" t="str">
        <f>IF(ISERROR(FIND('112'!$M$9,G67,1)),"",IF((AND(FIND('112'!$M$9,G67,1)&gt;=1,$B67&gt;='112'!$N$8,$B67&lt;='112'!$O$8,OR($L67='112'!$I$6,$M67='112'!$I$6))),"x",""))</f>
        <v/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1</v>
      </c>
      <c r="C68" s="37">
        <v>40926</v>
      </c>
      <c r="D68" s="195" t="s">
        <v>544</v>
      </c>
      <c r="E68" s="37">
        <v>40926</v>
      </c>
      <c r="F68" s="40" t="s">
        <v>668</v>
      </c>
      <c r="G68" s="624" t="s">
        <v>669</v>
      </c>
      <c r="H68" s="47" t="s">
        <v>667</v>
      </c>
      <c r="I68" s="277"/>
      <c r="J68" s="277"/>
      <c r="K68" s="38">
        <v>45277</v>
      </c>
      <c r="L68" s="39" t="s">
        <v>9</v>
      </c>
      <c r="M68" s="750" t="s">
        <v>49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>x</v>
      </c>
      <c r="R68" s="55" t="str">
        <f>IF(ISERROR(FIND('112'!$M$9,G68,1)),"",IF((AND(FIND('112'!$M$9,G68,1)&gt;=1,$B68&gt;='112'!$N$8,$B68&lt;='112'!$O$8,OR($L68='112'!$I$6,$M68='112'!$I$6))),"x",""))</f>
        <v/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1</v>
      </c>
      <c r="C69" s="37">
        <v>40927</v>
      </c>
      <c r="D69" s="195" t="s">
        <v>569</v>
      </c>
      <c r="E69" s="37">
        <v>40927</v>
      </c>
      <c r="F69" s="40" t="s">
        <v>627</v>
      </c>
      <c r="G69" s="624" t="s">
        <v>447</v>
      </c>
      <c r="H69" s="47" t="s">
        <v>529</v>
      </c>
      <c r="I69" s="277"/>
      <c r="J69" s="277"/>
      <c r="K69" s="38">
        <v>22870000</v>
      </c>
      <c r="L69" s="39" t="s">
        <v>49</v>
      </c>
      <c r="M69" s="750" t="s">
        <v>24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>x</v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/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>x</v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9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1</v>
      </c>
      <c r="C70" s="934">
        <v>40928</v>
      </c>
      <c r="D70" s="934" t="s">
        <v>450</v>
      </c>
      <c r="E70" s="934">
        <v>40928</v>
      </c>
      <c r="F70" s="935" t="s">
        <v>530</v>
      </c>
      <c r="G70" s="936" t="s">
        <v>447</v>
      </c>
      <c r="H70" s="53"/>
      <c r="I70" s="275"/>
      <c r="J70" s="275"/>
      <c r="K70" s="937">
        <v>77446</v>
      </c>
      <c r="L70" s="938" t="s">
        <v>24</v>
      </c>
      <c r="M70" s="938" t="s">
        <v>41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/>
      </c>
      <c r="S70" s="55" t="str">
        <f>IF(ISERROR(FIND('112'!$M$9,G70,1)),"",IF((AND(LEFT(G70,2)=LEFT('112'!$M$9,2),B70&lt;'112'!$N$8,$L70='112'!$I$6)),"x",""))</f>
        <v>x</v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1</v>
      </c>
      <c r="C71" s="195">
        <v>40938</v>
      </c>
      <c r="D71" s="195" t="s">
        <v>545</v>
      </c>
      <c r="E71" s="195">
        <v>40938</v>
      </c>
      <c r="F71" s="203" t="s">
        <v>670</v>
      </c>
      <c r="G71" s="884" t="s">
        <v>671</v>
      </c>
      <c r="H71" s="7" t="s">
        <v>630</v>
      </c>
      <c r="I71" s="277"/>
      <c r="J71" s="277"/>
      <c r="K71" s="749">
        <v>700000</v>
      </c>
      <c r="L71" s="750" t="s">
        <v>199</v>
      </c>
      <c r="M71" s="750" t="s">
        <v>49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>x</v>
      </c>
      <c r="R71" s="55" t="str">
        <f>IF(ISERROR(FIND('112'!$M$9,G71,1)),"",IF((AND(FIND('112'!$M$9,G71,1)&gt;=1,$B71&gt;='112'!$N$8,$B71&lt;='112'!$O$8,OR($L71='112'!$I$6,$M71='112'!$I$6))),"x",""))</f>
        <v/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1</v>
      </c>
      <c r="C72" s="195">
        <v>40938</v>
      </c>
      <c r="D72" s="195" t="s">
        <v>545</v>
      </c>
      <c r="E72" s="195">
        <v>40938</v>
      </c>
      <c r="F72" s="203" t="s">
        <v>459</v>
      </c>
      <c r="G72" s="884" t="s">
        <v>671</v>
      </c>
      <c r="H72" s="7" t="s">
        <v>630</v>
      </c>
      <c r="I72" s="277"/>
      <c r="J72" s="277"/>
      <c r="K72" s="749">
        <v>70000</v>
      </c>
      <c r="L72" s="750" t="s">
        <v>9</v>
      </c>
      <c r="M72" s="750" t="s">
        <v>49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>x</v>
      </c>
      <c r="R72" s="55" t="str">
        <f>IF(ISERROR(FIND('112'!$M$9,G72,1)),"",IF((AND(FIND('112'!$M$9,G72,1)&gt;=1,$B72&gt;='112'!$N$8,$B72&lt;='112'!$O$8,OR($L72='112'!$I$6,$M72='112'!$I$6))),"x",""))</f>
        <v/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2</v>
      </c>
      <c r="C73" s="195">
        <v>40940</v>
      </c>
      <c r="D73" s="195" t="s">
        <v>546</v>
      </c>
      <c r="E73" s="195">
        <v>40940</v>
      </c>
      <c r="F73" s="203" t="s">
        <v>672</v>
      </c>
      <c r="G73" s="751" t="s">
        <v>539</v>
      </c>
      <c r="H73" s="45" t="s">
        <v>673</v>
      </c>
      <c r="I73" s="277"/>
      <c r="J73" s="277"/>
      <c r="K73" s="749">
        <v>4700000</v>
      </c>
      <c r="L73" s="750" t="s">
        <v>199</v>
      </c>
      <c r="M73" s="750" t="s">
        <v>49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>x</v>
      </c>
      <c r="R73" s="55" t="str">
        <f>IF(ISERROR(FIND('112'!$M$9,G73,1)),"",IF((AND(FIND('112'!$M$9,G73,1)&gt;=1,$B73&gt;='112'!$N$8,$B73&lt;='112'!$O$8,OR($L73='112'!$I$6,$M73='112'!$I$6))),"x",""))</f>
        <v/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2</v>
      </c>
      <c r="C74" s="37">
        <v>40940</v>
      </c>
      <c r="D74" s="195" t="s">
        <v>546</v>
      </c>
      <c r="E74" s="37">
        <v>40940</v>
      </c>
      <c r="F74" s="203" t="s">
        <v>674</v>
      </c>
      <c r="G74" s="624" t="s">
        <v>539</v>
      </c>
      <c r="H74" s="7" t="s">
        <v>673</v>
      </c>
      <c r="I74" s="279"/>
      <c r="J74" s="277"/>
      <c r="K74" s="749">
        <v>470000</v>
      </c>
      <c r="L74" s="39" t="s">
        <v>9</v>
      </c>
      <c r="M74" s="750" t="s">
        <v>49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>x</v>
      </c>
      <c r="R74" s="55" t="str">
        <f>IF(ISERROR(FIND('112'!$M$9,G74,1)),"",IF((AND(FIND('112'!$M$9,G74,1)&gt;=1,$B74&gt;='112'!$N$8,$B74&lt;='112'!$O$8,OR($L74='112'!$I$6,$M74='112'!$I$6))),"x",""))</f>
        <v/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2</v>
      </c>
      <c r="C75" s="37">
        <v>40940</v>
      </c>
      <c r="D75" s="195" t="s">
        <v>547</v>
      </c>
      <c r="E75" s="37">
        <v>40877</v>
      </c>
      <c r="F75" s="203" t="s">
        <v>675</v>
      </c>
      <c r="G75" s="624" t="s">
        <v>676</v>
      </c>
      <c r="H75" s="7" t="s">
        <v>533</v>
      </c>
      <c r="I75" s="277"/>
      <c r="J75" s="279"/>
      <c r="K75" s="749">
        <v>1600000</v>
      </c>
      <c r="L75" s="39" t="s">
        <v>199</v>
      </c>
      <c r="M75" s="750" t="s">
        <v>49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>x</v>
      </c>
      <c r="R75" s="55" t="str">
        <f>IF(ISERROR(FIND('112'!$M$9,G75,1)),"",IF((AND(FIND('112'!$M$9,G75,1)&gt;=1,$B75&gt;='112'!$N$8,$B75&lt;='112'!$O$8,OR($L75='112'!$I$6,$M75='112'!$I$6))),"x",""))</f>
        <v/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2</v>
      </c>
      <c r="C76" s="37">
        <v>40940</v>
      </c>
      <c r="D76" s="195" t="s">
        <v>547</v>
      </c>
      <c r="E76" s="37">
        <v>40877</v>
      </c>
      <c r="F76" s="203" t="s">
        <v>459</v>
      </c>
      <c r="G76" s="624" t="s">
        <v>676</v>
      </c>
      <c r="H76" s="7" t="s">
        <v>533</v>
      </c>
      <c r="I76" s="277"/>
      <c r="J76" s="279"/>
      <c r="K76" s="749">
        <v>160000</v>
      </c>
      <c r="L76" s="39" t="s">
        <v>9</v>
      </c>
      <c r="M76" s="750" t="s">
        <v>49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>x</v>
      </c>
      <c r="R76" s="55" t="str">
        <f>IF(ISERROR(FIND('112'!$M$9,G76,1)),"",IF((AND(FIND('112'!$M$9,G76,1)&gt;=1,$B76&gt;='112'!$N$8,$B76&lt;='112'!$O$8,OR($L76='112'!$I$6,$M76='112'!$I$6))),"x",""))</f>
        <v/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2</v>
      </c>
      <c r="C77" s="37">
        <v>40940</v>
      </c>
      <c r="D77" s="195" t="s">
        <v>548</v>
      </c>
      <c r="E77" s="37">
        <v>40890</v>
      </c>
      <c r="F77" s="203" t="s">
        <v>677</v>
      </c>
      <c r="G77" s="624" t="s">
        <v>678</v>
      </c>
      <c r="H77" s="7" t="s">
        <v>533</v>
      </c>
      <c r="I77" s="277"/>
      <c r="J77" s="279"/>
      <c r="K77" s="749">
        <v>2740000</v>
      </c>
      <c r="L77" s="39" t="s">
        <v>199</v>
      </c>
      <c r="M77" s="750" t="s">
        <v>49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>x</v>
      </c>
      <c r="R77" s="55" t="str">
        <f>IF(ISERROR(FIND('112'!$M$9,G77,1)),"",IF((AND(FIND('112'!$M$9,G77,1)&gt;=1,$B77&gt;='112'!$N$8,$B77&lt;='112'!$O$8,OR($L77='112'!$I$6,$M77='112'!$I$6))),"x",""))</f>
        <v/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2</v>
      </c>
      <c r="C78" s="37">
        <v>40940</v>
      </c>
      <c r="D78" s="195" t="s">
        <v>548</v>
      </c>
      <c r="E78" s="37">
        <v>40890</v>
      </c>
      <c r="F78" s="203" t="s">
        <v>459</v>
      </c>
      <c r="G78" s="624" t="s">
        <v>678</v>
      </c>
      <c r="H78" s="7" t="s">
        <v>533</v>
      </c>
      <c r="I78" s="277"/>
      <c r="J78" s="279"/>
      <c r="K78" s="749">
        <v>274000</v>
      </c>
      <c r="L78" s="39" t="s">
        <v>9</v>
      </c>
      <c r="M78" s="750" t="s">
        <v>49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>x</v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2</v>
      </c>
      <c r="C79" s="37">
        <v>40941</v>
      </c>
      <c r="D79" s="195" t="s">
        <v>450</v>
      </c>
      <c r="E79" s="37">
        <v>40941</v>
      </c>
      <c r="F79" s="203" t="s">
        <v>452</v>
      </c>
      <c r="G79" s="624" t="s">
        <v>447</v>
      </c>
      <c r="H79" s="7"/>
      <c r="I79" s="277"/>
      <c r="J79" s="279"/>
      <c r="K79" s="749">
        <v>18632856</v>
      </c>
      <c r="L79" s="39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>x</v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  <c r="AD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2</v>
      </c>
      <c r="C80" s="37">
        <v>40941</v>
      </c>
      <c r="D80" s="195" t="s">
        <v>587</v>
      </c>
      <c r="E80" s="37">
        <v>40941</v>
      </c>
      <c r="F80" s="203" t="s">
        <v>457</v>
      </c>
      <c r="G80" s="624" t="s">
        <v>679</v>
      </c>
      <c r="H80" s="7" t="s">
        <v>538</v>
      </c>
      <c r="I80" s="277">
        <v>48</v>
      </c>
      <c r="J80" s="279">
        <v>42000</v>
      </c>
      <c r="K80" s="38">
        <v>2016000</v>
      </c>
      <c r="L80" s="39" t="s">
        <v>193</v>
      </c>
      <c r="M80" s="750" t="s">
        <v>8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2</v>
      </c>
      <c r="C81" s="37">
        <v>40941</v>
      </c>
      <c r="D81" s="195" t="s">
        <v>587</v>
      </c>
      <c r="E81" s="37">
        <v>40941</v>
      </c>
      <c r="F81" s="203" t="s">
        <v>458</v>
      </c>
      <c r="G81" s="624" t="s">
        <v>679</v>
      </c>
      <c r="H81" s="7" t="s">
        <v>538</v>
      </c>
      <c r="I81" s="277"/>
      <c r="J81" s="279"/>
      <c r="K81" s="749">
        <v>201600</v>
      </c>
      <c r="L81" s="39" t="s">
        <v>9</v>
      </c>
      <c r="M81" s="750" t="s">
        <v>8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2</v>
      </c>
      <c r="C82" s="37">
        <v>40941</v>
      </c>
      <c r="D82" s="195" t="s">
        <v>549</v>
      </c>
      <c r="E82" s="37">
        <v>40941</v>
      </c>
      <c r="F82" s="203" t="s">
        <v>532</v>
      </c>
      <c r="G82" s="624" t="s">
        <v>679</v>
      </c>
      <c r="H82" s="7" t="s">
        <v>538</v>
      </c>
      <c r="I82" s="277"/>
      <c r="J82" s="279"/>
      <c r="K82" s="749">
        <v>2217600</v>
      </c>
      <c r="L82" s="39" t="s">
        <v>8</v>
      </c>
      <c r="M82" s="750" t="s">
        <v>49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>x</v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2</v>
      </c>
      <c r="C83" s="37">
        <v>40942</v>
      </c>
      <c r="D83" s="195" t="s">
        <v>451</v>
      </c>
      <c r="E83" s="37">
        <v>40942</v>
      </c>
      <c r="F83" s="203" t="s">
        <v>532</v>
      </c>
      <c r="G83" s="624" t="s">
        <v>447</v>
      </c>
      <c r="H83" s="7"/>
      <c r="I83" s="277"/>
      <c r="J83" s="279"/>
      <c r="K83" s="38">
        <v>18600000</v>
      </c>
      <c r="L83" s="39" t="s">
        <v>8</v>
      </c>
      <c r="M83" s="750" t="s">
        <v>24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>x</v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2</v>
      </c>
      <c r="C84" s="37">
        <v>40945</v>
      </c>
      <c r="D84" s="195" t="s">
        <v>550</v>
      </c>
      <c r="E84" s="37">
        <v>40945</v>
      </c>
      <c r="F84" s="203" t="s">
        <v>680</v>
      </c>
      <c r="G84" s="624" t="s">
        <v>681</v>
      </c>
      <c r="H84" s="7" t="s">
        <v>630</v>
      </c>
      <c r="I84" s="277"/>
      <c r="J84" s="279"/>
      <c r="K84" s="749">
        <v>960000</v>
      </c>
      <c r="L84" s="39" t="s">
        <v>199</v>
      </c>
      <c r="M84" s="750" t="s">
        <v>49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>x</v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2</v>
      </c>
      <c r="C85" s="37">
        <v>40945</v>
      </c>
      <c r="D85" s="195" t="s">
        <v>550</v>
      </c>
      <c r="E85" s="37">
        <v>40945</v>
      </c>
      <c r="F85" s="203" t="s">
        <v>459</v>
      </c>
      <c r="G85" s="624" t="s">
        <v>681</v>
      </c>
      <c r="H85" s="7" t="s">
        <v>630</v>
      </c>
      <c r="I85" s="277"/>
      <c r="J85" s="279"/>
      <c r="K85" s="749">
        <v>96000</v>
      </c>
      <c r="L85" s="39" t="s">
        <v>9</v>
      </c>
      <c r="M85" s="750" t="s">
        <v>49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>x</v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2</v>
      </c>
      <c r="C86" s="37">
        <v>40949</v>
      </c>
      <c r="D86" s="195" t="s">
        <v>566</v>
      </c>
      <c r="E86" s="37">
        <v>40949</v>
      </c>
      <c r="F86" s="203" t="s">
        <v>553</v>
      </c>
      <c r="G86" s="624" t="s">
        <v>682</v>
      </c>
      <c r="H86" s="7" t="s">
        <v>664</v>
      </c>
      <c r="I86" s="278"/>
      <c r="J86" s="279"/>
      <c r="K86" s="749">
        <v>243200</v>
      </c>
      <c r="L86" s="39" t="s">
        <v>87</v>
      </c>
      <c r="M86" s="750" t="s">
        <v>49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>x</v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2</v>
      </c>
      <c r="C87" s="37">
        <v>40949</v>
      </c>
      <c r="D87" s="195" t="s">
        <v>566</v>
      </c>
      <c r="E87" s="37">
        <v>40949</v>
      </c>
      <c r="F87" s="203" t="s">
        <v>554</v>
      </c>
      <c r="G87" s="624" t="s">
        <v>682</v>
      </c>
      <c r="H87" s="7" t="s">
        <v>664</v>
      </c>
      <c r="I87" s="278"/>
      <c r="J87" s="279"/>
      <c r="K87" s="749">
        <v>24320</v>
      </c>
      <c r="L87" s="39" t="s">
        <v>9</v>
      </c>
      <c r="M87" s="750" t="s">
        <v>49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>x</v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4">IF(C88&lt;&gt;"",MONTH(C88),"")</f>
        <v>2</v>
      </c>
      <c r="C88" s="37">
        <v>40952</v>
      </c>
      <c r="D88" s="195" t="s">
        <v>567</v>
      </c>
      <c r="E88" s="37">
        <v>40952</v>
      </c>
      <c r="F88" s="203" t="s">
        <v>683</v>
      </c>
      <c r="G88" s="624" t="s">
        <v>684</v>
      </c>
      <c r="H88" s="7" t="s">
        <v>685</v>
      </c>
      <c r="I88" s="277"/>
      <c r="J88" s="279"/>
      <c r="K88" s="749">
        <v>332504</v>
      </c>
      <c r="L88" s="39" t="s">
        <v>87</v>
      </c>
      <c r="M88" s="750" t="s">
        <v>49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>x</v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4"/>
        <v>2</v>
      </c>
      <c r="C89" s="37">
        <v>40952</v>
      </c>
      <c r="D89" s="195" t="s">
        <v>567</v>
      </c>
      <c r="E89" s="37">
        <v>40952</v>
      </c>
      <c r="F89" s="203" t="s">
        <v>686</v>
      </c>
      <c r="G89" s="624" t="s">
        <v>684</v>
      </c>
      <c r="H89" s="7" t="s">
        <v>685</v>
      </c>
      <c r="I89" s="279"/>
      <c r="J89" s="279"/>
      <c r="K89" s="38">
        <v>33249</v>
      </c>
      <c r="L89" s="39" t="s">
        <v>9</v>
      </c>
      <c r="M89" s="750" t="s">
        <v>49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>x</v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4"/>
        <v>2</v>
      </c>
      <c r="C90" s="37">
        <v>40953</v>
      </c>
      <c r="D90" s="195" t="s">
        <v>568</v>
      </c>
      <c r="E90" s="37">
        <v>40953</v>
      </c>
      <c r="F90" s="40" t="s">
        <v>551</v>
      </c>
      <c r="G90" s="624" t="s">
        <v>687</v>
      </c>
      <c r="H90" s="47" t="s">
        <v>688</v>
      </c>
      <c r="I90" s="277"/>
      <c r="J90" s="277"/>
      <c r="K90" s="749">
        <v>2000000</v>
      </c>
      <c r="L90" s="39" t="s">
        <v>65</v>
      </c>
      <c r="M90" s="750" t="s">
        <v>49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>x</v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4"/>
        <v>2</v>
      </c>
      <c r="C91" s="37">
        <v>40953</v>
      </c>
      <c r="D91" s="195" t="s">
        <v>568</v>
      </c>
      <c r="E91" s="37">
        <v>40953</v>
      </c>
      <c r="F91" s="40" t="s">
        <v>552</v>
      </c>
      <c r="G91" s="624" t="s">
        <v>687</v>
      </c>
      <c r="H91" s="47"/>
      <c r="I91" s="277"/>
      <c r="J91" s="277"/>
      <c r="K91" s="38">
        <v>2000000</v>
      </c>
      <c r="L91" s="39" t="s">
        <v>87</v>
      </c>
      <c r="M91" s="750" t="s">
        <v>65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4"/>
        <v>2</v>
      </c>
      <c r="C92" s="195">
        <v>40953</v>
      </c>
      <c r="D92" s="195" t="s">
        <v>570</v>
      </c>
      <c r="E92" s="195">
        <v>40953</v>
      </c>
      <c r="F92" s="203" t="s">
        <v>680</v>
      </c>
      <c r="G92" s="751" t="s">
        <v>689</v>
      </c>
      <c r="H92" s="45" t="s">
        <v>630</v>
      </c>
      <c r="I92" s="277"/>
      <c r="J92" s="277"/>
      <c r="K92" s="749">
        <v>1020000</v>
      </c>
      <c r="L92" s="750" t="s">
        <v>199</v>
      </c>
      <c r="M92" s="750" t="s">
        <v>49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>x</v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4"/>
        <v>2</v>
      </c>
      <c r="C93" s="195">
        <v>40953</v>
      </c>
      <c r="D93" s="195" t="s">
        <v>570</v>
      </c>
      <c r="E93" s="195">
        <v>40953</v>
      </c>
      <c r="F93" s="203" t="s">
        <v>459</v>
      </c>
      <c r="G93" s="751" t="s">
        <v>689</v>
      </c>
      <c r="H93" s="7" t="s">
        <v>630</v>
      </c>
      <c r="I93" s="277"/>
      <c r="J93" s="277"/>
      <c r="K93" s="749">
        <v>102000</v>
      </c>
      <c r="L93" s="750" t="s">
        <v>9</v>
      </c>
      <c r="M93" s="750" t="s">
        <v>49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>x</v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4"/>
        <v>2</v>
      </c>
      <c r="C94" s="195">
        <v>40954</v>
      </c>
      <c r="D94" s="195" t="s">
        <v>450</v>
      </c>
      <c r="E94" s="195">
        <v>40954</v>
      </c>
      <c r="F94" s="203" t="s">
        <v>452</v>
      </c>
      <c r="G94" s="751" t="s">
        <v>447</v>
      </c>
      <c r="H94" s="7"/>
      <c r="I94" s="277"/>
      <c r="J94" s="277"/>
      <c r="K94" s="749">
        <v>14752000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>x</v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4"/>
        <v>2</v>
      </c>
      <c r="C95" s="195">
        <v>40954</v>
      </c>
      <c r="D95" s="195" t="s">
        <v>450</v>
      </c>
      <c r="E95" s="195">
        <v>40954</v>
      </c>
      <c r="F95" s="203" t="s">
        <v>452</v>
      </c>
      <c r="G95" s="751" t="s">
        <v>447</v>
      </c>
      <c r="H95" s="7"/>
      <c r="I95" s="277"/>
      <c r="J95" s="277"/>
      <c r="K95" s="749">
        <v>125296698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>x</v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4"/>
        <v>2</v>
      </c>
      <c r="C96" s="37">
        <v>40955</v>
      </c>
      <c r="D96" s="195" t="s">
        <v>450</v>
      </c>
      <c r="E96" s="37">
        <v>40955</v>
      </c>
      <c r="F96" s="203" t="s">
        <v>452</v>
      </c>
      <c r="G96" s="627" t="s">
        <v>447</v>
      </c>
      <c r="H96" s="7"/>
      <c r="I96" s="277"/>
      <c r="J96" s="279"/>
      <c r="K96" s="749">
        <v>28280340</v>
      </c>
      <c r="L96" s="39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>x</v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  <c r="AD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4"/>
        <v>2</v>
      </c>
      <c r="C97" s="37">
        <v>40955</v>
      </c>
      <c r="D97" s="195" t="s">
        <v>574</v>
      </c>
      <c r="E97" s="37">
        <v>40955</v>
      </c>
      <c r="F97" s="203" t="s">
        <v>627</v>
      </c>
      <c r="G97" s="627" t="s">
        <v>447</v>
      </c>
      <c r="H97" s="7" t="s">
        <v>529</v>
      </c>
      <c r="I97" s="277"/>
      <c r="J97" s="279"/>
      <c r="K97" s="749">
        <v>40000000</v>
      </c>
      <c r="L97" s="39" t="s">
        <v>49</v>
      </c>
      <c r="M97" s="750" t="s">
        <v>24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>x</v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>x</v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4"/>
        <v>2</v>
      </c>
      <c r="C98" s="37">
        <v>40955</v>
      </c>
      <c r="D98" s="195" t="s">
        <v>451</v>
      </c>
      <c r="E98" s="37">
        <v>40955</v>
      </c>
      <c r="F98" s="203" t="s">
        <v>532</v>
      </c>
      <c r="G98" s="627" t="s">
        <v>447</v>
      </c>
      <c r="H98" s="7" t="s">
        <v>564</v>
      </c>
      <c r="I98" s="277"/>
      <c r="J98" s="279"/>
      <c r="K98" s="749">
        <v>100000000</v>
      </c>
      <c r="L98" s="39" t="s">
        <v>8</v>
      </c>
      <c r="M98" s="750" t="s">
        <v>24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>x</v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4"/>
        <v>2</v>
      </c>
      <c r="C99" s="37">
        <v>40955</v>
      </c>
      <c r="D99" s="195" t="s">
        <v>451</v>
      </c>
      <c r="E99" s="37">
        <v>40955</v>
      </c>
      <c r="F99" s="203" t="s">
        <v>453</v>
      </c>
      <c r="G99" s="627" t="s">
        <v>447</v>
      </c>
      <c r="H99" s="7"/>
      <c r="I99" s="277"/>
      <c r="J99" s="279"/>
      <c r="K99" s="749">
        <v>10000</v>
      </c>
      <c r="L99" s="39" t="s">
        <v>87</v>
      </c>
      <c r="M99" s="750" t="s">
        <v>24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>x</v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4"/>
        <v>2</v>
      </c>
      <c r="C100" s="37">
        <v>40955</v>
      </c>
      <c r="D100" s="195" t="s">
        <v>588</v>
      </c>
      <c r="E100" s="37">
        <v>40955</v>
      </c>
      <c r="F100" s="203" t="s">
        <v>535</v>
      </c>
      <c r="G100" s="627" t="s">
        <v>690</v>
      </c>
      <c r="H100" s="7" t="s">
        <v>537</v>
      </c>
      <c r="I100" s="277">
        <v>100</v>
      </c>
      <c r="J100" s="279">
        <v>25000</v>
      </c>
      <c r="K100" s="749">
        <v>2500000</v>
      </c>
      <c r="L100" s="39" t="s">
        <v>193</v>
      </c>
      <c r="M100" s="750" t="s">
        <v>8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>x</v>
      </c>
      <c r="Z100" s="55" t="str">
        <f>IF(AND(OR(LEFT(TH!L100,2)="15",LEFT(TH!M100,2)="15"),TK!$E$7=TH!F100),"x","")</f>
        <v>x</v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4"/>
        <v>2</v>
      </c>
      <c r="C101" s="37">
        <v>40955</v>
      </c>
      <c r="D101" s="195" t="s">
        <v>588</v>
      </c>
      <c r="E101" s="37">
        <v>40955</v>
      </c>
      <c r="F101" s="203" t="s">
        <v>536</v>
      </c>
      <c r="G101" s="627" t="s">
        <v>690</v>
      </c>
      <c r="H101" s="7" t="s">
        <v>537</v>
      </c>
      <c r="I101" s="277"/>
      <c r="J101" s="279"/>
      <c r="K101" s="38">
        <v>250000</v>
      </c>
      <c r="L101" s="39" t="s">
        <v>9</v>
      </c>
      <c r="M101" s="750" t="s">
        <v>8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4"/>
        <v>2</v>
      </c>
      <c r="C102" s="37">
        <v>40955</v>
      </c>
      <c r="D102" s="195" t="s">
        <v>571</v>
      </c>
      <c r="E102" s="37">
        <v>40955</v>
      </c>
      <c r="F102" s="203" t="s">
        <v>532</v>
      </c>
      <c r="G102" s="627" t="s">
        <v>690</v>
      </c>
      <c r="H102" s="7" t="s">
        <v>537</v>
      </c>
      <c r="I102" s="278"/>
      <c r="J102" s="279"/>
      <c r="K102" s="749">
        <v>2750000</v>
      </c>
      <c r="L102" s="39" t="s">
        <v>8</v>
      </c>
      <c r="M102" s="750" t="s">
        <v>49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>x</v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4"/>
        <v>2</v>
      </c>
      <c r="C103" s="37">
        <v>40956</v>
      </c>
      <c r="D103" s="195" t="s">
        <v>450</v>
      </c>
      <c r="E103" s="37">
        <v>40956</v>
      </c>
      <c r="F103" s="203" t="s">
        <v>691</v>
      </c>
      <c r="G103" s="627" t="s">
        <v>447</v>
      </c>
      <c r="H103" s="7" t="s">
        <v>564</v>
      </c>
      <c r="I103" s="278"/>
      <c r="J103" s="279"/>
      <c r="K103" s="749">
        <v>100000000</v>
      </c>
      <c r="L103" s="39" t="s">
        <v>24</v>
      </c>
      <c r="M103" s="750" t="s">
        <v>8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>x</v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4"/>
        <v>2</v>
      </c>
      <c r="C104" s="37">
        <v>40956</v>
      </c>
      <c r="D104" s="195" t="s">
        <v>572</v>
      </c>
      <c r="E104" s="37">
        <v>40956</v>
      </c>
      <c r="F104" s="203" t="s">
        <v>665</v>
      </c>
      <c r="G104" s="627" t="s">
        <v>692</v>
      </c>
      <c r="H104" s="7" t="s">
        <v>667</v>
      </c>
      <c r="I104" s="277"/>
      <c r="J104" s="279"/>
      <c r="K104" s="749">
        <v>659271</v>
      </c>
      <c r="L104" s="39" t="s">
        <v>87</v>
      </c>
      <c r="M104" s="750" t="s">
        <v>49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>x</v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4"/>
        <v>2</v>
      </c>
      <c r="C105" s="37">
        <v>40956</v>
      </c>
      <c r="D105" s="195" t="s">
        <v>572</v>
      </c>
      <c r="E105" s="37">
        <v>40956</v>
      </c>
      <c r="F105" s="203" t="s">
        <v>668</v>
      </c>
      <c r="G105" s="627" t="s">
        <v>692</v>
      </c>
      <c r="H105" s="7" t="s">
        <v>667</v>
      </c>
      <c r="I105" s="279"/>
      <c r="J105" s="279"/>
      <c r="K105" s="38">
        <v>65928</v>
      </c>
      <c r="L105" s="39" t="s">
        <v>9</v>
      </c>
      <c r="M105" s="750" t="s">
        <v>49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>x</v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4"/>
        <v>2</v>
      </c>
      <c r="C106" s="37">
        <v>40960</v>
      </c>
      <c r="D106" s="195" t="s">
        <v>1186</v>
      </c>
      <c r="E106" s="37">
        <v>40960</v>
      </c>
      <c r="F106" s="40" t="s">
        <v>627</v>
      </c>
      <c r="G106" s="627" t="s">
        <v>447</v>
      </c>
      <c r="H106" s="7" t="s">
        <v>529</v>
      </c>
      <c r="I106" s="277"/>
      <c r="J106" s="279"/>
      <c r="K106" s="749">
        <v>28000000</v>
      </c>
      <c r="L106" s="39" t="s">
        <v>49</v>
      </c>
      <c r="M106" s="39" t="s">
        <v>24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>x</v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>x</v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4"/>
        <v>2</v>
      </c>
      <c r="C107" s="37">
        <v>40960</v>
      </c>
      <c r="D107" s="195" t="s">
        <v>451</v>
      </c>
      <c r="E107" s="37">
        <v>40960</v>
      </c>
      <c r="F107" s="40" t="s">
        <v>532</v>
      </c>
      <c r="G107" s="627" t="s">
        <v>447</v>
      </c>
      <c r="H107" s="7" t="s">
        <v>564</v>
      </c>
      <c r="I107" s="277"/>
      <c r="J107" s="279"/>
      <c r="K107" s="38">
        <v>100000000</v>
      </c>
      <c r="L107" s="39" t="s">
        <v>8</v>
      </c>
      <c r="M107" s="39" t="s">
        <v>24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>x</v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4"/>
        <v>2</v>
      </c>
      <c r="C108" s="37">
        <v>40960</v>
      </c>
      <c r="D108" s="195" t="s">
        <v>451</v>
      </c>
      <c r="E108" s="37">
        <v>40960</v>
      </c>
      <c r="F108" s="40" t="s">
        <v>453</v>
      </c>
      <c r="G108" s="624" t="s">
        <v>447</v>
      </c>
      <c r="H108" s="47"/>
      <c r="I108" s="277"/>
      <c r="J108" s="277"/>
      <c r="K108" s="38">
        <v>10000</v>
      </c>
      <c r="L108" s="39" t="s">
        <v>87</v>
      </c>
      <c r="M108" s="750" t="s">
        <v>24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>x</v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4"/>
        <v>2</v>
      </c>
      <c r="C109" s="37">
        <v>40963</v>
      </c>
      <c r="D109" s="195" t="s">
        <v>573</v>
      </c>
      <c r="E109" s="37">
        <v>40963</v>
      </c>
      <c r="F109" s="40" t="s">
        <v>460</v>
      </c>
      <c r="G109" s="624" t="s">
        <v>693</v>
      </c>
      <c r="H109" s="47" t="s">
        <v>694</v>
      </c>
      <c r="I109" s="277"/>
      <c r="J109" s="277"/>
      <c r="K109" s="38">
        <v>410000</v>
      </c>
      <c r="L109" s="39" t="s">
        <v>87</v>
      </c>
      <c r="M109" s="750" t="s">
        <v>49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>x</v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4"/>
        <v>2</v>
      </c>
      <c r="C110" s="37">
        <v>40964</v>
      </c>
      <c r="D110" s="195" t="s">
        <v>450</v>
      </c>
      <c r="E110" s="37">
        <v>40964</v>
      </c>
      <c r="F110" s="40" t="s">
        <v>530</v>
      </c>
      <c r="G110" s="624" t="s">
        <v>447</v>
      </c>
      <c r="H110" s="47"/>
      <c r="I110" s="277"/>
      <c r="J110" s="277"/>
      <c r="K110" s="38">
        <v>58419</v>
      </c>
      <c r="L110" s="39" t="s">
        <v>24</v>
      </c>
      <c r="M110" s="750" t="s">
        <v>41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>x</v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4"/>
        <v>2</v>
      </c>
      <c r="C111" s="37">
        <v>40966</v>
      </c>
      <c r="D111" s="195" t="s">
        <v>594</v>
      </c>
      <c r="E111" s="37">
        <v>40966</v>
      </c>
      <c r="F111" s="40" t="s">
        <v>646</v>
      </c>
      <c r="G111" s="624" t="s">
        <v>695</v>
      </c>
      <c r="H111" s="7" t="s">
        <v>564</v>
      </c>
      <c r="I111" s="277">
        <v>100</v>
      </c>
      <c r="J111" s="277">
        <v>13471</v>
      </c>
      <c r="K111" s="38">
        <v>1347100</v>
      </c>
      <c r="L111" s="39" t="s">
        <v>191</v>
      </c>
      <c r="M111" s="750" t="s">
        <v>8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/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 t="str">
        <f>IF(ISNA(VLOOKUP(F111,NXT!$C$18:$C$347,1,0)),x,"")</f>
        <v/>
      </c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4"/>
        <v>2</v>
      </c>
      <c r="C112" s="37">
        <v>40966</v>
      </c>
      <c r="D112" s="195" t="s">
        <v>594</v>
      </c>
      <c r="E112" s="37">
        <v>40966</v>
      </c>
      <c r="F112" s="40" t="s">
        <v>651</v>
      </c>
      <c r="G112" s="624" t="s">
        <v>695</v>
      </c>
      <c r="H112" s="7" t="s">
        <v>564</v>
      </c>
      <c r="I112" s="277">
        <v>190</v>
      </c>
      <c r="J112" s="277">
        <v>14984</v>
      </c>
      <c r="K112" s="38">
        <v>2846960</v>
      </c>
      <c r="L112" s="39" t="s">
        <v>191</v>
      </c>
      <c r="M112" s="750" t="s">
        <v>8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/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 t="str">
        <f>IF(ISNA(VLOOKUP(F112,NXT!$C$18:$C$347,1,0)),x,"")</f>
        <v/>
      </c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4"/>
        <v>2</v>
      </c>
      <c r="C113" s="195">
        <v>40966</v>
      </c>
      <c r="D113" s="195" t="s">
        <v>594</v>
      </c>
      <c r="E113" s="195">
        <v>40966</v>
      </c>
      <c r="F113" s="203" t="s">
        <v>653</v>
      </c>
      <c r="G113" s="751" t="s">
        <v>695</v>
      </c>
      <c r="H113" s="7" t="s">
        <v>564</v>
      </c>
      <c r="I113" s="277">
        <v>360</v>
      </c>
      <c r="J113" s="277">
        <v>20362</v>
      </c>
      <c r="K113" s="749">
        <v>7330320</v>
      </c>
      <c r="L113" s="750" t="s">
        <v>191</v>
      </c>
      <c r="M113" s="750" t="s">
        <v>8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/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 t="str">
        <f>IF(ISNA(VLOOKUP(F113,NXT!$C$18:$C$347,1,0)),x,"")</f>
        <v/>
      </c>
    </row>
    <row r="114" spans="1:30" s="740" customFormat="1" ht="15.75" customHeight="1">
      <c r="A114" s="219" t="str">
        <f>IF(B114&lt;&gt;"",IF(AND(B114&gt;=_TM1,B114&lt;=_TM2,OR(TH!L114="1111",TH!M114="1111")),TH!D114,""),"")</f>
        <v/>
      </c>
      <c r="B114" s="36">
        <f t="shared" si="4"/>
        <v>2</v>
      </c>
      <c r="C114" s="195">
        <v>40966</v>
      </c>
      <c r="D114" s="195" t="s">
        <v>594</v>
      </c>
      <c r="E114" s="195">
        <v>40966</v>
      </c>
      <c r="F114" s="203" t="s">
        <v>696</v>
      </c>
      <c r="G114" s="751" t="s">
        <v>695</v>
      </c>
      <c r="H114" s="7" t="s">
        <v>564</v>
      </c>
      <c r="I114" s="277">
        <v>100</v>
      </c>
      <c r="J114" s="277">
        <v>11508</v>
      </c>
      <c r="K114" s="749">
        <v>1150800</v>
      </c>
      <c r="L114" s="750" t="s">
        <v>191</v>
      </c>
      <c r="M114" s="750" t="s">
        <v>8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/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/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 t="str">
        <f>IF(ISNA(VLOOKUP(F114,NXT!$C$18:$C$347,1,0)),x,"")</f>
        <v/>
      </c>
      <c r="AD114" s="226"/>
    </row>
    <row r="115" spans="1:30" s="740" customFormat="1" ht="15.75" customHeight="1">
      <c r="A115" s="219" t="str">
        <f>IF(B115&lt;&gt;"",IF(AND(B115&gt;=_TM1,B115&lt;=_TM2,OR(TH!L115="1111",TH!M115="1111")),TH!D115,""),"")</f>
        <v/>
      </c>
      <c r="B115" s="36">
        <f t="shared" si="4"/>
        <v>2</v>
      </c>
      <c r="C115" s="37">
        <v>40966</v>
      </c>
      <c r="D115" s="195" t="s">
        <v>594</v>
      </c>
      <c r="E115" s="37">
        <v>40966</v>
      </c>
      <c r="F115" s="203" t="s">
        <v>697</v>
      </c>
      <c r="G115" s="627" t="s">
        <v>695</v>
      </c>
      <c r="H115" s="7" t="s">
        <v>564</v>
      </c>
      <c r="I115" s="277">
        <v>100</v>
      </c>
      <c r="J115" s="279">
        <v>15344</v>
      </c>
      <c r="K115" s="749">
        <v>1534400</v>
      </c>
      <c r="L115" s="39" t="s">
        <v>191</v>
      </c>
      <c r="M115" s="750" t="s">
        <v>8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/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/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 t="str">
        <f>IF(ISNA(VLOOKUP(F115,NXT!$C$18:$C$347,1,0)),x,"")</f>
        <v/>
      </c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4"/>
        <v>2</v>
      </c>
      <c r="C116" s="37">
        <v>40966</v>
      </c>
      <c r="D116" s="195" t="s">
        <v>594</v>
      </c>
      <c r="E116" s="37">
        <v>40966</v>
      </c>
      <c r="F116" s="203" t="s">
        <v>698</v>
      </c>
      <c r="G116" s="627" t="s">
        <v>695</v>
      </c>
      <c r="H116" s="7" t="s">
        <v>564</v>
      </c>
      <c r="I116" s="278">
        <v>250</v>
      </c>
      <c r="J116" s="279">
        <v>12053</v>
      </c>
      <c r="K116" s="749">
        <v>3013250</v>
      </c>
      <c r="L116" s="39" t="s">
        <v>191</v>
      </c>
      <c r="M116" s="750" t="s">
        <v>8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/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 t="str">
        <f>IF(ISNA(VLOOKUP(F116,NXT!$C$18:$C$347,1,0)),x,"")</f>
        <v/>
      </c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4"/>
        <v>2</v>
      </c>
      <c r="C117" s="37">
        <v>40966</v>
      </c>
      <c r="D117" s="195" t="s">
        <v>594</v>
      </c>
      <c r="E117" s="37">
        <v>40966</v>
      </c>
      <c r="F117" s="203" t="s">
        <v>699</v>
      </c>
      <c r="G117" s="627" t="s">
        <v>695</v>
      </c>
      <c r="H117" s="7" t="s">
        <v>564</v>
      </c>
      <c r="I117" s="277">
        <v>260</v>
      </c>
      <c r="J117" s="279">
        <v>32728</v>
      </c>
      <c r="K117" s="749">
        <v>8509280</v>
      </c>
      <c r="L117" s="39" t="s">
        <v>191</v>
      </c>
      <c r="M117" s="750" t="s">
        <v>8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/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 t="str">
        <f>IF(ISNA(VLOOKUP(F117,NXT!$C$18:$C$347,1,0)),x,"")</f>
        <v/>
      </c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4"/>
        <v>2</v>
      </c>
      <c r="C118" s="37">
        <v>40966</v>
      </c>
      <c r="D118" s="195" t="s">
        <v>594</v>
      </c>
      <c r="E118" s="37">
        <v>40966</v>
      </c>
      <c r="F118" s="203" t="s">
        <v>700</v>
      </c>
      <c r="G118" s="627" t="s">
        <v>695</v>
      </c>
      <c r="H118" s="7" t="s">
        <v>564</v>
      </c>
      <c r="I118" s="278">
        <v>100</v>
      </c>
      <c r="J118" s="279">
        <v>27630</v>
      </c>
      <c r="K118" s="38">
        <v>2763000</v>
      </c>
      <c r="L118" s="39" t="s">
        <v>191</v>
      </c>
      <c r="M118" s="750" t="s">
        <v>8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/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 t="str">
        <f>IF(ISNA(VLOOKUP(F118,NXT!$C$18:$C$347,1,0)),x,"")</f>
        <v/>
      </c>
    </row>
    <row r="119" spans="1:30" s="740" customFormat="1" ht="15.75" customHeight="1">
      <c r="A119" s="219" t="str">
        <f>IF(B119&lt;&gt;"",IF(AND(B119&gt;=_TM1,B119&lt;=_TM2,OR(TH!L119="1111",TH!M119="1111")),TH!D119,""),"")</f>
        <v/>
      </c>
      <c r="B119" s="36">
        <f t="shared" si="4"/>
        <v>2</v>
      </c>
      <c r="C119" s="37">
        <v>40966</v>
      </c>
      <c r="D119" s="195" t="s">
        <v>594</v>
      </c>
      <c r="E119" s="37">
        <v>40966</v>
      </c>
      <c r="F119" s="40" t="s">
        <v>650</v>
      </c>
      <c r="G119" s="624" t="s">
        <v>695</v>
      </c>
      <c r="H119" s="7" t="s">
        <v>564</v>
      </c>
      <c r="I119" s="277"/>
      <c r="J119" s="277"/>
      <c r="K119" s="38">
        <v>2849511</v>
      </c>
      <c r="L119" s="39" t="s">
        <v>9</v>
      </c>
      <c r="M119" s="750" t="s">
        <v>8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/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/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4"/>
        <v>2</v>
      </c>
      <c r="C120" s="37">
        <v>40966</v>
      </c>
      <c r="D120" s="195" t="s">
        <v>595</v>
      </c>
      <c r="E120" s="37">
        <v>40966</v>
      </c>
      <c r="F120" s="40" t="s">
        <v>701</v>
      </c>
      <c r="G120" s="624" t="s">
        <v>702</v>
      </c>
      <c r="H120" s="7" t="s">
        <v>564</v>
      </c>
      <c r="I120" s="277">
        <v>100</v>
      </c>
      <c r="J120" s="277">
        <v>14729</v>
      </c>
      <c r="K120" s="38">
        <v>1472900</v>
      </c>
      <c r="L120" s="39" t="s">
        <v>191</v>
      </c>
      <c r="M120" s="750" t="s">
        <v>8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/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 t="str">
        <f>IF(ISNA(VLOOKUP(F120,NXT!$C$18:$C$347,1,0)),x,"")</f>
        <v/>
      </c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4"/>
        <v>2</v>
      </c>
      <c r="C121" s="37">
        <v>40966</v>
      </c>
      <c r="D121" s="195" t="s">
        <v>595</v>
      </c>
      <c r="E121" s="37">
        <v>40966</v>
      </c>
      <c r="F121" s="40" t="s">
        <v>703</v>
      </c>
      <c r="G121" s="627" t="s">
        <v>702</v>
      </c>
      <c r="H121" s="7" t="s">
        <v>564</v>
      </c>
      <c r="I121" s="278">
        <v>250</v>
      </c>
      <c r="J121" s="279">
        <v>12735</v>
      </c>
      <c r="K121" s="38">
        <v>3183750</v>
      </c>
      <c r="L121" s="39" t="s">
        <v>191</v>
      </c>
      <c r="M121" s="750" t="s">
        <v>8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/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 t="str">
        <f>IF(ISNA(VLOOKUP(F121,NXT!$C$18:$C$347,1,0)),x,"")</f>
        <v/>
      </c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4"/>
        <v>2</v>
      </c>
      <c r="C122" s="37">
        <v>40966</v>
      </c>
      <c r="D122" s="195" t="s">
        <v>595</v>
      </c>
      <c r="E122" s="37">
        <v>40966</v>
      </c>
      <c r="F122" s="40" t="s">
        <v>561</v>
      </c>
      <c r="G122" s="627" t="s">
        <v>702</v>
      </c>
      <c r="H122" s="7" t="s">
        <v>564</v>
      </c>
      <c r="I122" s="278">
        <v>340</v>
      </c>
      <c r="J122" s="278">
        <v>30158</v>
      </c>
      <c r="K122" s="38">
        <v>10253720</v>
      </c>
      <c r="L122" s="39" t="s">
        <v>191</v>
      </c>
      <c r="M122" s="750" t="s">
        <v>8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/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 t="str">
        <f>IF(ISNA(VLOOKUP(F122,NXT!$C$18:$C$347,1,0)),x,"")</f>
        <v/>
      </c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4"/>
        <v>2</v>
      </c>
      <c r="C123" s="37">
        <v>40966</v>
      </c>
      <c r="D123" s="195" t="s">
        <v>595</v>
      </c>
      <c r="E123" s="37">
        <v>40966</v>
      </c>
      <c r="F123" s="40" t="s">
        <v>562</v>
      </c>
      <c r="G123" s="624" t="s">
        <v>702</v>
      </c>
      <c r="H123" s="7" t="s">
        <v>564</v>
      </c>
      <c r="I123" s="277">
        <v>500</v>
      </c>
      <c r="J123" s="277">
        <v>32878</v>
      </c>
      <c r="K123" s="38">
        <v>16439000</v>
      </c>
      <c r="L123" s="39" t="s">
        <v>191</v>
      </c>
      <c r="M123" s="750" t="s">
        <v>8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/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 t="str">
        <f>IF(ISNA(VLOOKUP(F123,NXT!$C$18:$C$347,1,0)),x,"")</f>
        <v/>
      </c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4"/>
        <v>2</v>
      </c>
      <c r="C124" s="37">
        <v>40966</v>
      </c>
      <c r="D124" s="195" t="s">
        <v>595</v>
      </c>
      <c r="E124" s="37">
        <v>40966</v>
      </c>
      <c r="F124" s="40" t="s">
        <v>704</v>
      </c>
      <c r="G124" s="624" t="s">
        <v>702</v>
      </c>
      <c r="H124" s="7" t="s">
        <v>564</v>
      </c>
      <c r="I124" s="277">
        <v>280</v>
      </c>
      <c r="J124" s="277">
        <v>18840</v>
      </c>
      <c r="K124" s="38">
        <v>5275200</v>
      </c>
      <c r="L124" s="39" t="s">
        <v>191</v>
      </c>
      <c r="M124" s="750" t="s">
        <v>8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/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 t="str">
        <f>IF(ISNA(VLOOKUP(F124,NXT!$C$18:$C$347,1,0)),x,"")</f>
        <v/>
      </c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4"/>
        <v>2</v>
      </c>
      <c r="C125" s="37">
        <v>40966</v>
      </c>
      <c r="D125" s="195" t="s">
        <v>595</v>
      </c>
      <c r="E125" s="37">
        <v>40966</v>
      </c>
      <c r="F125" s="40" t="s">
        <v>650</v>
      </c>
      <c r="G125" s="624" t="s">
        <v>702</v>
      </c>
      <c r="H125" s="7" t="s">
        <v>564</v>
      </c>
      <c r="I125" s="278"/>
      <c r="J125" s="277"/>
      <c r="K125" s="38">
        <v>3662457</v>
      </c>
      <c r="L125" s="39" t="s">
        <v>9</v>
      </c>
      <c r="M125" s="750" t="s">
        <v>8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/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4"/>
        <v>2</v>
      </c>
      <c r="C126" s="195">
        <v>40968</v>
      </c>
      <c r="D126" s="195" t="s">
        <v>596</v>
      </c>
      <c r="E126" s="195">
        <v>40968</v>
      </c>
      <c r="F126" s="203" t="s">
        <v>705</v>
      </c>
      <c r="G126" s="751" t="s">
        <v>706</v>
      </c>
      <c r="H126" s="45" t="s">
        <v>707</v>
      </c>
      <c r="I126" s="277">
        <v>200</v>
      </c>
      <c r="J126" s="277">
        <v>13372</v>
      </c>
      <c r="K126" s="749">
        <v>2674400</v>
      </c>
      <c r="L126" s="750" t="s">
        <v>191</v>
      </c>
      <c r="M126" s="750" t="s">
        <v>8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/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 t="str">
        <f>IF(ISNA(VLOOKUP(F126,NXT!$C$18:$C$347,1,0)),x,"")</f>
        <v/>
      </c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4"/>
        <v>2</v>
      </c>
      <c r="C127" s="37">
        <v>40968</v>
      </c>
      <c r="D127" s="195" t="s">
        <v>596</v>
      </c>
      <c r="E127" s="37">
        <v>40968</v>
      </c>
      <c r="F127" s="203" t="s">
        <v>708</v>
      </c>
      <c r="G127" s="627" t="s">
        <v>706</v>
      </c>
      <c r="H127" s="7" t="s">
        <v>707</v>
      </c>
      <c r="I127" s="277">
        <v>22</v>
      </c>
      <c r="J127" s="279">
        <v>17626</v>
      </c>
      <c r="K127" s="749">
        <v>387772</v>
      </c>
      <c r="L127" s="39" t="s">
        <v>191</v>
      </c>
      <c r="M127" s="750" t="s">
        <v>8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/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 t="str">
        <f>IF(ISNA(VLOOKUP(F127,NXT!$C$18:$C$347,1,0)),x,"")</f>
        <v/>
      </c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4"/>
        <v>2</v>
      </c>
      <c r="C128" s="37">
        <v>40968</v>
      </c>
      <c r="D128" s="195" t="s">
        <v>596</v>
      </c>
      <c r="E128" s="37">
        <v>40968</v>
      </c>
      <c r="F128" s="203" t="s">
        <v>709</v>
      </c>
      <c r="G128" s="627" t="s">
        <v>706</v>
      </c>
      <c r="H128" s="7" t="s">
        <v>707</v>
      </c>
      <c r="I128" s="277">
        <v>180</v>
      </c>
      <c r="J128" s="277">
        <v>23610</v>
      </c>
      <c r="K128" s="749">
        <v>4249800</v>
      </c>
      <c r="L128" s="39" t="s">
        <v>191</v>
      </c>
      <c r="M128" s="750" t="s">
        <v>8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/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C128" s="226" t="str">
        <f>IF(ISNA(VLOOKUP(F128,NXT!$C$18:$C$347,1,0)),x,"")</f>
        <v/>
      </c>
      <c r="AD128" s="740"/>
    </row>
    <row r="129" spans="1:30" s="226" customFormat="1" ht="15.75" customHeight="1">
      <c r="A129" s="219" t="str">
        <f>IF(B129&lt;&gt;"",IF(AND(B129&gt;=_TM1,B129&lt;=_TM2,OR(TH!L129="1111",TH!M129="1111")),TH!D129,""),"")</f>
        <v/>
      </c>
      <c r="B129" s="36">
        <f t="shared" si="4"/>
        <v>2</v>
      </c>
      <c r="C129" s="37">
        <v>40968</v>
      </c>
      <c r="D129" s="195" t="s">
        <v>596</v>
      </c>
      <c r="E129" s="37">
        <v>40968</v>
      </c>
      <c r="F129" s="203" t="s">
        <v>710</v>
      </c>
      <c r="G129" s="627" t="s">
        <v>706</v>
      </c>
      <c r="H129" s="7" t="s">
        <v>707</v>
      </c>
      <c r="I129" s="277">
        <v>29</v>
      </c>
      <c r="J129" s="277">
        <v>23827</v>
      </c>
      <c r="K129" s="749">
        <v>690983</v>
      </c>
      <c r="L129" s="39" t="s">
        <v>191</v>
      </c>
      <c r="M129" s="750" t="s">
        <v>8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/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/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C129" s="226" t="str">
        <f>IF(ISNA(VLOOKUP(F129,NXT!$C$18:$C$347,1,0)),x,"")</f>
        <v/>
      </c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4"/>
        <v>2</v>
      </c>
      <c r="C130" s="37">
        <v>40968</v>
      </c>
      <c r="D130" s="195" t="s">
        <v>596</v>
      </c>
      <c r="E130" s="37">
        <v>40968</v>
      </c>
      <c r="F130" s="203" t="s">
        <v>711</v>
      </c>
      <c r="G130" s="627" t="s">
        <v>706</v>
      </c>
      <c r="H130" s="7" t="s">
        <v>707</v>
      </c>
      <c r="I130" s="277">
        <v>230</v>
      </c>
      <c r="J130" s="277">
        <v>20213</v>
      </c>
      <c r="K130" s="749">
        <v>4648990</v>
      </c>
      <c r="L130" s="39" t="s">
        <v>191</v>
      </c>
      <c r="M130" s="750" t="s">
        <v>8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/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/>
      </c>
      <c r="AB130" s="740"/>
      <c r="AC130" s="226" t="str">
        <f>IF(ISNA(VLOOKUP(F130,NXT!$C$18:$C$347,1,0)),x,"")</f>
        <v/>
      </c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4"/>
        <v>2</v>
      </c>
      <c r="C131" s="37">
        <v>40968</v>
      </c>
      <c r="D131" s="195" t="s">
        <v>596</v>
      </c>
      <c r="E131" s="37">
        <v>40968</v>
      </c>
      <c r="F131" s="203" t="s">
        <v>712</v>
      </c>
      <c r="G131" s="627" t="s">
        <v>706</v>
      </c>
      <c r="H131" s="7" t="s">
        <v>707</v>
      </c>
      <c r="I131" s="277">
        <v>85</v>
      </c>
      <c r="J131" s="277">
        <v>22185</v>
      </c>
      <c r="K131" s="38">
        <v>1885725</v>
      </c>
      <c r="L131" s="39" t="s">
        <v>191</v>
      </c>
      <c r="M131" s="750" t="s">
        <v>8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/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/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/>
      </c>
      <c r="AC131" s="226" t="str">
        <f>IF(ISNA(VLOOKUP(F131,NXT!$C$18:$C$347,1,0)),x,"")</f>
        <v/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4"/>
        <v>2</v>
      </c>
      <c r="C132" s="37">
        <v>40968</v>
      </c>
      <c r="D132" s="195" t="s">
        <v>596</v>
      </c>
      <c r="E132" s="37">
        <v>40968</v>
      </c>
      <c r="F132" s="203" t="s">
        <v>713</v>
      </c>
      <c r="G132" s="627" t="s">
        <v>706</v>
      </c>
      <c r="H132" s="7" t="s">
        <v>707</v>
      </c>
      <c r="I132" s="277">
        <v>255</v>
      </c>
      <c r="J132" s="277">
        <v>19424</v>
      </c>
      <c r="K132" s="749">
        <v>4953120</v>
      </c>
      <c r="L132" s="39" t="s">
        <v>191</v>
      </c>
      <c r="M132" s="750" t="s">
        <v>8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/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/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/>
      </c>
      <c r="AB132" s="740"/>
      <c r="AC132" s="226" t="str">
        <f>IF(ISNA(VLOOKUP(F132,NXT!$C$18:$C$347,1,0)),x,"")</f>
        <v/>
      </c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4"/>
        <v>2</v>
      </c>
      <c r="C133" s="37">
        <v>40968</v>
      </c>
      <c r="D133" s="195" t="s">
        <v>597</v>
      </c>
      <c r="E133" s="37">
        <v>40968</v>
      </c>
      <c r="F133" s="203" t="s">
        <v>714</v>
      </c>
      <c r="G133" s="627" t="s">
        <v>706</v>
      </c>
      <c r="H133" s="7" t="s">
        <v>707</v>
      </c>
      <c r="I133" s="277">
        <v>35</v>
      </c>
      <c r="J133" s="277">
        <v>21199</v>
      </c>
      <c r="K133" s="749">
        <v>741965</v>
      </c>
      <c r="L133" s="39" t="s">
        <v>191</v>
      </c>
      <c r="M133" s="750" t="s">
        <v>8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/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/>
      </c>
      <c r="AB133" s="740"/>
      <c r="AC133" s="226" t="str">
        <f>IF(ISNA(VLOOKUP(F133,NXT!$C$18:$C$347,1,0)),x,"")</f>
        <v/>
      </c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4"/>
        <v>2</v>
      </c>
      <c r="C134" s="37">
        <v>40968</v>
      </c>
      <c r="D134" s="195" t="s">
        <v>597</v>
      </c>
      <c r="E134" s="37">
        <v>40968</v>
      </c>
      <c r="F134" s="203" t="s">
        <v>715</v>
      </c>
      <c r="G134" s="627" t="s">
        <v>706</v>
      </c>
      <c r="H134" s="7" t="s">
        <v>707</v>
      </c>
      <c r="I134" s="277">
        <v>30</v>
      </c>
      <c r="J134" s="277">
        <v>13641</v>
      </c>
      <c r="K134" s="749">
        <v>409230</v>
      </c>
      <c r="L134" s="39" t="s">
        <v>191</v>
      </c>
      <c r="M134" s="750" t="s">
        <v>8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/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/>
      </c>
      <c r="AB134" s="740"/>
      <c r="AC134" s="226" t="str">
        <f>IF(ISNA(VLOOKUP(F134,NXT!$C$18:$C$347,1,0)),x,"")</f>
        <v/>
      </c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4"/>
        <v>2</v>
      </c>
      <c r="C135" s="37">
        <v>40968</v>
      </c>
      <c r="D135" s="195" t="s">
        <v>597</v>
      </c>
      <c r="E135" s="37">
        <v>40968</v>
      </c>
      <c r="F135" s="203" t="s">
        <v>716</v>
      </c>
      <c r="G135" s="627" t="s">
        <v>706</v>
      </c>
      <c r="H135" s="7" t="s">
        <v>707</v>
      </c>
      <c r="I135" s="277">
        <v>50</v>
      </c>
      <c r="J135" s="277">
        <v>14161</v>
      </c>
      <c r="K135" s="749">
        <v>708050</v>
      </c>
      <c r="L135" s="39" t="s">
        <v>191</v>
      </c>
      <c r="M135" s="750" t="s">
        <v>8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/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/>
      </c>
      <c r="AB135" s="740"/>
      <c r="AC135" s="226" t="str">
        <f>IF(ISNA(VLOOKUP(F135,NXT!$C$18:$C$347,1,0)),x,"")</f>
        <v/>
      </c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4"/>
        <v>2</v>
      </c>
      <c r="C136" s="37">
        <v>40968</v>
      </c>
      <c r="D136" s="195" t="s">
        <v>597</v>
      </c>
      <c r="E136" s="37">
        <v>40968</v>
      </c>
      <c r="F136" s="203" t="s">
        <v>717</v>
      </c>
      <c r="G136" s="627" t="s">
        <v>706</v>
      </c>
      <c r="H136" s="7" t="s">
        <v>707</v>
      </c>
      <c r="I136" s="278">
        <v>70</v>
      </c>
      <c r="J136" s="278">
        <v>14875</v>
      </c>
      <c r="K136" s="749">
        <v>1041250</v>
      </c>
      <c r="L136" s="39" t="s">
        <v>191</v>
      </c>
      <c r="M136" s="750" t="s">
        <v>8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/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/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/>
      </c>
      <c r="AC136" s="226" t="str">
        <f>IF(ISNA(VLOOKUP(F136,NXT!$C$18:$C$347,1,0)),x,"")</f>
        <v/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4"/>
        <v>2</v>
      </c>
      <c r="C137" s="37">
        <v>40968</v>
      </c>
      <c r="D137" s="195" t="s">
        <v>597</v>
      </c>
      <c r="E137" s="37">
        <v>40968</v>
      </c>
      <c r="F137" s="203" t="s">
        <v>718</v>
      </c>
      <c r="G137" s="627" t="s">
        <v>706</v>
      </c>
      <c r="H137" s="7" t="s">
        <v>707</v>
      </c>
      <c r="I137" s="278">
        <v>30</v>
      </c>
      <c r="J137" s="278">
        <v>15385</v>
      </c>
      <c r="K137" s="749">
        <v>461550</v>
      </c>
      <c r="L137" s="39" t="s">
        <v>191</v>
      </c>
      <c r="M137" s="750" t="s">
        <v>8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/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/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/>
      </c>
      <c r="AB137" s="740"/>
      <c r="AC137" s="226" t="str">
        <f>IF(ISNA(VLOOKUP(F137,NXT!$C$18:$C$347,1,0)),x,"")</f>
        <v/>
      </c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4"/>
        <v>2</v>
      </c>
      <c r="C138" s="37">
        <v>40968</v>
      </c>
      <c r="D138" s="195" t="s">
        <v>597</v>
      </c>
      <c r="E138" s="37">
        <v>40968</v>
      </c>
      <c r="F138" s="203" t="s">
        <v>719</v>
      </c>
      <c r="G138" s="627" t="s">
        <v>706</v>
      </c>
      <c r="H138" s="7" t="s">
        <v>707</v>
      </c>
      <c r="I138" s="277">
        <v>40</v>
      </c>
      <c r="J138" s="277">
        <v>13372</v>
      </c>
      <c r="K138" s="749">
        <v>534880</v>
      </c>
      <c r="L138" s="39" t="s">
        <v>191</v>
      </c>
      <c r="M138" s="750" t="s">
        <v>8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/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/>
      </c>
      <c r="AC138" s="226" t="str">
        <f>IF(ISNA(VLOOKUP(F138,NXT!$C$18:$C$347,1,0)),x,"")</f>
        <v/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4"/>
        <v>2</v>
      </c>
      <c r="C139" s="37">
        <v>40968</v>
      </c>
      <c r="D139" s="195" t="s">
        <v>597</v>
      </c>
      <c r="E139" s="37">
        <v>40968</v>
      </c>
      <c r="F139" s="203" t="s">
        <v>720</v>
      </c>
      <c r="G139" s="627" t="s">
        <v>706</v>
      </c>
      <c r="H139" s="7" t="s">
        <v>707</v>
      </c>
      <c r="I139" s="277">
        <v>50</v>
      </c>
      <c r="J139" s="277">
        <v>16176</v>
      </c>
      <c r="K139" s="38">
        <v>808800</v>
      </c>
      <c r="L139" s="39" t="s">
        <v>191</v>
      </c>
      <c r="M139" s="750" t="s">
        <v>8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/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/>
      </c>
      <c r="AC139" s="226" t="str">
        <f>IF(ISNA(VLOOKUP(F139,NXT!$C$18:$C$347,1,0)),x,"")</f>
        <v/>
      </c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4"/>
        <v>2</v>
      </c>
      <c r="C140" s="195">
        <v>40968</v>
      </c>
      <c r="D140" s="195" t="s">
        <v>597</v>
      </c>
      <c r="E140" s="195">
        <v>40968</v>
      </c>
      <c r="F140" s="203" t="s">
        <v>721</v>
      </c>
      <c r="G140" s="751" t="s">
        <v>706</v>
      </c>
      <c r="H140" s="45" t="s">
        <v>707</v>
      </c>
      <c r="I140" s="277"/>
      <c r="J140" s="277"/>
      <c r="K140" s="749">
        <v>2419652</v>
      </c>
      <c r="L140" s="750" t="s">
        <v>9</v>
      </c>
      <c r="M140" s="750" t="s">
        <v>8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/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/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/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4"/>
        <v>3</v>
      </c>
      <c r="C141" s="37">
        <v>40970</v>
      </c>
      <c r="D141" s="195" t="s">
        <v>575</v>
      </c>
      <c r="E141" s="37">
        <v>40970</v>
      </c>
      <c r="F141" s="40" t="s">
        <v>722</v>
      </c>
      <c r="G141" s="624" t="s">
        <v>723</v>
      </c>
      <c r="H141" s="47" t="s">
        <v>724</v>
      </c>
      <c r="I141" s="277"/>
      <c r="J141" s="277"/>
      <c r="K141" s="38">
        <v>3800000</v>
      </c>
      <c r="L141" s="39" t="s">
        <v>87</v>
      </c>
      <c r="M141" s="750" t="s">
        <v>49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>x</v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/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/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4"/>
        <v>3</v>
      </c>
      <c r="C142" s="37">
        <v>40970</v>
      </c>
      <c r="D142" s="195" t="s">
        <v>575</v>
      </c>
      <c r="E142" s="37">
        <v>40970</v>
      </c>
      <c r="F142" s="40" t="s">
        <v>725</v>
      </c>
      <c r="G142" s="624" t="s">
        <v>723</v>
      </c>
      <c r="H142" s="47" t="s">
        <v>724</v>
      </c>
      <c r="I142" s="278"/>
      <c r="J142" s="277"/>
      <c r="K142" s="38">
        <v>380000</v>
      </c>
      <c r="L142" s="39" t="s">
        <v>9</v>
      </c>
      <c r="M142" s="750" t="s">
        <v>49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/>
      </c>
      <c r="Q142" s="55" t="str">
        <f>IF(AND($M142=$O$7,$B142&lt;'111'!$N$11),"x","")</f>
        <v>x</v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/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/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4"/>
        <v>3</v>
      </c>
      <c r="C143" s="37">
        <v>40973</v>
      </c>
      <c r="D143" s="195" t="s">
        <v>450</v>
      </c>
      <c r="E143" s="37">
        <v>40973</v>
      </c>
      <c r="F143" s="40" t="s">
        <v>452</v>
      </c>
      <c r="G143" s="624" t="s">
        <v>447</v>
      </c>
      <c r="H143" s="47"/>
      <c r="I143" s="278"/>
      <c r="J143" s="277"/>
      <c r="K143" s="38">
        <v>13247000</v>
      </c>
      <c r="L143" s="39" t="s">
        <v>24</v>
      </c>
      <c r="M143" s="750" t="s">
        <v>352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>x</v>
      </c>
      <c r="T143" s="55" t="str">
        <f>IF(ISERROR(FIND('112'!$M$9,G143,1)),"",IF((AND(RIGHT(G143,2)=RIGHT('112'!$M$9,2),B143&lt;'112'!$N$8,$M143='112'!$I$6)),"x",""))</f>
        <v/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/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4"/>
        <v>3</v>
      </c>
      <c r="C144" s="37">
        <v>40975</v>
      </c>
      <c r="D144" s="195" t="s">
        <v>450</v>
      </c>
      <c r="E144" s="37">
        <v>40975</v>
      </c>
      <c r="F144" s="40" t="s">
        <v>452</v>
      </c>
      <c r="G144" s="624" t="s">
        <v>447</v>
      </c>
      <c r="H144" s="47"/>
      <c r="I144" s="278"/>
      <c r="J144" s="277"/>
      <c r="K144" s="38">
        <v>77076011</v>
      </c>
      <c r="L144" s="39" t="s">
        <v>24</v>
      </c>
      <c r="M144" s="750" t="s">
        <v>352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>x</v>
      </c>
      <c r="T144" s="55" t="str">
        <f>IF(ISERROR(FIND('112'!$M$9,G144,1)),"",IF((AND(RIGHT(G144,2)=RIGHT('112'!$M$9,2),B144&lt;'112'!$N$8,$M144='112'!$I$6)),"x",""))</f>
        <v/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/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4"/>
        <v>3</v>
      </c>
      <c r="C145" s="37">
        <v>40977</v>
      </c>
      <c r="D145" s="195" t="s">
        <v>450</v>
      </c>
      <c r="E145" s="37">
        <v>40977</v>
      </c>
      <c r="F145" s="40" t="s">
        <v>452</v>
      </c>
      <c r="G145" s="624" t="s">
        <v>447</v>
      </c>
      <c r="H145" s="47"/>
      <c r="I145" s="278"/>
      <c r="J145" s="277"/>
      <c r="K145" s="38">
        <v>10191500</v>
      </c>
      <c r="L145" s="39" t="s">
        <v>24</v>
      </c>
      <c r="M145" s="750" t="s">
        <v>352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/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>x</v>
      </c>
      <c r="T145" s="55" t="str">
        <f>IF(ISERROR(FIND('112'!$M$9,G145,1)),"",IF((AND(RIGHT(G145,2)=RIGHT('112'!$M$9,2),B145&lt;'112'!$N$8,$M145='112'!$I$6)),"x",""))</f>
        <v/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/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4"/>
        <v>3</v>
      </c>
      <c r="C146" s="195">
        <v>40980</v>
      </c>
      <c r="D146" s="195" t="s">
        <v>1187</v>
      </c>
      <c r="E146" s="195">
        <v>40980</v>
      </c>
      <c r="F146" s="203" t="s">
        <v>627</v>
      </c>
      <c r="G146" s="751" t="s">
        <v>447</v>
      </c>
      <c r="H146" s="7" t="s">
        <v>529</v>
      </c>
      <c r="I146" s="277"/>
      <c r="J146" s="277"/>
      <c r="K146" s="749">
        <v>23390000</v>
      </c>
      <c r="L146" s="750" t="s">
        <v>49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>x</v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/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4"/>
        <v>3</v>
      </c>
      <c r="C147" s="195">
        <v>40980</v>
      </c>
      <c r="D147" s="195" t="s">
        <v>451</v>
      </c>
      <c r="E147" s="195">
        <v>40980</v>
      </c>
      <c r="F147" s="203" t="s">
        <v>532</v>
      </c>
      <c r="G147" s="751" t="s">
        <v>447</v>
      </c>
      <c r="H147" s="7"/>
      <c r="I147" s="277"/>
      <c r="J147" s="277"/>
      <c r="K147" s="749">
        <v>50000000</v>
      </c>
      <c r="L147" s="750" t="s">
        <v>8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/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/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>x</v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4"/>
        <v>3</v>
      </c>
      <c r="C148" s="195">
        <v>40980</v>
      </c>
      <c r="D148" s="195" t="s">
        <v>451</v>
      </c>
      <c r="E148" s="195">
        <v>40980</v>
      </c>
      <c r="F148" s="203" t="s">
        <v>532</v>
      </c>
      <c r="G148" s="751" t="s">
        <v>447</v>
      </c>
      <c r="H148" s="7"/>
      <c r="I148" s="277"/>
      <c r="J148" s="277"/>
      <c r="K148" s="749">
        <v>26616000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/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>x</v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4"/>
        <v>3</v>
      </c>
      <c r="C149" s="37">
        <v>40980</v>
      </c>
      <c r="D149" s="195" t="s">
        <v>451</v>
      </c>
      <c r="E149" s="37">
        <v>40980</v>
      </c>
      <c r="F149" s="40" t="s">
        <v>453</v>
      </c>
      <c r="G149" s="627" t="s">
        <v>447</v>
      </c>
      <c r="H149" s="7"/>
      <c r="I149" s="277"/>
      <c r="J149" s="277"/>
      <c r="K149" s="749">
        <v>10000</v>
      </c>
      <c r="L149" s="39" t="s">
        <v>87</v>
      </c>
      <c r="M149" s="39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/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/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>x</v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4"/>
        <v>3</v>
      </c>
      <c r="C150" s="37">
        <v>40980</v>
      </c>
      <c r="D150" s="195" t="s">
        <v>451</v>
      </c>
      <c r="E150" s="37">
        <v>40980</v>
      </c>
      <c r="F150" s="40" t="s">
        <v>453</v>
      </c>
      <c r="G150" s="627" t="s">
        <v>447</v>
      </c>
      <c r="H150" s="7"/>
      <c r="I150" s="277"/>
      <c r="J150" s="277"/>
      <c r="K150" s="38">
        <v>10000</v>
      </c>
      <c r="L150" s="39" t="s">
        <v>87</v>
      </c>
      <c r="M150" s="39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/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/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>x</v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4"/>
        <v>3</v>
      </c>
      <c r="C151" s="37">
        <v>40981</v>
      </c>
      <c r="D151" s="195" t="s">
        <v>576</v>
      </c>
      <c r="E151" s="37">
        <v>40981</v>
      </c>
      <c r="F151" s="40" t="s">
        <v>726</v>
      </c>
      <c r="G151" s="627" t="s">
        <v>727</v>
      </c>
      <c r="H151" s="45" t="s">
        <v>728</v>
      </c>
      <c r="I151" s="277"/>
      <c r="J151" s="277"/>
      <c r="K151" s="38">
        <v>3600000</v>
      </c>
      <c r="L151" s="39" t="s">
        <v>199</v>
      </c>
      <c r="M151" s="39" t="s">
        <v>49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>x</v>
      </c>
      <c r="R151" s="55" t="str">
        <f>IF(ISERROR(FIND('112'!$M$9,G151,1)),"",IF((AND(FIND('112'!$M$9,G151,1)&gt;=1,$B151&gt;='112'!$N$8,$B151&lt;='112'!$O$8,OR($L151='112'!$I$6,$M151='112'!$I$6))),"x",""))</f>
        <v/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5">IF(C152&lt;&gt;"",MONTH(C152),"")</f>
        <v>3</v>
      </c>
      <c r="C152" s="195">
        <v>40981</v>
      </c>
      <c r="D152" s="195" t="s">
        <v>576</v>
      </c>
      <c r="E152" s="195">
        <v>40981</v>
      </c>
      <c r="F152" s="203" t="s">
        <v>459</v>
      </c>
      <c r="G152" s="751" t="s">
        <v>727</v>
      </c>
      <c r="H152" s="45" t="s">
        <v>728</v>
      </c>
      <c r="I152" s="277"/>
      <c r="J152" s="277"/>
      <c r="K152" s="749">
        <v>360000</v>
      </c>
      <c r="L152" s="750" t="s">
        <v>9</v>
      </c>
      <c r="M152" s="750" t="s">
        <v>49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>x</v>
      </c>
      <c r="R152" s="55" t="str">
        <f>IF(ISERROR(FIND('112'!$M$9,G152,1)),"",IF((AND(FIND('112'!$M$9,G152,1)&gt;=1,$B152&gt;='112'!$N$8,$B152&lt;='112'!$O$8,OR($L152='112'!$I$6,$M152='112'!$I$6))),"x",""))</f>
        <v/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5"/>
        <v>3</v>
      </c>
      <c r="C153" s="195">
        <v>40981</v>
      </c>
      <c r="D153" s="195" t="s">
        <v>598</v>
      </c>
      <c r="E153" s="195">
        <v>40981</v>
      </c>
      <c r="F153" s="203" t="s">
        <v>729</v>
      </c>
      <c r="G153" s="751" t="s">
        <v>730</v>
      </c>
      <c r="H153" s="45" t="s">
        <v>707</v>
      </c>
      <c r="I153" s="277">
        <v>140</v>
      </c>
      <c r="J153" s="277">
        <v>16128</v>
      </c>
      <c r="K153" s="749">
        <v>2257920</v>
      </c>
      <c r="L153" s="750" t="s">
        <v>191</v>
      </c>
      <c r="M153" s="750" t="s">
        <v>8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/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/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C153" s="226" t="str">
        <f>IF(ISNA(VLOOKUP(F153,NXT!$C$18:$C$347,1,0)),x,"")</f>
        <v/>
      </c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5"/>
        <v>3</v>
      </c>
      <c r="C154" s="195">
        <v>40981</v>
      </c>
      <c r="D154" s="195" t="s">
        <v>598</v>
      </c>
      <c r="E154" s="195">
        <v>40981</v>
      </c>
      <c r="F154" s="203" t="s">
        <v>731</v>
      </c>
      <c r="G154" s="751" t="s">
        <v>730</v>
      </c>
      <c r="H154" s="7" t="s">
        <v>707</v>
      </c>
      <c r="I154" s="277">
        <v>244</v>
      </c>
      <c r="J154" s="277">
        <v>30836</v>
      </c>
      <c r="K154" s="749">
        <v>7523984</v>
      </c>
      <c r="L154" s="750" t="s">
        <v>191</v>
      </c>
      <c r="M154" s="750" t="s">
        <v>8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/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/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C154" s="226" t="str">
        <f>IF(ISNA(VLOOKUP(F154,NXT!$C$18:$C$347,1,0)),x,"")</f>
        <v/>
      </c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5"/>
        <v>3</v>
      </c>
      <c r="C155" s="195">
        <v>40981</v>
      </c>
      <c r="D155" s="195" t="s">
        <v>598</v>
      </c>
      <c r="E155" s="195">
        <v>40981</v>
      </c>
      <c r="F155" s="203" t="s">
        <v>732</v>
      </c>
      <c r="G155" s="751" t="s">
        <v>730</v>
      </c>
      <c r="H155" s="7" t="s">
        <v>707</v>
      </c>
      <c r="I155" s="277">
        <v>274</v>
      </c>
      <c r="J155" s="277">
        <v>26146</v>
      </c>
      <c r="K155" s="749">
        <v>7164004</v>
      </c>
      <c r="L155" s="750" t="s">
        <v>191</v>
      </c>
      <c r="M155" s="750" t="s">
        <v>8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/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/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C155" s="226" t="str">
        <f>IF(ISNA(VLOOKUP(F155,NXT!$C$18:$C$347,1,0)),x,"")</f>
        <v/>
      </c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5"/>
        <v>3</v>
      </c>
      <c r="C156" s="37">
        <v>40981</v>
      </c>
      <c r="D156" s="195" t="s">
        <v>598</v>
      </c>
      <c r="E156" s="37">
        <v>40981</v>
      </c>
      <c r="F156" s="203" t="s">
        <v>721</v>
      </c>
      <c r="G156" s="627" t="s">
        <v>730</v>
      </c>
      <c r="H156" s="7" t="s">
        <v>707</v>
      </c>
      <c r="I156" s="278"/>
      <c r="J156" s="278"/>
      <c r="K156" s="749">
        <v>1694590</v>
      </c>
      <c r="L156" s="39" t="s">
        <v>9</v>
      </c>
      <c r="M156" s="750" t="s">
        <v>8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/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/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5"/>
        <v>3</v>
      </c>
      <c r="C157" s="37">
        <v>40984</v>
      </c>
      <c r="D157" s="195" t="s">
        <v>450</v>
      </c>
      <c r="E157" s="37">
        <v>40984</v>
      </c>
      <c r="F157" s="203" t="s">
        <v>452</v>
      </c>
      <c r="G157" s="627" t="s">
        <v>447</v>
      </c>
      <c r="H157" s="7"/>
      <c r="I157" s="278"/>
      <c r="J157" s="278"/>
      <c r="K157" s="749">
        <v>23725405</v>
      </c>
      <c r="L157" s="39" t="s">
        <v>24</v>
      </c>
      <c r="M157" s="39" t="s">
        <v>352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/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/>
      </c>
      <c r="S157" s="55" t="str">
        <f>IF(ISERROR(FIND('112'!$M$9,G157,1)),"",IF((AND(LEFT(G157,2)=LEFT('112'!$M$9,2),B157&lt;'112'!$N$8,$L157='112'!$I$6)),"x",""))</f>
        <v>x</v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5"/>
        <v>3</v>
      </c>
      <c r="C158" s="37">
        <v>40987</v>
      </c>
      <c r="D158" s="195" t="s">
        <v>450</v>
      </c>
      <c r="E158" s="37">
        <v>40987</v>
      </c>
      <c r="F158" s="203" t="s">
        <v>452</v>
      </c>
      <c r="G158" s="627" t="s">
        <v>447</v>
      </c>
      <c r="H158" s="7"/>
      <c r="I158" s="278"/>
      <c r="J158" s="278"/>
      <c r="K158" s="749">
        <v>6325000</v>
      </c>
      <c r="L158" s="39" t="s">
        <v>24</v>
      </c>
      <c r="M158" s="39" t="s">
        <v>352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/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/>
      </c>
      <c r="S158" s="55" t="str">
        <f>IF(ISERROR(FIND('112'!$M$9,G158,1)),"",IF((AND(LEFT(G158,2)=LEFT('112'!$M$9,2),B158&lt;'112'!$N$8,$L158='112'!$I$6)),"x",""))</f>
        <v>x</v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5"/>
        <v>3</v>
      </c>
      <c r="C159" s="37">
        <v>40988</v>
      </c>
      <c r="D159" s="195" t="s">
        <v>599</v>
      </c>
      <c r="E159" s="37">
        <v>40988</v>
      </c>
      <c r="F159" s="203" t="s">
        <v>733</v>
      </c>
      <c r="G159" s="627" t="s">
        <v>734</v>
      </c>
      <c r="H159" s="7" t="s">
        <v>707</v>
      </c>
      <c r="I159" s="278">
        <v>33</v>
      </c>
      <c r="J159" s="278">
        <v>19316</v>
      </c>
      <c r="K159" s="749">
        <v>637428</v>
      </c>
      <c r="L159" s="39" t="s">
        <v>191</v>
      </c>
      <c r="M159" s="750" t="s">
        <v>8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/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C159" s="226" t="str">
        <f>IF(ISNA(VLOOKUP(F159,NXT!$C$18:$C$347,1,0)),x,"")</f>
        <v/>
      </c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5"/>
        <v>3</v>
      </c>
      <c r="C160" s="37">
        <v>40988</v>
      </c>
      <c r="D160" s="195" t="s">
        <v>599</v>
      </c>
      <c r="E160" s="37">
        <v>40988</v>
      </c>
      <c r="F160" s="203" t="s">
        <v>735</v>
      </c>
      <c r="G160" s="627" t="s">
        <v>734</v>
      </c>
      <c r="H160" s="7" t="s">
        <v>707</v>
      </c>
      <c r="I160" s="278">
        <v>503</v>
      </c>
      <c r="J160" s="278">
        <v>20511</v>
      </c>
      <c r="K160" s="749">
        <v>10317033</v>
      </c>
      <c r="L160" s="39" t="s">
        <v>191</v>
      </c>
      <c r="M160" s="750" t="s">
        <v>8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/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C160" s="226" t="str">
        <f>IF(ISNA(VLOOKUP(F160,NXT!$C$18:$C$347,1,0)),x,"")</f>
        <v/>
      </c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5"/>
        <v>3</v>
      </c>
      <c r="C161" s="37">
        <v>40988</v>
      </c>
      <c r="D161" s="195" t="s">
        <v>599</v>
      </c>
      <c r="E161" s="37">
        <v>40988</v>
      </c>
      <c r="F161" s="203" t="s">
        <v>736</v>
      </c>
      <c r="G161" s="627" t="s">
        <v>734</v>
      </c>
      <c r="H161" s="7" t="s">
        <v>707</v>
      </c>
      <c r="I161" s="278">
        <v>240</v>
      </c>
      <c r="J161" s="278">
        <v>15665</v>
      </c>
      <c r="K161" s="38">
        <v>3759600</v>
      </c>
      <c r="L161" s="39" t="s">
        <v>191</v>
      </c>
      <c r="M161" s="750" t="s">
        <v>8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/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C161" s="226" t="str">
        <f>IF(ISNA(VLOOKUP(F161,NXT!$C$18:$C$347,1,0)),x,"")</f>
        <v/>
      </c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5"/>
        <v>3</v>
      </c>
      <c r="C162" s="37">
        <v>40988</v>
      </c>
      <c r="D162" s="195" t="s">
        <v>599</v>
      </c>
      <c r="E162" s="37">
        <v>40988</v>
      </c>
      <c r="F162" s="40" t="s">
        <v>737</v>
      </c>
      <c r="G162" s="627" t="s">
        <v>734</v>
      </c>
      <c r="H162" s="7" t="s">
        <v>707</v>
      </c>
      <c r="I162" s="278">
        <v>20</v>
      </c>
      <c r="J162" s="278">
        <v>16346</v>
      </c>
      <c r="K162" s="749">
        <v>326920</v>
      </c>
      <c r="L162" s="39" t="s">
        <v>191</v>
      </c>
      <c r="M162" s="750" t="s">
        <v>8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/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C162" s="226" t="str">
        <f>IF(ISNA(VLOOKUP(F162,NXT!$C$18:$C$347,1,0)),x,"")</f>
        <v/>
      </c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5"/>
        <v>3</v>
      </c>
      <c r="C163" s="37">
        <v>40988</v>
      </c>
      <c r="D163" s="195" t="s">
        <v>599</v>
      </c>
      <c r="E163" s="37">
        <v>40988</v>
      </c>
      <c r="F163" s="40" t="s">
        <v>738</v>
      </c>
      <c r="G163" s="627" t="s">
        <v>734</v>
      </c>
      <c r="H163" s="7" t="s">
        <v>707</v>
      </c>
      <c r="I163" s="277">
        <v>150</v>
      </c>
      <c r="J163" s="277">
        <v>11554</v>
      </c>
      <c r="K163" s="38">
        <v>1733100</v>
      </c>
      <c r="L163" s="39" t="s">
        <v>191</v>
      </c>
      <c r="M163" s="750" t="s">
        <v>8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/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str">
        <f>IF(ISNA(VLOOKUP(F163,NXT!$C$18:$C$347,1,0)),x,"")</f>
        <v/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5"/>
        <v>3</v>
      </c>
      <c r="C164" s="37">
        <v>40988</v>
      </c>
      <c r="D164" s="195" t="s">
        <v>599</v>
      </c>
      <c r="E164" s="37">
        <v>40988</v>
      </c>
      <c r="F164" s="203" t="s">
        <v>739</v>
      </c>
      <c r="G164" s="627" t="s">
        <v>734</v>
      </c>
      <c r="H164" s="7" t="s">
        <v>707</v>
      </c>
      <c r="I164" s="277">
        <v>30</v>
      </c>
      <c r="J164" s="277">
        <v>14151</v>
      </c>
      <c r="K164" s="749">
        <v>424530</v>
      </c>
      <c r="L164" s="39" t="s">
        <v>191</v>
      </c>
      <c r="M164" s="750" t="s">
        <v>8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/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 t="str">
        <f>IF(ISNA(VLOOKUP(F164,NXT!$C$18:$C$347,1,0)),x,"")</f>
        <v/>
      </c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5"/>
        <v>3</v>
      </c>
      <c r="C165" s="37">
        <v>40988</v>
      </c>
      <c r="D165" s="195" t="s">
        <v>599</v>
      </c>
      <c r="E165" s="37">
        <v>40988</v>
      </c>
      <c r="F165" s="203" t="s">
        <v>740</v>
      </c>
      <c r="G165" s="627" t="s">
        <v>734</v>
      </c>
      <c r="H165" s="7" t="s">
        <v>707</v>
      </c>
      <c r="I165" s="277">
        <v>248</v>
      </c>
      <c r="J165" s="277">
        <v>22315</v>
      </c>
      <c r="K165" s="749">
        <v>5534120</v>
      </c>
      <c r="L165" s="39" t="s">
        <v>191</v>
      </c>
      <c r="M165" s="750" t="s">
        <v>8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/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 t="str">
        <f>IF(ISNA(VLOOKUP(F165,NXT!$C$18:$C$347,1,0)),x,"")</f>
        <v/>
      </c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5"/>
        <v>3</v>
      </c>
      <c r="C166" s="37">
        <v>40988</v>
      </c>
      <c r="D166" s="195" t="s">
        <v>600</v>
      </c>
      <c r="E166" s="37">
        <v>40988</v>
      </c>
      <c r="F166" s="203" t="s">
        <v>741</v>
      </c>
      <c r="G166" s="627" t="s">
        <v>734</v>
      </c>
      <c r="H166" s="7" t="s">
        <v>707</v>
      </c>
      <c r="I166" s="277">
        <v>350</v>
      </c>
      <c r="J166" s="277">
        <v>16660</v>
      </c>
      <c r="K166" s="749">
        <v>5831000</v>
      </c>
      <c r="L166" s="39" t="s">
        <v>191</v>
      </c>
      <c r="M166" s="750" t="s">
        <v>8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/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 t="str">
        <f>IF(ISNA(VLOOKUP(F166,NXT!$C$18:$C$347,1,0)),x,"")</f>
        <v/>
      </c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5"/>
        <v>3</v>
      </c>
      <c r="C167" s="37">
        <v>40988</v>
      </c>
      <c r="D167" s="195" t="s">
        <v>600</v>
      </c>
      <c r="E167" s="37">
        <v>40988</v>
      </c>
      <c r="F167" s="203" t="s">
        <v>742</v>
      </c>
      <c r="G167" s="627" t="s">
        <v>734</v>
      </c>
      <c r="H167" s="7" t="s">
        <v>707</v>
      </c>
      <c r="I167" s="277">
        <v>100</v>
      </c>
      <c r="J167" s="277">
        <v>29155</v>
      </c>
      <c r="K167" s="749">
        <v>2915500</v>
      </c>
      <c r="L167" s="39" t="s">
        <v>191</v>
      </c>
      <c r="M167" s="750" t="s">
        <v>8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/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 t="str">
        <f>IF(ISNA(VLOOKUP(F167,NXT!$C$18:$C$347,1,0)),x,"")</f>
        <v/>
      </c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5"/>
        <v>3</v>
      </c>
      <c r="C168" s="37">
        <v>40988</v>
      </c>
      <c r="D168" s="195" t="s">
        <v>600</v>
      </c>
      <c r="E168" s="37">
        <v>40988</v>
      </c>
      <c r="F168" s="203" t="s">
        <v>743</v>
      </c>
      <c r="G168" s="627" t="s">
        <v>734</v>
      </c>
      <c r="H168" s="7" t="s">
        <v>707</v>
      </c>
      <c r="I168" s="277">
        <v>100</v>
      </c>
      <c r="J168" s="277">
        <v>14166</v>
      </c>
      <c r="K168" s="749">
        <v>1416600</v>
      </c>
      <c r="L168" s="39" t="s">
        <v>191</v>
      </c>
      <c r="M168" s="750" t="s">
        <v>8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/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str">
        <f>IF(ISNA(VLOOKUP(F168,NXT!$C$18:$C$347,1,0)),x,"")</f>
        <v/>
      </c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5"/>
        <v>3</v>
      </c>
      <c r="C169" s="37">
        <v>40988</v>
      </c>
      <c r="D169" s="195" t="s">
        <v>600</v>
      </c>
      <c r="E169" s="37">
        <v>40988</v>
      </c>
      <c r="F169" s="203" t="s">
        <v>744</v>
      </c>
      <c r="G169" s="627" t="s">
        <v>734</v>
      </c>
      <c r="H169" s="7" t="s">
        <v>707</v>
      </c>
      <c r="I169" s="277">
        <v>80</v>
      </c>
      <c r="J169" s="277">
        <v>23748</v>
      </c>
      <c r="K169" s="749">
        <v>1899840</v>
      </c>
      <c r="L169" s="39" t="s">
        <v>191</v>
      </c>
      <c r="M169" s="750" t="s">
        <v>8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 t="str">
        <f>IF(ISNA(VLOOKUP(F169,NXT!$C$18:$C$347,1,0)),x,"")</f>
        <v/>
      </c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5"/>
        <v>3</v>
      </c>
      <c r="C170" s="37">
        <v>40988</v>
      </c>
      <c r="D170" s="195" t="s">
        <v>600</v>
      </c>
      <c r="E170" s="37">
        <v>40988</v>
      </c>
      <c r="F170" s="203" t="s">
        <v>745</v>
      </c>
      <c r="G170" s="627" t="s">
        <v>734</v>
      </c>
      <c r="H170" s="7" t="s">
        <v>707</v>
      </c>
      <c r="I170" s="277">
        <v>300</v>
      </c>
      <c r="J170" s="277">
        <v>17763</v>
      </c>
      <c r="K170" s="749">
        <v>5328900</v>
      </c>
      <c r="L170" s="39" t="s">
        <v>191</v>
      </c>
      <c r="M170" s="750" t="s">
        <v>8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/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C170" s="226" t="str">
        <f>IF(ISNA(VLOOKUP(F170,NXT!$C$18:$C$347,1,0)),x,"")</f>
        <v/>
      </c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5"/>
        <v>3</v>
      </c>
      <c r="C171" s="37">
        <v>40988</v>
      </c>
      <c r="D171" s="195" t="s">
        <v>600</v>
      </c>
      <c r="E171" s="37">
        <v>40988</v>
      </c>
      <c r="F171" s="203" t="s">
        <v>746</v>
      </c>
      <c r="G171" s="627" t="s">
        <v>734</v>
      </c>
      <c r="H171" s="7" t="s">
        <v>707</v>
      </c>
      <c r="I171" s="277">
        <v>50</v>
      </c>
      <c r="J171" s="277">
        <v>17443</v>
      </c>
      <c r="K171" s="38">
        <v>872150</v>
      </c>
      <c r="L171" s="39" t="s">
        <v>191</v>
      </c>
      <c r="M171" s="750" t="s">
        <v>8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/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C171" s="226" t="str">
        <f>IF(ISNA(VLOOKUP(F171,NXT!$C$18:$C$347,1,0)),x,"")</f>
        <v/>
      </c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5"/>
        <v>3</v>
      </c>
      <c r="C172" s="195">
        <v>40988</v>
      </c>
      <c r="D172" s="195" t="s">
        <v>600</v>
      </c>
      <c r="E172" s="195">
        <v>40988</v>
      </c>
      <c r="F172" s="203" t="s">
        <v>747</v>
      </c>
      <c r="G172" s="751" t="s">
        <v>734</v>
      </c>
      <c r="H172" s="45" t="s">
        <v>707</v>
      </c>
      <c r="I172" s="277">
        <v>50</v>
      </c>
      <c r="J172" s="277">
        <v>21130</v>
      </c>
      <c r="K172" s="749">
        <v>1056500</v>
      </c>
      <c r="L172" s="750" t="s">
        <v>191</v>
      </c>
      <c r="M172" s="750" t="s">
        <v>8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/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C172" s="226" t="str">
        <f>IF(ISNA(VLOOKUP(F172,NXT!$C$18:$C$347,1,0)),x,"")</f>
        <v/>
      </c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5"/>
        <v>3</v>
      </c>
      <c r="C173" s="37">
        <v>40988</v>
      </c>
      <c r="D173" s="195" t="s">
        <v>600</v>
      </c>
      <c r="E173" s="37">
        <v>40988</v>
      </c>
      <c r="F173" s="40" t="s">
        <v>748</v>
      </c>
      <c r="G173" s="627" t="s">
        <v>734</v>
      </c>
      <c r="H173" s="45" t="s">
        <v>707</v>
      </c>
      <c r="I173" s="277">
        <v>169</v>
      </c>
      <c r="J173" s="277">
        <v>19080</v>
      </c>
      <c r="K173" s="749">
        <v>3224520</v>
      </c>
      <c r="L173" s="39" t="s">
        <v>191</v>
      </c>
      <c r="M173" s="750" t="s">
        <v>8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/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C173" s="226" t="str">
        <f>IF(ISNA(VLOOKUP(F173,NXT!$C$18:$C$347,1,0)),x,"")</f>
        <v/>
      </c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5"/>
        <v>3</v>
      </c>
      <c r="C174" s="37">
        <v>40988</v>
      </c>
      <c r="D174" s="195" t="s">
        <v>601</v>
      </c>
      <c r="E174" s="37">
        <v>40988</v>
      </c>
      <c r="F174" s="40" t="s">
        <v>749</v>
      </c>
      <c r="G174" s="627" t="s">
        <v>734</v>
      </c>
      <c r="H174" s="45" t="s">
        <v>707</v>
      </c>
      <c r="I174" s="277">
        <v>195</v>
      </c>
      <c r="J174" s="277">
        <v>20842</v>
      </c>
      <c r="K174" s="749">
        <v>4064190</v>
      </c>
      <c r="L174" s="39" t="s">
        <v>191</v>
      </c>
      <c r="M174" s="750" t="s">
        <v>8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/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C174" s="226" t="str">
        <f>IF(ISNA(VLOOKUP(F174,NXT!$C$18:$C$347,1,0)),x,"")</f>
        <v/>
      </c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5"/>
        <v>3</v>
      </c>
      <c r="C175" s="37">
        <v>40988</v>
      </c>
      <c r="D175" s="195" t="s">
        <v>601</v>
      </c>
      <c r="E175" s="37">
        <v>40988</v>
      </c>
      <c r="F175" s="40" t="s">
        <v>750</v>
      </c>
      <c r="G175" s="627" t="s">
        <v>734</v>
      </c>
      <c r="H175" s="45" t="s">
        <v>707</v>
      </c>
      <c r="I175" s="277">
        <v>105</v>
      </c>
      <c r="J175" s="277">
        <v>17530</v>
      </c>
      <c r="K175" s="38">
        <v>1840650</v>
      </c>
      <c r="L175" s="39" t="s">
        <v>191</v>
      </c>
      <c r="M175" s="750" t="s">
        <v>8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/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C175" s="226" t="str">
        <f>IF(ISNA(VLOOKUP(F175,NXT!$C$18:$C$347,1,0)),x,"")</f>
        <v/>
      </c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5"/>
        <v>3</v>
      </c>
      <c r="C176" s="37">
        <v>40988</v>
      </c>
      <c r="D176" s="195" t="s">
        <v>601</v>
      </c>
      <c r="E176" s="37">
        <v>40988</v>
      </c>
      <c r="F176" s="40" t="s">
        <v>751</v>
      </c>
      <c r="G176" s="627" t="s">
        <v>734</v>
      </c>
      <c r="H176" s="45" t="s">
        <v>707</v>
      </c>
      <c r="I176" s="277">
        <v>98</v>
      </c>
      <c r="J176" s="277">
        <v>19086</v>
      </c>
      <c r="K176" s="749">
        <v>1870428</v>
      </c>
      <c r="L176" s="39" t="s">
        <v>191</v>
      </c>
      <c r="M176" s="750" t="s">
        <v>8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/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/>
      </c>
      <c r="AC176" s="226" t="str">
        <f>IF(ISNA(VLOOKUP(F176,NXT!$C$18:$C$347,1,0)),x,"")</f>
        <v/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5"/>
        <v>3</v>
      </c>
      <c r="C177" s="37">
        <v>40988</v>
      </c>
      <c r="D177" s="195" t="s">
        <v>601</v>
      </c>
      <c r="E177" s="37">
        <v>40988</v>
      </c>
      <c r="F177" s="40" t="s">
        <v>752</v>
      </c>
      <c r="G177" s="627" t="s">
        <v>734</v>
      </c>
      <c r="H177" s="45" t="s">
        <v>707</v>
      </c>
      <c r="I177" s="277">
        <v>1500</v>
      </c>
      <c r="J177" s="277">
        <v>571</v>
      </c>
      <c r="K177" s="38">
        <v>856500</v>
      </c>
      <c r="L177" s="39" t="s">
        <v>191</v>
      </c>
      <c r="M177" s="750" t="s">
        <v>8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/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/>
      </c>
      <c r="AB177" s="740"/>
      <c r="AC177" s="226" t="str">
        <f>IF(ISNA(VLOOKUP(F177,NXT!$C$18:$C$347,1,0)),x,"")</f>
        <v/>
      </c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5"/>
        <v>3</v>
      </c>
      <c r="C178" s="37">
        <v>40988</v>
      </c>
      <c r="D178" s="195" t="s">
        <v>601</v>
      </c>
      <c r="E178" s="37">
        <v>40988</v>
      </c>
      <c r="F178" s="203" t="s">
        <v>753</v>
      </c>
      <c r="G178" s="627" t="s">
        <v>734</v>
      </c>
      <c r="H178" s="7" t="s">
        <v>707</v>
      </c>
      <c r="I178" s="277">
        <v>55</v>
      </c>
      <c r="J178" s="277">
        <v>10819</v>
      </c>
      <c r="K178" s="749">
        <v>595045</v>
      </c>
      <c r="L178" s="39" t="s">
        <v>191</v>
      </c>
      <c r="M178" s="750" t="s">
        <v>8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/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/>
      </c>
      <c r="AB178" s="740"/>
      <c r="AC178" s="226" t="str">
        <f>IF(ISNA(VLOOKUP(F178,NXT!$C$18:$C$347,1,0)),x,"")</f>
        <v/>
      </c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5"/>
        <v>3</v>
      </c>
      <c r="C179" s="37">
        <v>40988</v>
      </c>
      <c r="D179" s="195" t="s">
        <v>601</v>
      </c>
      <c r="E179" s="37">
        <v>40988</v>
      </c>
      <c r="F179" s="203" t="s">
        <v>754</v>
      </c>
      <c r="G179" s="627" t="s">
        <v>734</v>
      </c>
      <c r="H179" s="7" t="s">
        <v>707</v>
      </c>
      <c r="I179" s="277">
        <v>102</v>
      </c>
      <c r="J179" s="277">
        <v>14573</v>
      </c>
      <c r="K179" s="749">
        <v>1486446</v>
      </c>
      <c r="L179" s="39" t="s">
        <v>191</v>
      </c>
      <c r="M179" s="750" t="s">
        <v>8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/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C179" s="226" t="str">
        <f>IF(ISNA(VLOOKUP(F179,NXT!$C$18:$C$347,1,0)),x,"")</f>
        <v/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5"/>
        <v>3</v>
      </c>
      <c r="C180" s="37">
        <v>40988</v>
      </c>
      <c r="D180" s="195" t="s">
        <v>601</v>
      </c>
      <c r="E180" s="37">
        <v>40988</v>
      </c>
      <c r="F180" s="203" t="s">
        <v>755</v>
      </c>
      <c r="G180" s="627" t="s">
        <v>734</v>
      </c>
      <c r="H180" s="7" t="s">
        <v>707</v>
      </c>
      <c r="I180" s="278">
        <v>195</v>
      </c>
      <c r="J180" s="278">
        <v>18008</v>
      </c>
      <c r="K180" s="749">
        <v>3511560</v>
      </c>
      <c r="L180" s="39" t="s">
        <v>191</v>
      </c>
      <c r="M180" s="750" t="s">
        <v>8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/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C180" s="226" t="str">
        <f>IF(ISNA(VLOOKUP(F180,NXT!$C$18:$C$347,1,0)),x,"")</f>
        <v/>
      </c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5"/>
        <v>3</v>
      </c>
      <c r="C181" s="37">
        <v>40988</v>
      </c>
      <c r="D181" s="195" t="s">
        <v>601</v>
      </c>
      <c r="E181" s="37">
        <v>40988</v>
      </c>
      <c r="F181" s="203" t="s">
        <v>756</v>
      </c>
      <c r="G181" s="627" t="s">
        <v>734</v>
      </c>
      <c r="H181" s="7" t="s">
        <v>707</v>
      </c>
      <c r="I181" s="277">
        <v>105</v>
      </c>
      <c r="J181" s="277">
        <v>23373</v>
      </c>
      <c r="K181" s="749">
        <v>2454165</v>
      </c>
      <c r="L181" s="39" t="s">
        <v>191</v>
      </c>
      <c r="M181" s="750" t="s">
        <v>8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/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C181" s="226" t="str">
        <f>IF(ISNA(VLOOKUP(F181,NXT!$C$18:$C$347,1,0)),x,"")</f>
        <v/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5"/>
        <v>3</v>
      </c>
      <c r="C182" s="37">
        <v>40988</v>
      </c>
      <c r="D182" s="195" t="s">
        <v>602</v>
      </c>
      <c r="E182" s="37">
        <v>40988</v>
      </c>
      <c r="F182" s="203" t="s">
        <v>757</v>
      </c>
      <c r="G182" s="627" t="s">
        <v>734</v>
      </c>
      <c r="H182" s="7" t="s">
        <v>707</v>
      </c>
      <c r="I182" s="278">
        <v>139</v>
      </c>
      <c r="J182" s="278">
        <v>28381</v>
      </c>
      <c r="K182" s="38">
        <v>3944959</v>
      </c>
      <c r="L182" s="39" t="s">
        <v>191</v>
      </c>
      <c r="M182" s="750" t="s">
        <v>8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/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 t="str">
        <f>IF(ISNA(VLOOKUP(F182,NXT!$C$18:$C$347,1,0)),x,"")</f>
        <v/>
      </c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5"/>
        <v>3</v>
      </c>
      <c r="C183" s="37">
        <v>40988</v>
      </c>
      <c r="D183" s="195" t="s">
        <v>602</v>
      </c>
      <c r="E183" s="37">
        <v>40988</v>
      </c>
      <c r="F183" s="40" t="s">
        <v>758</v>
      </c>
      <c r="G183" s="627" t="s">
        <v>734</v>
      </c>
      <c r="H183" s="47" t="s">
        <v>707</v>
      </c>
      <c r="I183" s="277">
        <v>78</v>
      </c>
      <c r="J183" s="277">
        <v>26573</v>
      </c>
      <c r="K183" s="38">
        <v>2072694</v>
      </c>
      <c r="L183" s="39" t="s">
        <v>191</v>
      </c>
      <c r="M183" s="750" t="s">
        <v>8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/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 t="str">
        <f>IF(ISNA(VLOOKUP(F183,NXT!$C$18:$C$347,1,0)),x,"")</f>
        <v/>
      </c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5"/>
        <v>3</v>
      </c>
      <c r="C184" s="37">
        <v>40988</v>
      </c>
      <c r="D184" s="195" t="s">
        <v>602</v>
      </c>
      <c r="E184" s="37">
        <v>40988</v>
      </c>
      <c r="F184" s="40" t="s">
        <v>759</v>
      </c>
      <c r="G184" s="627" t="s">
        <v>734</v>
      </c>
      <c r="H184" s="47" t="s">
        <v>707</v>
      </c>
      <c r="I184" s="277">
        <v>263</v>
      </c>
      <c r="J184" s="277">
        <v>11886</v>
      </c>
      <c r="K184" s="38">
        <v>3126018</v>
      </c>
      <c r="L184" s="39" t="s">
        <v>191</v>
      </c>
      <c r="M184" s="750" t="s">
        <v>8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/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 t="str">
        <f>IF(ISNA(VLOOKUP(F184,NXT!$C$18:$C$347,1,0)),x,"")</f>
        <v/>
      </c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5"/>
        <v>3</v>
      </c>
      <c r="C185" s="37">
        <v>40988</v>
      </c>
      <c r="D185" s="195" t="s">
        <v>602</v>
      </c>
      <c r="E185" s="37">
        <v>40988</v>
      </c>
      <c r="F185" s="203" t="s">
        <v>760</v>
      </c>
      <c r="G185" s="627" t="s">
        <v>734</v>
      </c>
      <c r="H185" s="7" t="s">
        <v>707</v>
      </c>
      <c r="I185" s="277">
        <v>225</v>
      </c>
      <c r="J185" s="277">
        <v>15974</v>
      </c>
      <c r="K185" s="749">
        <v>3594150</v>
      </c>
      <c r="L185" s="39" t="s">
        <v>191</v>
      </c>
      <c r="M185" s="750" t="s">
        <v>8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/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C185" s="226" t="str">
        <f>IF(ISNA(VLOOKUP(F185,NXT!$C$18:$C$347,1,0)),x,"")</f>
        <v/>
      </c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5"/>
        <v>3</v>
      </c>
      <c r="C186" s="37">
        <v>40988</v>
      </c>
      <c r="D186" s="195" t="s">
        <v>602</v>
      </c>
      <c r="E186" s="37">
        <v>40988</v>
      </c>
      <c r="F186" s="203" t="s">
        <v>705</v>
      </c>
      <c r="G186" s="627" t="s">
        <v>734</v>
      </c>
      <c r="H186" s="7" t="s">
        <v>707</v>
      </c>
      <c r="I186" s="277">
        <v>309</v>
      </c>
      <c r="J186" s="277">
        <v>13372</v>
      </c>
      <c r="K186" s="749">
        <v>4131948</v>
      </c>
      <c r="L186" s="39" t="s">
        <v>191</v>
      </c>
      <c r="M186" s="750" t="s">
        <v>8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/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C186" s="226" t="str">
        <f>IF(ISNA(VLOOKUP(F186,NXT!$C$18:$C$347,1,0)),x,"")</f>
        <v/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5"/>
        <v>3</v>
      </c>
      <c r="C187" s="37">
        <v>40988</v>
      </c>
      <c r="D187" s="195" t="s">
        <v>602</v>
      </c>
      <c r="E187" s="37">
        <v>40988</v>
      </c>
      <c r="F187" s="203" t="s">
        <v>761</v>
      </c>
      <c r="G187" s="627" t="s">
        <v>734</v>
      </c>
      <c r="H187" s="7" t="s">
        <v>707</v>
      </c>
      <c r="I187" s="277">
        <v>520</v>
      </c>
      <c r="J187" s="277">
        <v>21434</v>
      </c>
      <c r="K187" s="749">
        <v>11145680</v>
      </c>
      <c r="L187" s="39" t="s">
        <v>191</v>
      </c>
      <c r="M187" s="750" t="s">
        <v>8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/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C187" s="226" t="str">
        <f>IF(ISNA(VLOOKUP(F187,NXT!$C$18:$C$347,1,0)),x,"")</f>
        <v/>
      </c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5"/>
        <v>3</v>
      </c>
      <c r="C188" s="37">
        <v>40988</v>
      </c>
      <c r="D188" s="195" t="s">
        <v>602</v>
      </c>
      <c r="E188" s="37">
        <v>40988</v>
      </c>
      <c r="F188" s="203" t="s">
        <v>762</v>
      </c>
      <c r="G188" s="627" t="s">
        <v>734</v>
      </c>
      <c r="H188" s="7" t="s">
        <v>707</v>
      </c>
      <c r="I188" s="277">
        <v>336</v>
      </c>
      <c r="J188" s="277">
        <v>28538</v>
      </c>
      <c r="K188" s="749">
        <v>9588768</v>
      </c>
      <c r="L188" s="39" t="s">
        <v>191</v>
      </c>
      <c r="M188" s="750" t="s">
        <v>8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/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C188" s="226" t="str">
        <f>IF(ISNA(VLOOKUP(F188,NXT!$C$18:$C$347,1,0)),x,"")</f>
        <v/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5"/>
        <v>3</v>
      </c>
      <c r="C189" s="37">
        <v>40988</v>
      </c>
      <c r="D189" s="195" t="s">
        <v>602</v>
      </c>
      <c r="E189" s="37">
        <v>40988</v>
      </c>
      <c r="F189" s="203" t="s">
        <v>721</v>
      </c>
      <c r="G189" s="627" t="s">
        <v>734</v>
      </c>
      <c r="H189" s="7" t="s">
        <v>707</v>
      </c>
      <c r="I189" s="277"/>
      <c r="J189" s="277"/>
      <c r="K189" s="749">
        <v>9956094</v>
      </c>
      <c r="L189" s="39" t="s">
        <v>9</v>
      </c>
      <c r="M189" s="750" t="s">
        <v>8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/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5"/>
        <v>3</v>
      </c>
      <c r="C190" s="37">
        <v>40989</v>
      </c>
      <c r="D190" s="195" t="s">
        <v>1188</v>
      </c>
      <c r="E190" s="37">
        <v>40989</v>
      </c>
      <c r="F190" s="203" t="s">
        <v>627</v>
      </c>
      <c r="G190" s="627" t="s">
        <v>447</v>
      </c>
      <c r="H190" s="7" t="s">
        <v>529</v>
      </c>
      <c r="I190" s="277"/>
      <c r="J190" s="277"/>
      <c r="K190" s="749">
        <v>31000000</v>
      </c>
      <c r="L190" s="39" t="s">
        <v>49</v>
      </c>
      <c r="M190" s="39" t="s">
        <v>24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>x</v>
      </c>
      <c r="Q190" s="55" t="str">
        <f>IF(AND($M190=$O$7,$B190&lt;'111'!$N$11),"x","")</f>
        <v/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>x</v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5"/>
        <v>3</v>
      </c>
      <c r="C191" s="37">
        <v>40991</v>
      </c>
      <c r="D191" s="195" t="s">
        <v>603</v>
      </c>
      <c r="E191" s="37">
        <v>40991</v>
      </c>
      <c r="F191" s="203" t="s">
        <v>763</v>
      </c>
      <c r="G191" s="627" t="s">
        <v>764</v>
      </c>
      <c r="H191" s="7" t="s">
        <v>707</v>
      </c>
      <c r="I191" s="277">
        <v>436</v>
      </c>
      <c r="J191" s="277">
        <v>25225</v>
      </c>
      <c r="K191" s="38">
        <v>10998100</v>
      </c>
      <c r="L191" s="39" t="s">
        <v>191</v>
      </c>
      <c r="M191" s="750" t="s">
        <v>8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/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  <c r="AC191" s="226" t="str">
        <f>IF(ISNA(VLOOKUP(F191,NXT!$C$18:$C$347,1,0)),x,"")</f>
        <v/>
      </c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5"/>
        <v>3</v>
      </c>
      <c r="C192" s="37">
        <v>40991</v>
      </c>
      <c r="D192" s="195" t="s">
        <v>603</v>
      </c>
      <c r="E192" s="37">
        <v>40991</v>
      </c>
      <c r="F192" s="40" t="s">
        <v>762</v>
      </c>
      <c r="G192" s="627" t="s">
        <v>764</v>
      </c>
      <c r="H192" s="45" t="s">
        <v>707</v>
      </c>
      <c r="I192" s="277">
        <v>342</v>
      </c>
      <c r="J192" s="277">
        <v>28538</v>
      </c>
      <c r="K192" s="38">
        <v>9759996</v>
      </c>
      <c r="L192" s="39" t="s">
        <v>191</v>
      </c>
      <c r="M192" s="750" t="s">
        <v>8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/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 t="str">
        <f>IF(ISNA(VLOOKUP(F192,NXT!$C$18:$C$347,1,0)),x,"")</f>
        <v/>
      </c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5"/>
        <v>3</v>
      </c>
      <c r="C193" s="37">
        <v>40991</v>
      </c>
      <c r="D193" s="195" t="s">
        <v>603</v>
      </c>
      <c r="E193" s="37">
        <v>40991</v>
      </c>
      <c r="F193" s="40" t="s">
        <v>765</v>
      </c>
      <c r="G193" s="627" t="s">
        <v>764</v>
      </c>
      <c r="H193" s="45" t="s">
        <v>707</v>
      </c>
      <c r="I193" s="277">
        <v>130</v>
      </c>
      <c r="J193" s="277">
        <v>25480</v>
      </c>
      <c r="K193" s="38">
        <v>3312400</v>
      </c>
      <c r="L193" s="39" t="s">
        <v>191</v>
      </c>
      <c r="M193" s="750" t="s">
        <v>8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/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 t="str">
        <f>IF(ISNA(VLOOKUP(F193,NXT!$C$18:$C$347,1,0)),x,"")</f>
        <v/>
      </c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5"/>
        <v>3</v>
      </c>
      <c r="C194" s="37">
        <v>40991</v>
      </c>
      <c r="D194" s="195" t="s">
        <v>603</v>
      </c>
      <c r="E194" s="37">
        <v>40991</v>
      </c>
      <c r="F194" s="40" t="s">
        <v>721</v>
      </c>
      <c r="G194" s="627" t="s">
        <v>764</v>
      </c>
      <c r="H194" s="45" t="s">
        <v>707</v>
      </c>
      <c r="I194" s="278"/>
      <c r="J194" s="278"/>
      <c r="K194" s="749">
        <v>2407050</v>
      </c>
      <c r="L194" s="39" t="s">
        <v>9</v>
      </c>
      <c r="M194" s="750" t="s">
        <v>8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/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5"/>
        <v>3</v>
      </c>
      <c r="C195" s="37">
        <v>40992</v>
      </c>
      <c r="D195" s="195" t="s">
        <v>450</v>
      </c>
      <c r="E195" s="37">
        <v>40992</v>
      </c>
      <c r="F195" s="40" t="s">
        <v>530</v>
      </c>
      <c r="G195" s="627" t="s">
        <v>447</v>
      </c>
      <c r="H195" s="45"/>
      <c r="I195" s="277"/>
      <c r="J195" s="277"/>
      <c r="K195" s="749">
        <v>54015</v>
      </c>
      <c r="L195" s="39" t="s">
        <v>24</v>
      </c>
      <c r="M195" s="39" t="s">
        <v>41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/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>x</v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/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5"/>
        <v>3</v>
      </c>
      <c r="C196" s="37">
        <v>40992</v>
      </c>
      <c r="D196" s="195" t="s">
        <v>604</v>
      </c>
      <c r="E196" s="37">
        <v>40992</v>
      </c>
      <c r="F196" s="40" t="s">
        <v>766</v>
      </c>
      <c r="G196" s="627" t="s">
        <v>767</v>
      </c>
      <c r="H196" s="45" t="s">
        <v>707</v>
      </c>
      <c r="I196" s="277">
        <v>254</v>
      </c>
      <c r="J196" s="277">
        <v>16565</v>
      </c>
      <c r="K196" s="749">
        <v>4207510</v>
      </c>
      <c r="L196" s="39" t="s">
        <v>191</v>
      </c>
      <c r="M196" s="750" t="s">
        <v>8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/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/>
      </c>
      <c r="AC196" s="226" t="str">
        <f>IF(ISNA(VLOOKUP(F196,NXT!$C$18:$C$347,1,0)),x,"")</f>
        <v/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5"/>
        <v>3</v>
      </c>
      <c r="C197" s="37">
        <v>40992</v>
      </c>
      <c r="D197" s="195" t="s">
        <v>604</v>
      </c>
      <c r="E197" s="37">
        <v>40992</v>
      </c>
      <c r="F197" s="40" t="s">
        <v>768</v>
      </c>
      <c r="G197" s="627" t="s">
        <v>767</v>
      </c>
      <c r="H197" s="45" t="s">
        <v>707</v>
      </c>
      <c r="I197" s="277">
        <v>760</v>
      </c>
      <c r="J197" s="277">
        <v>12936</v>
      </c>
      <c r="K197" s="749">
        <v>9831360</v>
      </c>
      <c r="L197" s="39" t="s">
        <v>191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  <c r="AC197" s="226" t="str">
        <f>IF(ISNA(VLOOKUP(F197,NXT!$C$18:$C$347,1,0)),x,"")</f>
        <v/>
      </c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5"/>
        <v>3</v>
      </c>
      <c r="C198" s="37">
        <v>40992</v>
      </c>
      <c r="D198" s="195" t="s">
        <v>604</v>
      </c>
      <c r="E198" s="37">
        <v>40992</v>
      </c>
      <c r="F198" s="40" t="s">
        <v>769</v>
      </c>
      <c r="G198" s="627" t="s">
        <v>767</v>
      </c>
      <c r="H198" s="45" t="s">
        <v>707</v>
      </c>
      <c r="I198" s="279">
        <v>103</v>
      </c>
      <c r="J198" s="279">
        <v>8555</v>
      </c>
      <c r="K198" s="38">
        <v>881165</v>
      </c>
      <c r="L198" s="39" t="s">
        <v>191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str">
        <f>IF(ISNA(VLOOKUP(F198,NXT!$C$18:$C$347,1,0)),x,"")</f>
        <v/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5"/>
        <v>3</v>
      </c>
      <c r="C199" s="37">
        <v>40992</v>
      </c>
      <c r="D199" s="195" t="s">
        <v>604</v>
      </c>
      <c r="E199" s="37">
        <v>40992</v>
      </c>
      <c r="F199" s="330" t="s">
        <v>770</v>
      </c>
      <c r="G199" s="627" t="s">
        <v>767</v>
      </c>
      <c r="H199" s="7" t="s">
        <v>707</v>
      </c>
      <c r="I199" s="278">
        <v>118</v>
      </c>
      <c r="J199" s="278">
        <v>12260</v>
      </c>
      <c r="K199" s="749">
        <v>1446680</v>
      </c>
      <c r="L199" s="39" t="s">
        <v>191</v>
      </c>
      <c r="M199" s="750" t="s">
        <v>8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C199" s="226" t="str">
        <f>IF(ISNA(VLOOKUP(F199,NXT!$C$18:$C$347,1,0)),x,"")</f>
        <v/>
      </c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5"/>
        <v>3</v>
      </c>
      <c r="C200" s="37">
        <v>40992</v>
      </c>
      <c r="D200" s="195" t="s">
        <v>604</v>
      </c>
      <c r="E200" s="37">
        <v>40992</v>
      </c>
      <c r="F200" s="40" t="s">
        <v>721</v>
      </c>
      <c r="G200" s="627" t="s">
        <v>767</v>
      </c>
      <c r="H200" s="7" t="s">
        <v>707</v>
      </c>
      <c r="I200" s="277"/>
      <c r="J200" s="277"/>
      <c r="K200" s="38">
        <v>1636672</v>
      </c>
      <c r="L200" s="39" t="s">
        <v>9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/>
      </c>
      <c r="Z200" s="55" t="str">
        <f>IF(AND(OR(LEFT(TH!L200,2)="15",LEFT(TH!M200,2)="15"),TK!$E$7=TH!F200),"x","")</f>
        <v/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5"/>
        <v>3</v>
      </c>
      <c r="C201" s="195">
        <v>40994</v>
      </c>
      <c r="D201" s="195" t="s">
        <v>450</v>
      </c>
      <c r="E201" s="195">
        <v>40994</v>
      </c>
      <c r="F201" s="203" t="s">
        <v>452</v>
      </c>
      <c r="G201" s="751" t="s">
        <v>447</v>
      </c>
      <c r="H201" s="45"/>
      <c r="I201" s="277"/>
      <c r="J201" s="277"/>
      <c r="K201" s="749">
        <v>21875651</v>
      </c>
      <c r="L201" s="750" t="s">
        <v>24</v>
      </c>
      <c r="M201" s="750" t="s">
        <v>352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>x</v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 t="str">
        <f>IF(B202&lt;&gt;"",IF(AND(B202&gt;=_TM1,B202&lt;=_TM2,OR(TH!L202="1111",TH!M202="1111")),TH!D202,""),"")</f>
        <v/>
      </c>
      <c r="B202" s="36">
        <f t="shared" si="5"/>
        <v>3</v>
      </c>
      <c r="C202" s="195">
        <v>40996</v>
      </c>
      <c r="D202" s="195" t="s">
        <v>605</v>
      </c>
      <c r="E202" s="195">
        <v>40996</v>
      </c>
      <c r="F202" s="203" t="s">
        <v>771</v>
      </c>
      <c r="G202" s="751" t="s">
        <v>772</v>
      </c>
      <c r="H202" s="7" t="s">
        <v>773</v>
      </c>
      <c r="I202" s="277">
        <v>250</v>
      </c>
      <c r="J202" s="277">
        <v>24720</v>
      </c>
      <c r="K202" s="749">
        <v>6180000</v>
      </c>
      <c r="L202" s="750" t="s">
        <v>191</v>
      </c>
      <c r="M202" s="750" t="s">
        <v>8</v>
      </c>
      <c r="N202" s="55" t="str">
        <f>IF(AND('331-CT'!$E$7=TH!H202,OR(L202="331",M202="331")),"x","")</f>
        <v>x</v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/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 t="str">
        <f>IF(ISNA(VLOOKUP(F202,NXT!$C$18:$C$347,1,0)),x,"")</f>
        <v/>
      </c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5"/>
        <v>3</v>
      </c>
      <c r="C203" s="195">
        <v>40996</v>
      </c>
      <c r="D203" s="195" t="s">
        <v>605</v>
      </c>
      <c r="E203" s="195">
        <v>40996</v>
      </c>
      <c r="F203" s="203" t="s">
        <v>774</v>
      </c>
      <c r="G203" s="751" t="s">
        <v>772</v>
      </c>
      <c r="H203" s="7" t="s">
        <v>773</v>
      </c>
      <c r="I203" s="277">
        <v>100</v>
      </c>
      <c r="J203" s="277">
        <v>13370</v>
      </c>
      <c r="K203" s="749">
        <v>1337000</v>
      </c>
      <c r="L203" s="750" t="s">
        <v>191</v>
      </c>
      <c r="M203" s="750" t="s">
        <v>8</v>
      </c>
      <c r="N203" s="55" t="str">
        <f>IF(AND('331-CT'!$E$7=TH!H203,OR(L203="331",M203="331")),"x","")</f>
        <v>x</v>
      </c>
      <c r="O203" s="55" t="str">
        <f>IF(AND($B203&gt;='111'!$N$11,$B203&lt;='111'!$O$11,OR($L203=$O$7,$M203=$O$7)),"x","")</f>
        <v/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 t="str">
        <f>IF(ISNA(VLOOKUP(F203,NXT!$C$18:$C$347,1,0)),x,"")</f>
        <v/>
      </c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5"/>
        <v>3</v>
      </c>
      <c r="C204" s="37">
        <v>40996</v>
      </c>
      <c r="D204" s="195" t="s">
        <v>605</v>
      </c>
      <c r="E204" s="37">
        <v>40996</v>
      </c>
      <c r="F204" s="203" t="s">
        <v>775</v>
      </c>
      <c r="G204" s="627" t="s">
        <v>772</v>
      </c>
      <c r="H204" s="7" t="s">
        <v>773</v>
      </c>
      <c r="I204" s="277">
        <v>1000</v>
      </c>
      <c r="J204" s="277">
        <v>10130</v>
      </c>
      <c r="K204" s="749">
        <v>10130000</v>
      </c>
      <c r="L204" s="39" t="s">
        <v>191</v>
      </c>
      <c r="M204" s="750" t="s">
        <v>8</v>
      </c>
      <c r="N204" s="55" t="str">
        <f>IF(AND('331-CT'!$E$7=TH!H204,OR(L204="331",M204="331")),"x","")</f>
        <v>x</v>
      </c>
      <c r="O204" s="55" t="str">
        <f>IF(AND($B204&gt;='111'!$N$11,$B204&lt;='111'!$O$11,OR($L204=$O$7,$M204=$O$7)),"x","")</f>
        <v/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 t="str">
        <f>IF(ISNA(VLOOKUP(F204,NXT!$C$18:$C$347,1,0)),x,"")</f>
        <v/>
      </c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5"/>
        <v>3</v>
      </c>
      <c r="C205" s="37">
        <v>40996</v>
      </c>
      <c r="D205" s="195" t="s">
        <v>605</v>
      </c>
      <c r="E205" s="37">
        <v>40996</v>
      </c>
      <c r="F205" s="203" t="s">
        <v>776</v>
      </c>
      <c r="G205" s="627" t="s">
        <v>772</v>
      </c>
      <c r="H205" s="7" t="s">
        <v>773</v>
      </c>
      <c r="I205" s="277"/>
      <c r="J205" s="277"/>
      <c r="K205" s="38">
        <v>1764700</v>
      </c>
      <c r="L205" s="39" t="s">
        <v>9</v>
      </c>
      <c r="M205" s="750" t="s">
        <v>8</v>
      </c>
      <c r="N205" s="55" t="str">
        <f>IF(AND('331-CT'!$E$7=TH!H205,OR(L205="331",M205="331")),"x","")</f>
        <v>x</v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/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5"/>
        <v>3</v>
      </c>
      <c r="C206" s="37">
        <v>40996</v>
      </c>
      <c r="D206" s="195" t="s">
        <v>577</v>
      </c>
      <c r="E206" s="37">
        <v>40996</v>
      </c>
      <c r="F206" s="40" t="s">
        <v>777</v>
      </c>
      <c r="G206" s="627" t="s">
        <v>778</v>
      </c>
      <c r="H206" s="7" t="s">
        <v>728</v>
      </c>
      <c r="I206" s="278"/>
      <c r="J206" s="278"/>
      <c r="K206" s="38">
        <v>2280000</v>
      </c>
      <c r="L206" s="39" t="s">
        <v>199</v>
      </c>
      <c r="M206" s="39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5"/>
        <v>3</v>
      </c>
      <c r="C207" s="37">
        <v>40996</v>
      </c>
      <c r="D207" s="195" t="s">
        <v>577</v>
      </c>
      <c r="E207" s="37">
        <v>40996</v>
      </c>
      <c r="F207" s="40" t="s">
        <v>459</v>
      </c>
      <c r="G207" s="627" t="s">
        <v>778</v>
      </c>
      <c r="H207" s="45" t="s">
        <v>728</v>
      </c>
      <c r="I207" s="277"/>
      <c r="J207" s="277"/>
      <c r="K207" s="749">
        <v>228000</v>
      </c>
      <c r="L207" s="39" t="s">
        <v>9</v>
      </c>
      <c r="M207" s="39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/>
      </c>
      <c r="P207" s="55" t="str">
        <f>IF(AND($L207=$O$7,$B207&lt;'111'!$N$11),"x","")</f>
        <v/>
      </c>
      <c r="Q207" s="55" t="str">
        <f>IF(AND($M207=$O$7,$B207&lt;'111'!$N$11),"x","")</f>
        <v>x</v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5"/>
        <v>3</v>
      </c>
      <c r="C208" s="37">
        <v>40996</v>
      </c>
      <c r="D208" s="195" t="s">
        <v>578</v>
      </c>
      <c r="E208" s="37">
        <v>40996</v>
      </c>
      <c r="F208" s="40" t="s">
        <v>779</v>
      </c>
      <c r="G208" s="627" t="s">
        <v>780</v>
      </c>
      <c r="H208" s="45" t="s">
        <v>728</v>
      </c>
      <c r="I208" s="277"/>
      <c r="J208" s="277"/>
      <c r="K208" s="749">
        <v>7680000</v>
      </c>
      <c r="L208" s="39" t="s">
        <v>199</v>
      </c>
      <c r="M208" s="39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/>
      </c>
      <c r="P208" s="55" t="str">
        <f>IF(AND($L208=$O$7,$B208&lt;'111'!$N$11),"x","")</f>
        <v/>
      </c>
      <c r="Q208" s="55" t="str">
        <f>IF(AND($M208=$O$7,$B208&lt;'111'!$N$11),"x","")</f>
        <v>x</v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5"/>
        <v>3</v>
      </c>
      <c r="C209" s="37">
        <v>40996</v>
      </c>
      <c r="D209" s="195" t="s">
        <v>578</v>
      </c>
      <c r="E209" s="37">
        <v>40996</v>
      </c>
      <c r="F209" s="40" t="s">
        <v>459</v>
      </c>
      <c r="G209" s="627" t="s">
        <v>780</v>
      </c>
      <c r="H209" s="45" t="s">
        <v>728</v>
      </c>
      <c r="I209" s="277"/>
      <c r="J209" s="277"/>
      <c r="K209" s="749">
        <v>768000</v>
      </c>
      <c r="L209" s="39" t="s">
        <v>9</v>
      </c>
      <c r="M209" s="39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/>
      </c>
      <c r="P209" s="55" t="str">
        <f>IF(AND($L209=$O$7,$B209&lt;'111'!$N$11),"x","")</f>
        <v/>
      </c>
      <c r="Q209" s="55" t="str">
        <f>IF(AND($M209=$O$7,$B209&lt;'111'!$N$11),"x","")</f>
        <v>x</v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5"/>
        <v>3</v>
      </c>
      <c r="C210" s="37">
        <v>40998</v>
      </c>
      <c r="D210" s="195" t="s">
        <v>579</v>
      </c>
      <c r="E210" s="37">
        <v>40998</v>
      </c>
      <c r="F210" s="40" t="s">
        <v>781</v>
      </c>
      <c r="G210" s="627" t="s">
        <v>782</v>
      </c>
      <c r="H210" s="45" t="s">
        <v>728</v>
      </c>
      <c r="I210" s="277"/>
      <c r="J210" s="277"/>
      <c r="K210" s="38">
        <v>3150000</v>
      </c>
      <c r="L210" s="39" t="s">
        <v>199</v>
      </c>
      <c r="M210" s="39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/>
      </c>
      <c r="P210" s="55" t="str">
        <f>IF(AND($L210=$O$7,$B210&lt;'111'!$N$11),"x","")</f>
        <v/>
      </c>
      <c r="Q210" s="55" t="str">
        <f>IF(AND($M210=$O$7,$B210&lt;'111'!$N$11),"x","")</f>
        <v>x</v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5"/>
        <v>3</v>
      </c>
      <c r="C211" s="195">
        <v>40998</v>
      </c>
      <c r="D211" s="195" t="s">
        <v>579</v>
      </c>
      <c r="E211" s="195">
        <v>40998</v>
      </c>
      <c r="F211" s="203" t="s">
        <v>459</v>
      </c>
      <c r="G211" s="751" t="s">
        <v>782</v>
      </c>
      <c r="H211" s="45" t="s">
        <v>728</v>
      </c>
      <c r="I211" s="277"/>
      <c r="J211" s="277"/>
      <c r="K211" s="749">
        <v>315000</v>
      </c>
      <c r="L211" s="750" t="s">
        <v>9</v>
      </c>
      <c r="M211" s="750" t="s">
        <v>49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>x</v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5"/>
        <v>4</v>
      </c>
      <c r="C212" s="37">
        <v>41002</v>
      </c>
      <c r="D212" s="37" t="s">
        <v>450</v>
      </c>
      <c r="E212" s="37">
        <v>41002</v>
      </c>
      <c r="F212" s="40" t="s">
        <v>452</v>
      </c>
      <c r="G212" s="627" t="s">
        <v>447</v>
      </c>
      <c r="H212" s="45"/>
      <c r="I212" s="277"/>
      <c r="J212" s="277"/>
      <c r="K212" s="38">
        <v>37537610</v>
      </c>
      <c r="L212" s="39" t="s">
        <v>24</v>
      </c>
      <c r="M212" s="39" t="s">
        <v>352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>x</v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>x</v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5"/>
        <v>4</v>
      </c>
      <c r="C213" s="37">
        <v>41002</v>
      </c>
      <c r="D213" s="37" t="s">
        <v>451</v>
      </c>
      <c r="E213" s="37">
        <v>41002</v>
      </c>
      <c r="F213" s="40" t="s">
        <v>627</v>
      </c>
      <c r="G213" s="627" t="s">
        <v>447</v>
      </c>
      <c r="H213" s="45" t="s">
        <v>783</v>
      </c>
      <c r="I213" s="277"/>
      <c r="J213" s="277"/>
      <c r="K213" s="38">
        <v>21500000</v>
      </c>
      <c r="L213" s="39" t="s">
        <v>49</v>
      </c>
      <c r="M213" s="39" t="s">
        <v>24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/>
      </c>
      <c r="P213" s="55" t="str">
        <f>IF(AND($L213=$O$7,$B213&lt;'111'!$N$11),"x","")</f>
        <v>x</v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>x</v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>x</v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5"/>
        <v>4</v>
      </c>
      <c r="C214" s="37">
        <v>41004</v>
      </c>
      <c r="D214" s="195" t="s">
        <v>450</v>
      </c>
      <c r="E214" s="37">
        <v>41004</v>
      </c>
      <c r="F214" s="40" t="s">
        <v>452</v>
      </c>
      <c r="G214" s="627" t="s">
        <v>447</v>
      </c>
      <c r="H214" s="7"/>
      <c r="I214" s="277"/>
      <c r="J214" s="277"/>
      <c r="K214" s="749">
        <v>57158000</v>
      </c>
      <c r="L214" s="39" t="s">
        <v>24</v>
      </c>
      <c r="M214" s="39" t="s">
        <v>352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/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>x</v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>x</v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5"/>
        <v>4</v>
      </c>
      <c r="C215" s="37">
        <v>41004</v>
      </c>
      <c r="D215" s="195" t="s">
        <v>451</v>
      </c>
      <c r="E215" s="37">
        <v>41004</v>
      </c>
      <c r="F215" s="40" t="s">
        <v>627</v>
      </c>
      <c r="G215" s="627" t="s">
        <v>447</v>
      </c>
      <c r="H215" s="7" t="s">
        <v>783</v>
      </c>
      <c r="I215" s="277"/>
      <c r="J215" s="277"/>
      <c r="K215" s="38">
        <v>37500000</v>
      </c>
      <c r="L215" s="39" t="s">
        <v>49</v>
      </c>
      <c r="M215" s="39" t="s">
        <v>24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/>
      </c>
      <c r="P215" s="55" t="str">
        <f>IF(AND($L215=$O$7,$B215&lt;'111'!$N$11),"x","")</f>
        <v>x</v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>x</v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>x</v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6">IF(C216&lt;&gt;"",MONTH(C216),"")</f>
        <v>4</v>
      </c>
      <c r="C216" s="195">
        <v>41008</v>
      </c>
      <c r="D216" s="195" t="s">
        <v>450</v>
      </c>
      <c r="E216" s="195">
        <v>41008</v>
      </c>
      <c r="F216" s="203" t="s">
        <v>452</v>
      </c>
      <c r="G216" s="751" t="s">
        <v>447</v>
      </c>
      <c r="H216" s="207"/>
      <c r="I216" s="277"/>
      <c r="J216" s="277"/>
      <c r="K216" s="749">
        <v>9004336</v>
      </c>
      <c r="L216" s="750" t="s">
        <v>24</v>
      </c>
      <c r="M216" s="750" t="s">
        <v>352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/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>x</v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>x</v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6"/>
        <v>4</v>
      </c>
      <c r="C217" s="195">
        <v>41009</v>
      </c>
      <c r="D217" s="195" t="s">
        <v>451</v>
      </c>
      <c r="E217" s="195">
        <v>41009</v>
      </c>
      <c r="F217" s="203" t="s">
        <v>627</v>
      </c>
      <c r="G217" s="751" t="s">
        <v>447</v>
      </c>
      <c r="H217" s="7" t="s">
        <v>783</v>
      </c>
      <c r="I217" s="277"/>
      <c r="J217" s="277"/>
      <c r="K217" s="749">
        <v>30000000</v>
      </c>
      <c r="L217" s="750" t="s">
        <v>49</v>
      </c>
      <c r="M217" s="750" t="s">
        <v>24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/>
      </c>
      <c r="P217" s="55" t="str">
        <f>IF(AND($L217=$O$7,$B217&lt;'111'!$N$11),"x","")</f>
        <v>x</v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>x</v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>x</v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>
        <f t="shared" si="6"/>
        <v>4</v>
      </c>
      <c r="C218" s="195">
        <v>41009</v>
      </c>
      <c r="D218" s="195" t="s">
        <v>451</v>
      </c>
      <c r="E218" s="195">
        <v>41009</v>
      </c>
      <c r="F218" s="203" t="s">
        <v>532</v>
      </c>
      <c r="G218" s="751" t="s">
        <v>447</v>
      </c>
      <c r="H218" s="7"/>
      <c r="I218" s="277"/>
      <c r="J218" s="277"/>
      <c r="K218" s="749">
        <v>35000000</v>
      </c>
      <c r="L218" s="750" t="s">
        <v>8</v>
      </c>
      <c r="M218" s="750" t="s">
        <v>24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>x</v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>x</v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>
        <f t="shared" si="6"/>
        <v>4</v>
      </c>
      <c r="C219" s="195">
        <v>41009</v>
      </c>
      <c r="D219" s="195" t="s">
        <v>451</v>
      </c>
      <c r="E219" s="195">
        <v>41009</v>
      </c>
      <c r="F219" s="203" t="s">
        <v>453</v>
      </c>
      <c r="G219" s="751" t="s">
        <v>447</v>
      </c>
      <c r="H219" s="7"/>
      <c r="I219" s="277"/>
      <c r="J219" s="277"/>
      <c r="K219" s="749">
        <v>10000</v>
      </c>
      <c r="L219" s="750" t="s">
        <v>87</v>
      </c>
      <c r="M219" s="750" t="s">
        <v>24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>x</v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>x</v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>
        <f t="shared" si="6"/>
        <v>4</v>
      </c>
      <c r="C220" s="37">
        <v>41010</v>
      </c>
      <c r="D220" s="195" t="s">
        <v>450</v>
      </c>
      <c r="E220" s="37">
        <v>41010</v>
      </c>
      <c r="F220" s="203" t="s">
        <v>452</v>
      </c>
      <c r="G220" s="627" t="s">
        <v>447</v>
      </c>
      <c r="H220" s="7"/>
      <c r="I220" s="277"/>
      <c r="J220" s="277"/>
      <c r="K220" s="749">
        <v>25000000</v>
      </c>
      <c r="L220" s="39" t="s">
        <v>24</v>
      </c>
      <c r="M220" s="39" t="s">
        <v>352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>x</v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>x</v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>
        <f t="shared" si="6"/>
        <v>4</v>
      </c>
      <c r="C221" s="37">
        <v>41012</v>
      </c>
      <c r="D221" s="195" t="s">
        <v>451</v>
      </c>
      <c r="E221" s="37">
        <v>41012</v>
      </c>
      <c r="F221" s="203" t="s">
        <v>532</v>
      </c>
      <c r="G221" s="627" t="s">
        <v>447</v>
      </c>
      <c r="H221" s="7"/>
      <c r="I221" s="277"/>
      <c r="J221" s="277"/>
      <c r="K221" s="749">
        <v>26477546</v>
      </c>
      <c r="L221" s="39" t="s">
        <v>8</v>
      </c>
      <c r="M221" s="39" t="s">
        <v>24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>x</v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>x</v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>
        <f t="shared" si="6"/>
        <v>4</v>
      </c>
      <c r="C222" s="37">
        <v>41012</v>
      </c>
      <c r="D222" s="195" t="s">
        <v>451</v>
      </c>
      <c r="E222" s="37">
        <v>41012</v>
      </c>
      <c r="F222" s="203" t="s">
        <v>453</v>
      </c>
      <c r="G222" s="627" t="s">
        <v>447</v>
      </c>
      <c r="H222" s="7"/>
      <c r="I222" s="277"/>
      <c r="J222" s="277"/>
      <c r="K222" s="749">
        <v>20000</v>
      </c>
      <c r="L222" s="39" t="s">
        <v>87</v>
      </c>
      <c r="M222" s="39" t="s">
        <v>24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>x</v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>x</v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>
        <f t="shared" si="6"/>
        <v>4</v>
      </c>
      <c r="C223" s="37">
        <v>41012</v>
      </c>
      <c r="D223" s="195" t="s">
        <v>590</v>
      </c>
      <c r="E223" s="37">
        <v>41012</v>
      </c>
      <c r="F223" s="203" t="s">
        <v>645</v>
      </c>
      <c r="G223" s="627" t="s">
        <v>784</v>
      </c>
      <c r="H223" s="7" t="s">
        <v>564</v>
      </c>
      <c r="I223" s="277">
        <v>260</v>
      </c>
      <c r="J223" s="277">
        <v>11939</v>
      </c>
      <c r="K223" s="749">
        <v>3104140</v>
      </c>
      <c r="L223" s="39" t="s">
        <v>191</v>
      </c>
      <c r="M223" s="750" t="s">
        <v>8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>x</v>
      </c>
      <c r="AB223" s="226"/>
      <c r="AC223" s="226" t="str">
        <f>IF(ISNA(VLOOKUP(F223,NXT!$C$18:$C$347,1,0)),x,"")</f>
        <v/>
      </c>
      <c r="AD223" s="226"/>
    </row>
    <row r="224" spans="1:30" s="740" customFormat="1" ht="15.75" customHeight="1">
      <c r="A224" s="219" t="str">
        <f>IF(B224&lt;&gt;"",IF(AND(B224&gt;=_TM1,B224&lt;=_TM2,OR(TH!L224="1111",TH!M224="1111")),TH!D224,""),"")</f>
        <v/>
      </c>
      <c r="B224" s="36">
        <f t="shared" si="6"/>
        <v>4</v>
      </c>
      <c r="C224" s="37">
        <v>41012</v>
      </c>
      <c r="D224" s="195" t="s">
        <v>590</v>
      </c>
      <c r="E224" s="37">
        <v>41012</v>
      </c>
      <c r="F224" s="203" t="s">
        <v>646</v>
      </c>
      <c r="G224" s="627" t="s">
        <v>784</v>
      </c>
      <c r="H224" s="7" t="s">
        <v>564</v>
      </c>
      <c r="I224" s="277">
        <v>340</v>
      </c>
      <c r="J224" s="277">
        <v>13176</v>
      </c>
      <c r="K224" s="749">
        <v>4479840</v>
      </c>
      <c r="L224" s="39" t="s">
        <v>191</v>
      </c>
      <c r="M224" s="750" t="s">
        <v>8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>x</v>
      </c>
      <c r="AC224" s="226" t="str">
        <f>IF(ISNA(VLOOKUP(F224,NXT!$C$18:$C$347,1,0)),x,"")</f>
        <v/>
      </c>
      <c r="AD224" s="226"/>
    </row>
    <row r="225" spans="1:30" s="740" customFormat="1" ht="15.75" customHeight="1">
      <c r="A225" s="219" t="str">
        <f>IF(B225&lt;&gt;"",IF(AND(B225&gt;=_TM1,B225&lt;=_TM2,OR(TH!L225="1111",TH!M225="1111")),TH!D225,""),"")</f>
        <v/>
      </c>
      <c r="B225" s="36">
        <f t="shared" si="6"/>
        <v>4</v>
      </c>
      <c r="C225" s="37">
        <v>41012</v>
      </c>
      <c r="D225" s="195" t="s">
        <v>590</v>
      </c>
      <c r="E225" s="37">
        <v>41012</v>
      </c>
      <c r="F225" s="203" t="s">
        <v>651</v>
      </c>
      <c r="G225" s="627" t="s">
        <v>784</v>
      </c>
      <c r="H225" s="7" t="s">
        <v>564</v>
      </c>
      <c r="I225" s="277">
        <v>520</v>
      </c>
      <c r="J225" s="277">
        <v>14656</v>
      </c>
      <c r="K225" s="749">
        <v>7621120</v>
      </c>
      <c r="L225" s="39" t="s">
        <v>191</v>
      </c>
      <c r="M225" s="750" t="s">
        <v>8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>x</v>
      </c>
      <c r="AB225" s="226"/>
      <c r="AC225" s="226" t="str">
        <f>IF(ISNA(VLOOKUP(F225,NXT!$C$18:$C$347,1,0)),x,"")</f>
        <v/>
      </c>
      <c r="AD225" s="226"/>
    </row>
    <row r="226" spans="1:30" s="740" customFormat="1" ht="15.75" customHeight="1">
      <c r="A226" s="219" t="str">
        <f>IF(B226&lt;&gt;"",IF(AND(B226&gt;=_TM1,B226&lt;=_TM2,OR(TH!L226="1111",TH!M226="1111")),TH!D226,""),"")</f>
        <v/>
      </c>
      <c r="B226" s="36">
        <f t="shared" si="6"/>
        <v>4</v>
      </c>
      <c r="C226" s="37">
        <v>41012</v>
      </c>
      <c r="D226" s="195" t="s">
        <v>590</v>
      </c>
      <c r="E226" s="37">
        <v>41012</v>
      </c>
      <c r="F226" s="203" t="s">
        <v>785</v>
      </c>
      <c r="G226" s="627" t="s">
        <v>784</v>
      </c>
      <c r="H226" s="7" t="s">
        <v>564</v>
      </c>
      <c r="I226" s="277">
        <v>100</v>
      </c>
      <c r="J226" s="277">
        <v>15159</v>
      </c>
      <c r="K226" s="38">
        <v>1515900</v>
      </c>
      <c r="L226" s="39" t="s">
        <v>191</v>
      </c>
      <c r="M226" s="750" t="s">
        <v>8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>x</v>
      </c>
      <c r="AC226" s="226" t="str">
        <f>IF(ISNA(VLOOKUP(F226,NXT!$C$18:$C$347,1,0)),x,"")</f>
        <v/>
      </c>
      <c r="AD226" s="226"/>
    </row>
    <row r="227" spans="1:30" s="740" customFormat="1" ht="15.75" customHeight="1">
      <c r="A227" s="219" t="str">
        <f>IF(B227&lt;&gt;"",IF(AND(B227&gt;=_TM1,B227&lt;=_TM2,OR(TH!L227="1111",TH!M227="1111")),TH!D227,""),"")</f>
        <v/>
      </c>
      <c r="B227" s="36">
        <f t="shared" si="6"/>
        <v>4</v>
      </c>
      <c r="C227" s="195">
        <v>41012</v>
      </c>
      <c r="D227" s="195" t="s">
        <v>590</v>
      </c>
      <c r="E227" s="195">
        <v>41012</v>
      </c>
      <c r="F227" s="203" t="s">
        <v>653</v>
      </c>
      <c r="G227" s="751" t="s">
        <v>784</v>
      </c>
      <c r="H227" s="7" t="s">
        <v>564</v>
      </c>
      <c r="I227" s="277">
        <v>1256</v>
      </c>
      <c r="J227" s="277">
        <v>19916</v>
      </c>
      <c r="K227" s="749">
        <v>25014496</v>
      </c>
      <c r="L227" s="750" t="s">
        <v>191</v>
      </c>
      <c r="M227" s="750" t="s">
        <v>8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>x</v>
      </c>
      <c r="AC227" s="226" t="str">
        <f>IF(ISNA(VLOOKUP(F227,NXT!$C$18:$C$347,1,0)),x,"")</f>
        <v/>
      </c>
    </row>
    <row r="228" spans="1:30" s="740" customFormat="1" ht="15.75" customHeight="1">
      <c r="A228" s="219" t="str">
        <f>IF(B228&lt;&gt;"",IF(AND(B228&gt;=_TM1,B228&lt;=_TM2,OR(TH!L228="1111",TH!M228="1111")),TH!D228,""),"")</f>
        <v/>
      </c>
      <c r="B228" s="36">
        <f t="shared" si="6"/>
        <v>4</v>
      </c>
      <c r="C228" s="195">
        <v>41012</v>
      </c>
      <c r="D228" s="195" t="s">
        <v>590</v>
      </c>
      <c r="E228" s="195">
        <v>41012</v>
      </c>
      <c r="F228" s="203" t="s">
        <v>654</v>
      </c>
      <c r="G228" s="751" t="s">
        <v>784</v>
      </c>
      <c r="H228" s="7" t="s">
        <v>564</v>
      </c>
      <c r="I228" s="277">
        <v>160</v>
      </c>
      <c r="J228" s="277">
        <v>21859</v>
      </c>
      <c r="K228" s="749">
        <v>3497440</v>
      </c>
      <c r="L228" s="750" t="s">
        <v>191</v>
      </c>
      <c r="M228" s="750" t="s">
        <v>8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>x</v>
      </c>
      <c r="AC228" s="226" t="str">
        <f>IF(ISNA(VLOOKUP(F228,NXT!$C$18:$C$347,1,0)),x,"")</f>
        <v/>
      </c>
    </row>
    <row r="229" spans="1:30" s="740" customFormat="1" ht="15.75" customHeight="1">
      <c r="A229" s="219" t="str">
        <f>IF(B229&lt;&gt;"",IF(AND(B229&gt;=_TM1,B229&lt;=_TM2,OR(TH!L229="1111",TH!M229="1111")),TH!D229,""),"")</f>
        <v/>
      </c>
      <c r="B229" s="36">
        <f t="shared" si="6"/>
        <v>4</v>
      </c>
      <c r="C229" s="195">
        <v>41012</v>
      </c>
      <c r="D229" s="195" t="s">
        <v>590</v>
      </c>
      <c r="E229" s="195">
        <v>41012</v>
      </c>
      <c r="F229" s="203" t="s">
        <v>655</v>
      </c>
      <c r="G229" s="751" t="s">
        <v>784</v>
      </c>
      <c r="H229" s="7" t="s">
        <v>564</v>
      </c>
      <c r="I229" s="277">
        <v>1200</v>
      </c>
      <c r="J229" s="277">
        <v>19139</v>
      </c>
      <c r="K229" s="749">
        <v>22966800</v>
      </c>
      <c r="L229" s="750" t="s">
        <v>191</v>
      </c>
      <c r="M229" s="750" t="s">
        <v>8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>x</v>
      </c>
      <c r="AC229" s="226" t="str">
        <f>IF(ISNA(VLOOKUP(F229,NXT!$C$18:$C$347,1,0)),x,"")</f>
        <v/>
      </c>
    </row>
    <row r="230" spans="1:30" s="740" customFormat="1" ht="15.75" customHeight="1">
      <c r="A230" s="219" t="str">
        <f>IF(B230&lt;&gt;"",IF(AND(B230&gt;=_TM1,B230&lt;=_TM2,OR(TH!L230="1111",TH!M230="1111")),TH!D230,""),"")</f>
        <v/>
      </c>
      <c r="B230" s="36">
        <f t="shared" si="6"/>
        <v>4</v>
      </c>
      <c r="C230" s="37">
        <v>41012</v>
      </c>
      <c r="D230" s="195" t="s">
        <v>590</v>
      </c>
      <c r="E230" s="37">
        <v>41012</v>
      </c>
      <c r="F230" s="40" t="s">
        <v>656</v>
      </c>
      <c r="G230" s="627" t="s">
        <v>784</v>
      </c>
      <c r="H230" s="7" t="s">
        <v>564</v>
      </c>
      <c r="I230" s="277">
        <v>120</v>
      </c>
      <c r="J230" s="277">
        <v>23262</v>
      </c>
      <c r="K230" s="749">
        <v>2791440</v>
      </c>
      <c r="L230" s="39" t="s">
        <v>191</v>
      </c>
      <c r="M230" s="750" t="s">
        <v>8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>x</v>
      </c>
      <c r="AC230" s="226" t="str">
        <f>IF(ISNA(VLOOKUP(F230,NXT!$C$18:$C$347,1,0)),x,"")</f>
        <v/>
      </c>
      <c r="AD230" s="226"/>
    </row>
    <row r="231" spans="1:30" s="740" customFormat="1" ht="15.75" customHeight="1">
      <c r="A231" s="219" t="str">
        <f>IF(B231&lt;&gt;"",IF(AND(B231&gt;=_TM1,B231&lt;=_TM2,OR(TH!L231="1111",TH!M231="1111")),TH!D231,""),"")</f>
        <v/>
      </c>
      <c r="B231" s="36">
        <f t="shared" si="6"/>
        <v>4</v>
      </c>
      <c r="C231" s="37">
        <v>41012</v>
      </c>
      <c r="D231" s="195" t="s">
        <v>590</v>
      </c>
      <c r="E231" s="37">
        <v>41012</v>
      </c>
      <c r="F231" s="40" t="s">
        <v>786</v>
      </c>
      <c r="G231" s="627" t="s">
        <v>784</v>
      </c>
      <c r="H231" s="7" t="s">
        <v>564</v>
      </c>
      <c r="I231" s="278">
        <v>130</v>
      </c>
      <c r="J231" s="278">
        <v>23477</v>
      </c>
      <c r="K231" s="749">
        <v>3052010</v>
      </c>
      <c r="L231" s="39" t="s">
        <v>191</v>
      </c>
      <c r="M231" s="750" t="s">
        <v>8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>x</v>
      </c>
      <c r="AB231" s="226"/>
      <c r="AC231" s="226" t="str">
        <f>IF(ISNA(VLOOKUP(F231,NXT!$C$18:$C$347,1,0)),x,"")</f>
        <v/>
      </c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>
        <f t="shared" si="6"/>
        <v>4</v>
      </c>
      <c r="C232" s="37">
        <v>41012</v>
      </c>
      <c r="D232" s="195" t="s">
        <v>590</v>
      </c>
      <c r="E232" s="37">
        <v>41012</v>
      </c>
      <c r="F232" s="40" t="s">
        <v>650</v>
      </c>
      <c r="G232" s="627" t="s">
        <v>784</v>
      </c>
      <c r="H232" s="7" t="s">
        <v>564</v>
      </c>
      <c r="I232" s="277"/>
      <c r="J232" s="277"/>
      <c r="K232" s="749">
        <v>7404319</v>
      </c>
      <c r="L232" s="39" t="s">
        <v>9</v>
      </c>
      <c r="M232" s="750" t="s">
        <v>8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>
        <f t="shared" si="6"/>
        <v>4</v>
      </c>
      <c r="C233" s="37">
        <v>41012</v>
      </c>
      <c r="D233" s="195" t="s">
        <v>591</v>
      </c>
      <c r="E233" s="37">
        <v>41012</v>
      </c>
      <c r="F233" s="40" t="s">
        <v>787</v>
      </c>
      <c r="G233" s="627" t="s">
        <v>788</v>
      </c>
      <c r="H233" s="7" t="s">
        <v>564</v>
      </c>
      <c r="I233" s="278">
        <v>100</v>
      </c>
      <c r="J233" s="278">
        <v>12814</v>
      </c>
      <c r="K233" s="749">
        <v>1281400</v>
      </c>
      <c r="L233" s="39" t="s">
        <v>191</v>
      </c>
      <c r="M233" s="750" t="s">
        <v>8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6"/>
      <c r="AC233" s="226" t="str">
        <f>IF(ISNA(VLOOKUP(F233,NXT!$C$18:$C$347,1,0)),x,"")</f>
        <v/>
      </c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>
        <f t="shared" si="6"/>
        <v>4</v>
      </c>
      <c r="C234" s="37">
        <v>41012</v>
      </c>
      <c r="D234" s="195" t="s">
        <v>591</v>
      </c>
      <c r="E234" s="37">
        <v>41012</v>
      </c>
      <c r="F234" s="40" t="s">
        <v>789</v>
      </c>
      <c r="G234" s="627" t="s">
        <v>788</v>
      </c>
      <c r="H234" s="7" t="s">
        <v>564</v>
      </c>
      <c r="I234" s="277">
        <v>100</v>
      </c>
      <c r="J234" s="277">
        <v>13782</v>
      </c>
      <c r="K234" s="749">
        <v>1378200</v>
      </c>
      <c r="L234" s="39" t="s">
        <v>191</v>
      </c>
      <c r="M234" s="750" t="s">
        <v>8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6"/>
      <c r="AC234" s="226" t="str">
        <f>IF(ISNA(VLOOKUP(F234,NXT!$C$18:$C$347,1,0)),x,"")</f>
        <v/>
      </c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>
        <f t="shared" si="6"/>
        <v>4</v>
      </c>
      <c r="C235" s="37">
        <v>41012</v>
      </c>
      <c r="D235" s="195" t="s">
        <v>591</v>
      </c>
      <c r="E235" s="37">
        <v>41012</v>
      </c>
      <c r="F235" s="40" t="s">
        <v>790</v>
      </c>
      <c r="G235" s="627" t="s">
        <v>788</v>
      </c>
      <c r="H235" s="7" t="s">
        <v>564</v>
      </c>
      <c r="I235" s="278">
        <v>250</v>
      </c>
      <c r="J235" s="278">
        <v>11480</v>
      </c>
      <c r="K235" s="749">
        <v>2870000</v>
      </c>
      <c r="L235" s="39" t="s">
        <v>191</v>
      </c>
      <c r="M235" s="750" t="s">
        <v>8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6"/>
      <c r="AC235" s="226" t="str">
        <f>IF(ISNA(VLOOKUP(F235,NXT!$C$18:$C$347,1,0)),x,"")</f>
        <v/>
      </c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>
        <f t="shared" si="6"/>
        <v>4</v>
      </c>
      <c r="C236" s="37">
        <v>41012</v>
      </c>
      <c r="D236" s="195" t="s">
        <v>591</v>
      </c>
      <c r="E236" s="37">
        <v>41012</v>
      </c>
      <c r="F236" s="40" t="s">
        <v>791</v>
      </c>
      <c r="G236" s="627" t="s">
        <v>788</v>
      </c>
      <c r="H236" s="7" t="s">
        <v>564</v>
      </c>
      <c r="I236" s="277">
        <v>76</v>
      </c>
      <c r="J236" s="277">
        <v>28987</v>
      </c>
      <c r="K236" s="749">
        <v>2203012</v>
      </c>
      <c r="L236" s="39" t="s">
        <v>191</v>
      </c>
      <c r="M236" s="750" t="s">
        <v>8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>x</v>
      </c>
      <c r="AB236" s="226"/>
      <c r="AC236" s="226" t="str">
        <f>IF(ISNA(VLOOKUP(F236,NXT!$C$18:$C$347,1,0)),x,"")</f>
        <v/>
      </c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>
        <f t="shared" si="6"/>
        <v>4</v>
      </c>
      <c r="C237" s="37">
        <v>41012</v>
      </c>
      <c r="D237" s="195" t="s">
        <v>591</v>
      </c>
      <c r="E237" s="37">
        <v>41012</v>
      </c>
      <c r="F237" s="899" t="s">
        <v>792</v>
      </c>
      <c r="G237" s="627" t="s">
        <v>788</v>
      </c>
      <c r="H237" s="7" t="s">
        <v>564</v>
      </c>
      <c r="I237" s="278">
        <v>320</v>
      </c>
      <c r="J237" s="278">
        <v>11635</v>
      </c>
      <c r="K237" s="749">
        <v>3723200</v>
      </c>
      <c r="L237" s="39" t="s">
        <v>191</v>
      </c>
      <c r="M237" s="750" t="s">
        <v>8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>x</v>
      </c>
      <c r="AB237" s="226"/>
      <c r="AC237" s="226" t="str">
        <f>IF(ISNA(VLOOKUP(F237,NXT!$C$18:$C$347,1,0)),x,"")</f>
        <v/>
      </c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>
        <f t="shared" si="6"/>
        <v>4</v>
      </c>
      <c r="C238" s="37">
        <v>41012</v>
      </c>
      <c r="D238" s="195" t="s">
        <v>591</v>
      </c>
      <c r="E238" s="37">
        <v>41012</v>
      </c>
      <c r="F238" s="40" t="s">
        <v>793</v>
      </c>
      <c r="G238" s="627" t="s">
        <v>788</v>
      </c>
      <c r="H238" s="7" t="s">
        <v>564</v>
      </c>
      <c r="I238" s="277">
        <v>500</v>
      </c>
      <c r="J238" s="277">
        <v>15913</v>
      </c>
      <c r="K238" s="38">
        <v>7956500</v>
      </c>
      <c r="L238" s="39" t="s">
        <v>191</v>
      </c>
      <c r="M238" s="750" t="s">
        <v>8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/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>x</v>
      </c>
      <c r="AC238" s="226" t="str">
        <f>IF(ISNA(VLOOKUP(F238,NXT!$C$18:$C$347,1,0)),x,"")</f>
        <v/>
      </c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>
        <f t="shared" si="6"/>
        <v>4</v>
      </c>
      <c r="C239" s="37">
        <v>41012</v>
      </c>
      <c r="D239" s="195" t="s">
        <v>591</v>
      </c>
      <c r="E239" s="37">
        <v>41012</v>
      </c>
      <c r="F239" s="203" t="s">
        <v>794</v>
      </c>
      <c r="G239" s="627" t="s">
        <v>788</v>
      </c>
      <c r="H239" s="7" t="s">
        <v>564</v>
      </c>
      <c r="I239" s="277">
        <v>50</v>
      </c>
      <c r="J239" s="277">
        <v>17306</v>
      </c>
      <c r="K239" s="749">
        <v>865300</v>
      </c>
      <c r="L239" s="39" t="s">
        <v>191</v>
      </c>
      <c r="M239" s="750" t="s">
        <v>8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/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>x</v>
      </c>
      <c r="AB239" s="226"/>
      <c r="AC239" s="226" t="str">
        <f>IF(ISNA(VLOOKUP(F239,NXT!$C$18:$C$347,1,0)),x,"")</f>
        <v/>
      </c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>
        <f t="shared" si="6"/>
        <v>4</v>
      </c>
      <c r="C240" s="37">
        <v>41012</v>
      </c>
      <c r="D240" s="195" t="s">
        <v>591</v>
      </c>
      <c r="E240" s="37">
        <v>41012</v>
      </c>
      <c r="F240" s="203" t="s">
        <v>795</v>
      </c>
      <c r="G240" s="627" t="s">
        <v>788</v>
      </c>
      <c r="H240" s="7" t="s">
        <v>564</v>
      </c>
      <c r="I240" s="277">
        <v>350</v>
      </c>
      <c r="J240" s="277">
        <v>18559</v>
      </c>
      <c r="K240" s="749">
        <v>6495650</v>
      </c>
      <c r="L240" s="39" t="s">
        <v>191</v>
      </c>
      <c r="M240" s="750" t="s">
        <v>8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/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>x</v>
      </c>
      <c r="AC240" s="226" t="str">
        <f>IF(ISNA(VLOOKUP(F240,NXT!$C$18:$C$347,1,0)),x,"")</f>
        <v/>
      </c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>
        <f t="shared" si="6"/>
        <v>4</v>
      </c>
      <c r="C241" s="37">
        <v>41012</v>
      </c>
      <c r="D241" s="195" t="s">
        <v>591</v>
      </c>
      <c r="E241" s="37">
        <v>41012</v>
      </c>
      <c r="F241" s="203" t="s">
        <v>650</v>
      </c>
      <c r="G241" s="627" t="s">
        <v>788</v>
      </c>
      <c r="H241" s="7" t="s">
        <v>564</v>
      </c>
      <c r="I241" s="277"/>
      <c r="J241" s="277"/>
      <c r="K241" s="749">
        <v>2677326</v>
      </c>
      <c r="L241" s="39" t="s">
        <v>9</v>
      </c>
      <c r="M241" s="750" t="s">
        <v>8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/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>x</v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>
        <f t="shared" si="6"/>
        <v>4</v>
      </c>
      <c r="C242" s="37">
        <v>41013</v>
      </c>
      <c r="D242" s="195" t="s">
        <v>592</v>
      </c>
      <c r="E242" s="37">
        <v>41013</v>
      </c>
      <c r="F242" s="203" t="s">
        <v>796</v>
      </c>
      <c r="G242" s="627" t="s">
        <v>797</v>
      </c>
      <c r="H242" s="7" t="s">
        <v>564</v>
      </c>
      <c r="I242" s="277">
        <v>350</v>
      </c>
      <c r="J242" s="277">
        <v>9353</v>
      </c>
      <c r="K242" s="38">
        <v>3273550</v>
      </c>
      <c r="L242" s="39" t="s">
        <v>191</v>
      </c>
      <c r="M242" s="750" t="s">
        <v>8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/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>x</v>
      </c>
      <c r="AC242" s="226" t="str">
        <f>IF(ISNA(VLOOKUP(F242,NXT!$C$18:$C$347,1,0)),x,"")</f>
        <v/>
      </c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>
        <f t="shared" si="6"/>
        <v>4</v>
      </c>
      <c r="C243" s="37">
        <v>41013</v>
      </c>
      <c r="D243" s="195" t="s">
        <v>592</v>
      </c>
      <c r="E243" s="37">
        <v>41013</v>
      </c>
      <c r="F243" s="203" t="s">
        <v>796</v>
      </c>
      <c r="G243" s="627" t="s">
        <v>797</v>
      </c>
      <c r="H243" s="7" t="s">
        <v>564</v>
      </c>
      <c r="I243" s="277">
        <v>170</v>
      </c>
      <c r="J243" s="277">
        <v>8355</v>
      </c>
      <c r="K243" s="749">
        <v>1420350</v>
      </c>
      <c r="L243" s="39" t="s">
        <v>191</v>
      </c>
      <c r="M243" s="750" t="s">
        <v>8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/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>x</v>
      </c>
      <c r="AB243" s="226"/>
      <c r="AC243" s="226" t="str">
        <f>IF(ISNA(VLOOKUP(F243,NXT!$C$18:$C$347,1,0)),x,"")</f>
        <v/>
      </c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>
        <f t="shared" si="6"/>
        <v>4</v>
      </c>
      <c r="C244" s="37">
        <v>41013</v>
      </c>
      <c r="D244" s="195" t="s">
        <v>592</v>
      </c>
      <c r="E244" s="37">
        <v>41013</v>
      </c>
      <c r="F244" s="203" t="s">
        <v>798</v>
      </c>
      <c r="G244" s="627" t="s">
        <v>797</v>
      </c>
      <c r="H244" s="7" t="s">
        <v>564</v>
      </c>
      <c r="I244" s="278">
        <v>150</v>
      </c>
      <c r="J244" s="278">
        <v>11176</v>
      </c>
      <c r="K244" s="749">
        <v>1676400</v>
      </c>
      <c r="L244" s="39" t="s">
        <v>191</v>
      </c>
      <c r="M244" s="750" t="s">
        <v>8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>x</v>
      </c>
      <c r="AB244" s="226"/>
      <c r="AC244" s="226" t="str">
        <f>IF(ISNA(VLOOKUP(F244,NXT!$C$18:$C$347,1,0)),x,"")</f>
        <v/>
      </c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>
        <f t="shared" si="6"/>
        <v>4</v>
      </c>
      <c r="C245" s="37">
        <v>41013</v>
      </c>
      <c r="D245" s="195" t="s">
        <v>592</v>
      </c>
      <c r="E245" s="37">
        <v>41013</v>
      </c>
      <c r="F245" s="203" t="s">
        <v>799</v>
      </c>
      <c r="G245" s="627" t="s">
        <v>797</v>
      </c>
      <c r="H245" s="7" t="s">
        <v>564</v>
      </c>
      <c r="I245" s="277">
        <v>200</v>
      </c>
      <c r="J245" s="277">
        <v>12563</v>
      </c>
      <c r="K245" s="749">
        <v>2512600</v>
      </c>
      <c r="L245" s="39" t="s">
        <v>191</v>
      </c>
      <c r="M245" s="750" t="s">
        <v>8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>x</v>
      </c>
      <c r="AB245" s="226"/>
      <c r="AC245" s="226" t="str">
        <f>IF(ISNA(VLOOKUP(F245,NXT!$C$18:$C$347,1,0)),x,"")</f>
        <v/>
      </c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>
        <f t="shared" si="6"/>
        <v>4</v>
      </c>
      <c r="C246" s="37">
        <v>41013</v>
      </c>
      <c r="D246" s="195" t="s">
        <v>592</v>
      </c>
      <c r="E246" s="37">
        <v>41013</v>
      </c>
      <c r="F246" s="203" t="s">
        <v>800</v>
      </c>
      <c r="G246" s="627" t="s">
        <v>797</v>
      </c>
      <c r="H246" s="7" t="s">
        <v>564</v>
      </c>
      <c r="I246" s="277">
        <v>100</v>
      </c>
      <c r="J246" s="277">
        <v>15544</v>
      </c>
      <c r="K246" s="749">
        <v>1554400</v>
      </c>
      <c r="L246" s="39" t="s">
        <v>191</v>
      </c>
      <c r="M246" s="750" t="s">
        <v>8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>x</v>
      </c>
      <c r="AB246" s="226"/>
      <c r="AC246" s="226" t="str">
        <f>IF(ISNA(VLOOKUP(F246,NXT!$C$18:$C$347,1,0)),x,"")</f>
        <v/>
      </c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>
        <f t="shared" si="6"/>
        <v>4</v>
      </c>
      <c r="C247" s="37">
        <v>41013</v>
      </c>
      <c r="D247" s="195" t="s">
        <v>592</v>
      </c>
      <c r="E247" s="37">
        <v>41013</v>
      </c>
      <c r="F247" s="203" t="s">
        <v>801</v>
      </c>
      <c r="G247" s="627" t="s">
        <v>797</v>
      </c>
      <c r="H247" s="7" t="s">
        <v>564</v>
      </c>
      <c r="I247" s="277">
        <v>300</v>
      </c>
      <c r="J247" s="277">
        <v>14375</v>
      </c>
      <c r="K247" s="749">
        <v>4312500</v>
      </c>
      <c r="L247" s="39" t="s">
        <v>191</v>
      </c>
      <c r="M247" s="750" t="s">
        <v>8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>x</v>
      </c>
      <c r="AB247" s="226"/>
      <c r="AC247" s="226" t="str">
        <f>IF(ISNA(VLOOKUP(F247,NXT!$C$18:$C$347,1,0)),x,"")</f>
        <v/>
      </c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>
        <f t="shared" si="6"/>
        <v>4</v>
      </c>
      <c r="C248" s="37">
        <v>41013</v>
      </c>
      <c r="D248" s="195" t="s">
        <v>592</v>
      </c>
      <c r="E248" s="37">
        <v>41013</v>
      </c>
      <c r="F248" s="203" t="s">
        <v>802</v>
      </c>
      <c r="G248" s="627" t="s">
        <v>797</v>
      </c>
      <c r="H248" s="7" t="s">
        <v>564</v>
      </c>
      <c r="I248" s="277">
        <v>500</v>
      </c>
      <c r="J248" s="277">
        <v>19513</v>
      </c>
      <c r="K248" s="38">
        <v>9756500</v>
      </c>
      <c r="L248" s="39" t="s">
        <v>191</v>
      </c>
      <c r="M248" s="750" t="s">
        <v>8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>x</v>
      </c>
      <c r="AB248" s="226"/>
      <c r="AC248" s="226" t="str">
        <f>IF(ISNA(VLOOKUP(F248,NXT!$C$18:$C$347,1,0)),x,"")</f>
        <v/>
      </c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>
        <f t="shared" si="6"/>
        <v>4</v>
      </c>
      <c r="C249" s="195">
        <v>41013</v>
      </c>
      <c r="D249" s="195" t="s">
        <v>592</v>
      </c>
      <c r="E249" s="195">
        <v>41013</v>
      </c>
      <c r="F249" s="203" t="s">
        <v>803</v>
      </c>
      <c r="G249" s="751" t="s">
        <v>797</v>
      </c>
      <c r="H249" s="7" t="s">
        <v>564</v>
      </c>
      <c r="I249" s="277">
        <v>1000</v>
      </c>
      <c r="J249" s="277">
        <v>22846</v>
      </c>
      <c r="K249" s="749">
        <v>22846000</v>
      </c>
      <c r="L249" s="750" t="s">
        <v>191</v>
      </c>
      <c r="M249" s="750" t="s">
        <v>8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>x</v>
      </c>
      <c r="AC249" s="226" t="str">
        <f>IF(ISNA(VLOOKUP(F249,NXT!$C$18:$C$347,1,0)),x,"")</f>
        <v/>
      </c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>
        <f t="shared" si="6"/>
        <v>4</v>
      </c>
      <c r="C250" s="37">
        <v>41013</v>
      </c>
      <c r="D250" s="195" t="s">
        <v>592</v>
      </c>
      <c r="E250" s="37">
        <v>41013</v>
      </c>
      <c r="F250" s="40" t="s">
        <v>650</v>
      </c>
      <c r="G250" s="627" t="s">
        <v>797</v>
      </c>
      <c r="H250" s="7" t="s">
        <v>564</v>
      </c>
      <c r="I250" s="278"/>
      <c r="J250" s="278"/>
      <c r="K250" s="749">
        <v>4735230</v>
      </c>
      <c r="L250" s="39" t="s">
        <v>9</v>
      </c>
      <c r="M250" s="750" t="s">
        <v>8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>x</v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>
        <f t="shared" si="6"/>
        <v>4</v>
      </c>
      <c r="C251" s="37">
        <v>41016</v>
      </c>
      <c r="D251" s="195" t="s">
        <v>450</v>
      </c>
      <c r="E251" s="37">
        <v>41016</v>
      </c>
      <c r="F251" s="40" t="s">
        <v>452</v>
      </c>
      <c r="G251" s="627" t="s">
        <v>447</v>
      </c>
      <c r="H251" s="45"/>
      <c r="I251" s="278"/>
      <c r="J251" s="278"/>
      <c r="K251" s="749">
        <v>4347750</v>
      </c>
      <c r="L251" s="39" t="s">
        <v>24</v>
      </c>
      <c r="M251" s="39" t="s">
        <v>352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>x</v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>x</v>
      </c>
      <c r="AD251" s="226"/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>
        <f t="shared" si="6"/>
        <v>4</v>
      </c>
      <c r="C252" s="37">
        <v>41016</v>
      </c>
      <c r="D252" s="195" t="s">
        <v>542</v>
      </c>
      <c r="E252" s="37">
        <v>41016</v>
      </c>
      <c r="F252" s="40" t="s">
        <v>804</v>
      </c>
      <c r="G252" s="627" t="s">
        <v>805</v>
      </c>
      <c r="H252" s="45" t="s">
        <v>533</v>
      </c>
      <c r="I252" s="278"/>
      <c r="J252" s="278"/>
      <c r="K252" s="749">
        <v>2680000</v>
      </c>
      <c r="L252" s="39" t="s">
        <v>199</v>
      </c>
      <c r="M252" s="39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>x</v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>x</v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>
        <f t="shared" si="6"/>
        <v>4</v>
      </c>
      <c r="C253" s="37">
        <v>41016</v>
      </c>
      <c r="D253" s="195" t="s">
        <v>542</v>
      </c>
      <c r="E253" s="37">
        <v>41016</v>
      </c>
      <c r="F253" s="40" t="s">
        <v>459</v>
      </c>
      <c r="G253" s="627" t="s">
        <v>805</v>
      </c>
      <c r="H253" s="45" t="s">
        <v>533</v>
      </c>
      <c r="I253" s="277"/>
      <c r="J253" s="277"/>
      <c r="K253" s="749">
        <v>268000</v>
      </c>
      <c r="L253" s="39" t="s">
        <v>9</v>
      </c>
      <c r="M253" s="39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>x</v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>x</v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>
        <f t="shared" si="6"/>
        <v>4</v>
      </c>
      <c r="C254" s="37">
        <v>41017</v>
      </c>
      <c r="D254" s="195" t="s">
        <v>543</v>
      </c>
      <c r="E254" s="37">
        <v>41017</v>
      </c>
      <c r="F254" s="40" t="s">
        <v>675</v>
      </c>
      <c r="G254" s="627" t="s">
        <v>806</v>
      </c>
      <c r="H254" s="45" t="s">
        <v>533</v>
      </c>
      <c r="I254" s="277"/>
      <c r="J254" s="277"/>
      <c r="K254" s="749">
        <v>1560000</v>
      </c>
      <c r="L254" s="39" t="s">
        <v>199</v>
      </c>
      <c r="M254" s="39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>x</v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>x</v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>
        <f t="shared" si="6"/>
        <v>4</v>
      </c>
      <c r="C255" s="37">
        <v>41017</v>
      </c>
      <c r="D255" s="195" t="s">
        <v>543</v>
      </c>
      <c r="E255" s="37">
        <v>41017</v>
      </c>
      <c r="F255" s="40" t="s">
        <v>459</v>
      </c>
      <c r="G255" s="627" t="s">
        <v>806</v>
      </c>
      <c r="H255" s="45" t="s">
        <v>533</v>
      </c>
      <c r="I255" s="277"/>
      <c r="J255" s="277"/>
      <c r="K255" s="749">
        <v>156000</v>
      </c>
      <c r="L255" s="39" t="s">
        <v>9</v>
      </c>
      <c r="M255" s="39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>x</v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>x</v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>
        <f t="shared" si="6"/>
        <v>4</v>
      </c>
      <c r="C256" s="37">
        <v>41022</v>
      </c>
      <c r="D256" s="195" t="s">
        <v>544</v>
      </c>
      <c r="E256" s="37">
        <v>41022</v>
      </c>
      <c r="F256" s="40" t="s">
        <v>807</v>
      </c>
      <c r="G256" s="627" t="s">
        <v>808</v>
      </c>
      <c r="H256" s="45" t="s">
        <v>728</v>
      </c>
      <c r="I256" s="277"/>
      <c r="J256" s="277"/>
      <c r="K256" s="749">
        <v>1040000</v>
      </c>
      <c r="L256" s="39" t="s">
        <v>199</v>
      </c>
      <c r="M256" s="39" t="s">
        <v>49</v>
      </c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>x</v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>x</v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>
        <f t="shared" si="6"/>
        <v>4</v>
      </c>
      <c r="C257" s="37">
        <v>41022</v>
      </c>
      <c r="D257" s="195" t="s">
        <v>544</v>
      </c>
      <c r="E257" s="37">
        <v>41022</v>
      </c>
      <c r="F257" s="40" t="s">
        <v>459</v>
      </c>
      <c r="G257" s="627" t="s">
        <v>808</v>
      </c>
      <c r="H257" s="45" t="s">
        <v>728</v>
      </c>
      <c r="I257" s="278"/>
      <c r="J257" s="278"/>
      <c r="K257" s="749">
        <v>104000</v>
      </c>
      <c r="L257" s="39" t="s">
        <v>9</v>
      </c>
      <c r="M257" s="39" t="s">
        <v>49</v>
      </c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>x</v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>x</v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>
        <f t="shared" si="6"/>
        <v>4</v>
      </c>
      <c r="C258" s="37">
        <v>41024</v>
      </c>
      <c r="D258" s="195" t="s">
        <v>450</v>
      </c>
      <c r="E258" s="37">
        <v>41024</v>
      </c>
      <c r="F258" s="40" t="s">
        <v>530</v>
      </c>
      <c r="G258" s="627" t="s">
        <v>447</v>
      </c>
      <c r="H258" s="45"/>
      <c r="I258" s="277"/>
      <c r="J258" s="277"/>
      <c r="K258" s="749">
        <v>53677</v>
      </c>
      <c r="L258" s="39" t="s">
        <v>24</v>
      </c>
      <c r="M258" s="39" t="s">
        <v>41</v>
      </c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>x</v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>x</v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>
        <f t="shared" si="6"/>
        <v>4</v>
      </c>
      <c r="C259" s="37">
        <v>41024</v>
      </c>
      <c r="D259" s="195" t="s">
        <v>593</v>
      </c>
      <c r="E259" s="37">
        <v>41024</v>
      </c>
      <c r="F259" s="40" t="s">
        <v>809</v>
      </c>
      <c r="G259" s="627" t="s">
        <v>810</v>
      </c>
      <c r="H259" s="7" t="s">
        <v>564</v>
      </c>
      <c r="I259" s="277">
        <v>100</v>
      </c>
      <c r="J259" s="277">
        <v>8807</v>
      </c>
      <c r="K259" s="38">
        <v>880700</v>
      </c>
      <c r="L259" s="39" t="s">
        <v>191</v>
      </c>
      <c r="M259" s="750" t="s">
        <v>8</v>
      </c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>x</v>
      </c>
      <c r="AC259" s="226" t="str">
        <f>IF(ISNA(VLOOKUP(F259,NXT!$C$18:$C$347,1,0)),x,"")</f>
        <v/>
      </c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>
        <f t="shared" si="6"/>
        <v>4</v>
      </c>
      <c r="C260" s="37">
        <v>41024</v>
      </c>
      <c r="D260" s="195" t="s">
        <v>593</v>
      </c>
      <c r="E260" s="37">
        <v>41024</v>
      </c>
      <c r="F260" s="40" t="s">
        <v>811</v>
      </c>
      <c r="G260" s="627" t="s">
        <v>810</v>
      </c>
      <c r="H260" s="7" t="s">
        <v>564</v>
      </c>
      <c r="I260" s="277">
        <v>100</v>
      </c>
      <c r="J260" s="277">
        <v>22809</v>
      </c>
      <c r="K260" s="749">
        <v>2280900</v>
      </c>
      <c r="L260" s="39" t="s">
        <v>191</v>
      </c>
      <c r="M260" s="750" t="s">
        <v>8</v>
      </c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>x</v>
      </c>
      <c r="AB260" s="226"/>
      <c r="AC260" s="226" t="str">
        <f>IF(ISNA(VLOOKUP(F260,NXT!$C$18:$C$347,1,0)),x,"")</f>
        <v/>
      </c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>
        <f t="shared" si="6"/>
        <v>4</v>
      </c>
      <c r="C261" s="37">
        <v>41024</v>
      </c>
      <c r="D261" s="195" t="s">
        <v>593</v>
      </c>
      <c r="E261" s="37">
        <v>41024</v>
      </c>
      <c r="F261" s="40" t="s">
        <v>812</v>
      </c>
      <c r="G261" s="627" t="s">
        <v>810</v>
      </c>
      <c r="H261" s="7" t="s">
        <v>564</v>
      </c>
      <c r="I261" s="277">
        <v>100</v>
      </c>
      <c r="J261" s="277">
        <v>23210</v>
      </c>
      <c r="K261" s="749">
        <v>2321000</v>
      </c>
      <c r="L261" s="39" t="s">
        <v>191</v>
      </c>
      <c r="M261" s="750" t="s">
        <v>8</v>
      </c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>x</v>
      </c>
      <c r="AB261" s="740"/>
      <c r="AC261" s="226" t="str">
        <f>IF(ISNA(VLOOKUP(F261,NXT!$C$18:$C$347,1,0)),x,"")</f>
        <v/>
      </c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>
        <f t="shared" si="6"/>
        <v>4</v>
      </c>
      <c r="C262" s="37">
        <v>41024</v>
      </c>
      <c r="D262" s="195" t="s">
        <v>593</v>
      </c>
      <c r="E262" s="37">
        <v>41024</v>
      </c>
      <c r="F262" s="40" t="s">
        <v>813</v>
      </c>
      <c r="G262" s="627" t="s">
        <v>810</v>
      </c>
      <c r="H262" s="7" t="s">
        <v>564</v>
      </c>
      <c r="I262" s="277">
        <v>200</v>
      </c>
      <c r="J262" s="277">
        <v>17067</v>
      </c>
      <c r="K262" s="749">
        <v>3413400</v>
      </c>
      <c r="L262" s="39" t="s">
        <v>191</v>
      </c>
      <c r="M262" s="750" t="s">
        <v>8</v>
      </c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>x</v>
      </c>
      <c r="AC262" s="226" t="str">
        <f>IF(ISNA(VLOOKUP(F262,NXT!$C$18:$C$347,1,0)),x,"")</f>
        <v/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>
        <f t="shared" si="6"/>
        <v>4</v>
      </c>
      <c r="C263" s="37">
        <v>41024</v>
      </c>
      <c r="D263" s="195" t="s">
        <v>593</v>
      </c>
      <c r="E263" s="37">
        <v>41024</v>
      </c>
      <c r="F263" s="40" t="s">
        <v>814</v>
      </c>
      <c r="G263" s="627" t="s">
        <v>810</v>
      </c>
      <c r="H263" s="7" t="s">
        <v>564</v>
      </c>
      <c r="I263" s="277">
        <v>104</v>
      </c>
      <c r="J263" s="277">
        <v>22853</v>
      </c>
      <c r="K263" s="749">
        <v>2376712</v>
      </c>
      <c r="L263" s="39" t="s">
        <v>191</v>
      </c>
      <c r="M263" s="750" t="s">
        <v>8</v>
      </c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>x</v>
      </c>
      <c r="AB263" s="740"/>
      <c r="AC263" s="226" t="str">
        <f>IF(ISNA(VLOOKUP(F263,NXT!$C$18:$C$347,1,0)),x,"")</f>
        <v/>
      </c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>
        <f t="shared" si="6"/>
        <v>4</v>
      </c>
      <c r="C264" s="37">
        <v>41024</v>
      </c>
      <c r="D264" s="195" t="s">
        <v>593</v>
      </c>
      <c r="E264" s="37">
        <v>41024</v>
      </c>
      <c r="F264" s="899" t="s">
        <v>815</v>
      </c>
      <c r="G264" s="627" t="s">
        <v>810</v>
      </c>
      <c r="H264" s="7" t="s">
        <v>564</v>
      </c>
      <c r="I264" s="277">
        <v>66</v>
      </c>
      <c r="J264" s="277">
        <v>20933</v>
      </c>
      <c r="K264" s="749">
        <v>1381578</v>
      </c>
      <c r="L264" s="39" t="s">
        <v>191</v>
      </c>
      <c r="M264" s="750" t="s">
        <v>8</v>
      </c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>x</v>
      </c>
      <c r="AB264" s="226"/>
      <c r="AC264" s="226" t="str">
        <f>IF(ISNA(VLOOKUP(F264,NXT!$C$18:$C$347,1,0)),x,"")</f>
        <v/>
      </c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>
        <f t="shared" si="6"/>
        <v>4</v>
      </c>
      <c r="C265" s="37">
        <v>41024</v>
      </c>
      <c r="D265" s="195" t="s">
        <v>593</v>
      </c>
      <c r="E265" s="37">
        <v>41024</v>
      </c>
      <c r="F265" s="40" t="s">
        <v>816</v>
      </c>
      <c r="G265" s="627" t="s">
        <v>810</v>
      </c>
      <c r="H265" s="7" t="s">
        <v>564</v>
      </c>
      <c r="I265" s="277">
        <v>66</v>
      </c>
      <c r="J265" s="277">
        <v>17926</v>
      </c>
      <c r="K265" s="749">
        <v>1183116</v>
      </c>
      <c r="L265" s="39" t="s">
        <v>191</v>
      </c>
      <c r="M265" s="750" t="s">
        <v>8</v>
      </c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>x</v>
      </c>
      <c r="AC265" s="226" t="str">
        <f>IF(ISNA(VLOOKUP(F265,NXT!$C$18:$C$347,1,0)),x,"")</f>
        <v/>
      </c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>
        <f t="shared" si="6"/>
        <v>4</v>
      </c>
      <c r="C266" s="37">
        <v>41024</v>
      </c>
      <c r="D266" s="195" t="s">
        <v>593</v>
      </c>
      <c r="E266" s="37">
        <v>41024</v>
      </c>
      <c r="F266" s="40" t="s">
        <v>817</v>
      </c>
      <c r="G266" s="627" t="s">
        <v>810</v>
      </c>
      <c r="H266" s="7" t="s">
        <v>564</v>
      </c>
      <c r="I266" s="277">
        <v>112</v>
      </c>
      <c r="J266" s="277">
        <v>18818</v>
      </c>
      <c r="K266" s="749">
        <v>2107616</v>
      </c>
      <c r="L266" s="39" t="s">
        <v>191</v>
      </c>
      <c r="M266" s="750" t="s">
        <v>8</v>
      </c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>x</v>
      </c>
      <c r="AB266" s="226"/>
      <c r="AC266" s="226" t="str">
        <f>IF(ISNA(VLOOKUP(F266,NXT!$C$18:$C$347,1,0)),x,"")</f>
        <v/>
      </c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>
        <f t="shared" si="6"/>
        <v>4</v>
      </c>
      <c r="C267" s="37">
        <v>41024</v>
      </c>
      <c r="D267" s="195" t="s">
        <v>593</v>
      </c>
      <c r="E267" s="37">
        <v>41024</v>
      </c>
      <c r="F267" s="40" t="s">
        <v>650</v>
      </c>
      <c r="G267" s="627" t="s">
        <v>810</v>
      </c>
      <c r="H267" s="7" t="s">
        <v>564</v>
      </c>
      <c r="I267" s="277"/>
      <c r="J267" s="277"/>
      <c r="K267" s="749">
        <v>1594502</v>
      </c>
      <c r="L267" s="39" t="s">
        <v>9</v>
      </c>
      <c r="M267" s="750" t="s">
        <v>8</v>
      </c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>x</v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>
        <f t="shared" si="6"/>
        <v>4</v>
      </c>
      <c r="C268" s="37">
        <v>41024</v>
      </c>
      <c r="D268" s="195" t="s">
        <v>594</v>
      </c>
      <c r="E268" s="37">
        <v>41024</v>
      </c>
      <c r="F268" s="40" t="s">
        <v>818</v>
      </c>
      <c r="G268" s="627" t="s">
        <v>819</v>
      </c>
      <c r="H268" s="7" t="s">
        <v>564</v>
      </c>
      <c r="I268" s="277">
        <v>100</v>
      </c>
      <c r="J268" s="277">
        <v>11866</v>
      </c>
      <c r="K268" s="749">
        <v>1186600</v>
      </c>
      <c r="L268" s="39" t="s">
        <v>191</v>
      </c>
      <c r="M268" s="750" t="s">
        <v>8</v>
      </c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>x</v>
      </c>
      <c r="AB268" s="226"/>
      <c r="AC268" s="226" t="str">
        <f>IF(ISNA(VLOOKUP(F268,NXT!$C$18:$C$347,1,0)),x,"")</f>
        <v/>
      </c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>
        <f t="shared" si="6"/>
        <v>4</v>
      </c>
      <c r="C269" s="37">
        <v>41024</v>
      </c>
      <c r="D269" s="195" t="s">
        <v>594</v>
      </c>
      <c r="E269" s="37">
        <v>41024</v>
      </c>
      <c r="F269" s="40" t="s">
        <v>820</v>
      </c>
      <c r="G269" s="627" t="s">
        <v>819</v>
      </c>
      <c r="H269" s="7" t="s">
        <v>564</v>
      </c>
      <c r="I269" s="277">
        <v>134</v>
      </c>
      <c r="J269" s="277">
        <v>13099</v>
      </c>
      <c r="K269" s="38">
        <v>1755266</v>
      </c>
      <c r="L269" s="39" t="s">
        <v>191</v>
      </c>
      <c r="M269" s="750" t="s">
        <v>8</v>
      </c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>x</v>
      </c>
      <c r="AC269" s="226" t="str">
        <f>IF(ISNA(VLOOKUP(F269,NXT!$C$18:$C$347,1,0)),x,"")</f>
        <v/>
      </c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>
        <f t="shared" si="6"/>
        <v>4</v>
      </c>
      <c r="C270" s="37">
        <v>41024</v>
      </c>
      <c r="D270" s="195" t="s">
        <v>594</v>
      </c>
      <c r="E270" s="37">
        <v>41024</v>
      </c>
      <c r="F270" s="40" t="s">
        <v>821</v>
      </c>
      <c r="G270" s="627" t="s">
        <v>819</v>
      </c>
      <c r="H270" s="7" t="s">
        <v>564</v>
      </c>
      <c r="I270" s="277">
        <v>170</v>
      </c>
      <c r="J270" s="277">
        <v>14573</v>
      </c>
      <c r="K270" s="749">
        <v>2477410</v>
      </c>
      <c r="L270" s="39" t="s">
        <v>191</v>
      </c>
      <c r="M270" s="750" t="s">
        <v>8</v>
      </c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>x</v>
      </c>
      <c r="AB270" s="226"/>
      <c r="AC270" s="226" t="str">
        <f>IF(ISNA(VLOOKUP(F270,NXT!$C$18:$C$347,1,0)),x,"")</f>
        <v/>
      </c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>
        <f t="shared" si="6"/>
        <v>4</v>
      </c>
      <c r="C271" s="37">
        <v>41024</v>
      </c>
      <c r="D271" s="195" t="s">
        <v>594</v>
      </c>
      <c r="E271" s="37">
        <v>41024</v>
      </c>
      <c r="F271" s="40" t="s">
        <v>822</v>
      </c>
      <c r="G271" s="627" t="s">
        <v>819</v>
      </c>
      <c r="H271" s="7" t="s">
        <v>564</v>
      </c>
      <c r="I271" s="277">
        <v>50</v>
      </c>
      <c r="J271" s="277">
        <v>15578</v>
      </c>
      <c r="K271" s="749">
        <v>778900</v>
      </c>
      <c r="L271" s="39" t="s">
        <v>191</v>
      </c>
      <c r="M271" s="750" t="s">
        <v>8</v>
      </c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>x</v>
      </c>
      <c r="AB271" s="226"/>
      <c r="AC271" s="226" t="str">
        <f>IF(ISNA(VLOOKUP(F271,NXT!$C$18:$C$347,1,0)),x,"")</f>
        <v/>
      </c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>
        <f t="shared" si="6"/>
        <v>4</v>
      </c>
      <c r="C272" s="37">
        <v>41024</v>
      </c>
      <c r="D272" s="195" t="s">
        <v>594</v>
      </c>
      <c r="E272" s="37">
        <v>41024</v>
      </c>
      <c r="F272" s="40" t="s">
        <v>823</v>
      </c>
      <c r="G272" s="627" t="s">
        <v>819</v>
      </c>
      <c r="H272" s="7" t="s">
        <v>564</v>
      </c>
      <c r="I272" s="277">
        <v>240</v>
      </c>
      <c r="J272" s="277">
        <v>17072</v>
      </c>
      <c r="K272" s="749">
        <v>4097280</v>
      </c>
      <c r="L272" s="39" t="s">
        <v>191</v>
      </c>
      <c r="M272" s="750" t="s">
        <v>8</v>
      </c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>x</v>
      </c>
      <c r="AB272" s="226"/>
      <c r="AC272" s="226" t="str">
        <f>IF(ISNA(VLOOKUP(F272,NXT!$C$18:$C$347,1,0)),x,"")</f>
        <v/>
      </c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>
        <f t="shared" si="6"/>
        <v>4</v>
      </c>
      <c r="C273" s="37">
        <v>41024</v>
      </c>
      <c r="D273" s="195" t="s">
        <v>594</v>
      </c>
      <c r="E273" s="37">
        <v>41024</v>
      </c>
      <c r="F273" s="40" t="s">
        <v>824</v>
      </c>
      <c r="G273" s="627" t="s">
        <v>819</v>
      </c>
      <c r="H273" s="7" t="s">
        <v>564</v>
      </c>
      <c r="I273" s="277">
        <v>65</v>
      </c>
      <c r="J273" s="277">
        <v>16878</v>
      </c>
      <c r="K273" s="749">
        <v>1097070</v>
      </c>
      <c r="L273" s="39" t="s">
        <v>191</v>
      </c>
      <c r="M273" s="750" t="s">
        <v>8</v>
      </c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>x</v>
      </c>
      <c r="AC273" s="226" t="str">
        <f>IF(ISNA(VLOOKUP(F273,NXT!$C$18:$C$347,1,0)),x,"")</f>
        <v/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>
        <f t="shared" si="6"/>
        <v>4</v>
      </c>
      <c r="C274" s="37">
        <v>41024</v>
      </c>
      <c r="D274" s="195" t="s">
        <v>594</v>
      </c>
      <c r="E274" s="37">
        <v>41024</v>
      </c>
      <c r="F274" s="40" t="s">
        <v>825</v>
      </c>
      <c r="G274" s="627" t="s">
        <v>819</v>
      </c>
      <c r="H274" s="7" t="s">
        <v>564</v>
      </c>
      <c r="I274" s="277">
        <v>104</v>
      </c>
      <c r="J274" s="277">
        <v>19759</v>
      </c>
      <c r="K274" s="749">
        <v>2054936</v>
      </c>
      <c r="L274" s="39" t="s">
        <v>191</v>
      </c>
      <c r="M274" s="750" t="s">
        <v>8</v>
      </c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>x</v>
      </c>
      <c r="AC274" s="226" t="str">
        <f>IF(ISNA(VLOOKUP(F274,NXT!$C$18:$C$347,1,0)),x,"")</f>
        <v/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>
        <f t="shared" si="6"/>
        <v>4</v>
      </c>
      <c r="C275" s="37">
        <v>41024</v>
      </c>
      <c r="D275" s="195" t="s">
        <v>594</v>
      </c>
      <c r="E275" s="37">
        <v>41024</v>
      </c>
      <c r="F275" s="40" t="s">
        <v>826</v>
      </c>
      <c r="G275" s="627" t="s">
        <v>819</v>
      </c>
      <c r="H275" s="7" t="s">
        <v>564</v>
      </c>
      <c r="I275" s="277">
        <v>214</v>
      </c>
      <c r="J275" s="277">
        <v>24095</v>
      </c>
      <c r="K275" s="749">
        <v>5156330</v>
      </c>
      <c r="L275" s="39" t="s">
        <v>191</v>
      </c>
      <c r="M275" s="750" t="s">
        <v>8</v>
      </c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>x</v>
      </c>
      <c r="AC275" s="226" t="str">
        <f>IF(ISNA(VLOOKUP(F275,NXT!$C$18:$C$347,1,0)),x,"")</f>
        <v/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>
        <f t="shared" si="6"/>
        <v>4</v>
      </c>
      <c r="C276" s="37">
        <v>41024</v>
      </c>
      <c r="D276" s="195" t="s">
        <v>594</v>
      </c>
      <c r="E276" s="37">
        <v>41024</v>
      </c>
      <c r="F276" s="40" t="s">
        <v>650</v>
      </c>
      <c r="G276" s="627" t="s">
        <v>819</v>
      </c>
      <c r="H276" s="7" t="s">
        <v>564</v>
      </c>
      <c r="I276" s="277"/>
      <c r="J276" s="277"/>
      <c r="K276" s="749">
        <v>1860379</v>
      </c>
      <c r="L276" s="39" t="s">
        <v>9</v>
      </c>
      <c r="M276" s="750" t="s">
        <v>8</v>
      </c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>x</v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>
        <f t="shared" si="6"/>
        <v>4</v>
      </c>
      <c r="C277" s="37">
        <v>41027</v>
      </c>
      <c r="D277" s="195" t="s">
        <v>595</v>
      </c>
      <c r="E277" s="37">
        <v>41027</v>
      </c>
      <c r="F277" s="40" t="s">
        <v>827</v>
      </c>
      <c r="G277" s="627" t="s">
        <v>828</v>
      </c>
      <c r="H277" s="7" t="s">
        <v>564</v>
      </c>
      <c r="I277" s="279">
        <v>350</v>
      </c>
      <c r="J277" s="279">
        <v>19819</v>
      </c>
      <c r="K277" s="749">
        <v>6936650</v>
      </c>
      <c r="L277" s="39" t="s">
        <v>191</v>
      </c>
      <c r="M277" s="750" t="s">
        <v>8</v>
      </c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>x</v>
      </c>
      <c r="AC277" s="226" t="str">
        <f>IF(ISNA(VLOOKUP(F277,NXT!$C$18:$C$347,1,0)),x,"")</f>
        <v/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>
        <f t="shared" si="6"/>
        <v>4</v>
      </c>
      <c r="C278" s="37">
        <v>41027</v>
      </c>
      <c r="D278" s="195" t="s">
        <v>595</v>
      </c>
      <c r="E278" s="37">
        <v>41027</v>
      </c>
      <c r="F278" s="40" t="s">
        <v>829</v>
      </c>
      <c r="G278" s="627" t="s">
        <v>828</v>
      </c>
      <c r="H278" s="7" t="s">
        <v>564</v>
      </c>
      <c r="I278" s="277">
        <v>50</v>
      </c>
      <c r="J278" s="277">
        <v>21762</v>
      </c>
      <c r="K278" s="38">
        <v>1088100</v>
      </c>
      <c r="L278" s="39" t="s">
        <v>191</v>
      </c>
      <c r="M278" s="750" t="s">
        <v>8</v>
      </c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>x</v>
      </c>
      <c r="AC278" s="226" t="str">
        <f>IF(ISNA(VLOOKUP(F278,NXT!$C$18:$C$347,1,0)),x,"")</f>
        <v/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>
        <f t="shared" si="6"/>
        <v>4</v>
      </c>
      <c r="C279" s="37">
        <v>41027</v>
      </c>
      <c r="D279" s="195" t="s">
        <v>595</v>
      </c>
      <c r="E279" s="37">
        <v>41027</v>
      </c>
      <c r="F279" s="40" t="s">
        <v>830</v>
      </c>
      <c r="G279" s="627" t="s">
        <v>828</v>
      </c>
      <c r="H279" s="7" t="s">
        <v>564</v>
      </c>
      <c r="I279" s="279">
        <v>290</v>
      </c>
      <c r="J279" s="279">
        <v>19041</v>
      </c>
      <c r="K279" s="749">
        <v>5521890</v>
      </c>
      <c r="L279" s="39" t="s">
        <v>191</v>
      </c>
      <c r="M279" s="750" t="s">
        <v>8</v>
      </c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>x</v>
      </c>
      <c r="AC279" s="226" t="str">
        <f>IF(ISNA(VLOOKUP(F279,NXT!$C$18:$C$347,1,0)),x,"")</f>
        <v/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>
        <f t="shared" ref="B280:B343" si="7">IF(C280&lt;&gt;"",MONTH(C280),"")</f>
        <v>4</v>
      </c>
      <c r="C280" s="37">
        <v>41027</v>
      </c>
      <c r="D280" s="195" t="s">
        <v>595</v>
      </c>
      <c r="E280" s="37">
        <v>41027</v>
      </c>
      <c r="F280" s="40" t="s">
        <v>831</v>
      </c>
      <c r="G280" s="627" t="s">
        <v>828</v>
      </c>
      <c r="H280" s="7" t="s">
        <v>564</v>
      </c>
      <c r="I280" s="277">
        <v>50</v>
      </c>
      <c r="J280" s="277">
        <v>23155</v>
      </c>
      <c r="K280" s="749">
        <v>1157750</v>
      </c>
      <c r="L280" s="39" t="s">
        <v>191</v>
      </c>
      <c r="M280" s="750" t="s">
        <v>8</v>
      </c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>x</v>
      </c>
      <c r="AC280" s="226" t="str">
        <f>IF(ISNA(VLOOKUP(F280,NXT!$C$18:$C$347,1,0)),x,"")</f>
        <v/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>
        <f t="shared" si="7"/>
        <v>4</v>
      </c>
      <c r="C281" s="37">
        <v>41027</v>
      </c>
      <c r="D281" s="195" t="s">
        <v>595</v>
      </c>
      <c r="E281" s="37">
        <v>41027</v>
      </c>
      <c r="F281" s="40" t="s">
        <v>832</v>
      </c>
      <c r="G281" s="627" t="s">
        <v>828</v>
      </c>
      <c r="H281" s="7" t="s">
        <v>564</v>
      </c>
      <c r="I281" s="277">
        <v>100</v>
      </c>
      <c r="J281" s="277">
        <v>12757</v>
      </c>
      <c r="K281" s="749">
        <v>1275700</v>
      </c>
      <c r="L281" s="39" t="s">
        <v>191</v>
      </c>
      <c r="M281" s="750" t="s">
        <v>8</v>
      </c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>x</v>
      </c>
      <c r="AC281" s="226" t="str">
        <f>IF(ISNA(VLOOKUP(F281,NXT!$C$18:$C$347,1,0)),x,"")</f>
        <v/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>
        <f t="shared" si="7"/>
        <v>4</v>
      </c>
      <c r="C282" s="37">
        <v>41027</v>
      </c>
      <c r="D282" s="195" t="s">
        <v>595</v>
      </c>
      <c r="E282" s="37">
        <v>41027</v>
      </c>
      <c r="F282" s="40" t="s">
        <v>833</v>
      </c>
      <c r="G282" s="627" t="s">
        <v>828</v>
      </c>
      <c r="H282" s="7" t="s">
        <v>564</v>
      </c>
      <c r="I282" s="277">
        <v>100</v>
      </c>
      <c r="J282" s="277">
        <v>15976</v>
      </c>
      <c r="K282" s="749">
        <v>1597600</v>
      </c>
      <c r="L282" s="39" t="s">
        <v>191</v>
      </c>
      <c r="M282" s="750" t="s">
        <v>8</v>
      </c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>x</v>
      </c>
      <c r="AC282" s="226" t="str">
        <f>IF(ISNA(VLOOKUP(F282,NXT!$C$18:$C$347,1,0)),x,"")</f>
        <v/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>
        <f t="shared" si="7"/>
        <v>4</v>
      </c>
      <c r="C283" s="37">
        <v>41027</v>
      </c>
      <c r="D283" s="195" t="s">
        <v>595</v>
      </c>
      <c r="E283" s="37">
        <v>41027</v>
      </c>
      <c r="F283" s="40" t="s">
        <v>834</v>
      </c>
      <c r="G283" s="627" t="s">
        <v>828</v>
      </c>
      <c r="H283" s="7" t="s">
        <v>564</v>
      </c>
      <c r="I283" s="277">
        <v>129</v>
      </c>
      <c r="J283" s="277">
        <v>11873</v>
      </c>
      <c r="K283" s="38">
        <v>1531617</v>
      </c>
      <c r="L283" s="39" t="s">
        <v>191</v>
      </c>
      <c r="M283" s="750" t="s">
        <v>8</v>
      </c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>x</v>
      </c>
      <c r="AC283" s="226" t="str">
        <f>IF(ISNA(VLOOKUP(F283,NXT!$C$18:$C$347,1,0)),x,"")</f>
        <v/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>
        <f t="shared" si="7"/>
        <v>4</v>
      </c>
      <c r="C284" s="37">
        <v>41027</v>
      </c>
      <c r="D284" s="195" t="s">
        <v>595</v>
      </c>
      <c r="E284" s="111">
        <v>41027</v>
      </c>
      <c r="F284" s="203" t="s">
        <v>826</v>
      </c>
      <c r="G284" s="627" t="s">
        <v>828</v>
      </c>
      <c r="H284" s="7" t="s">
        <v>564</v>
      </c>
      <c r="I284" s="280">
        <v>110</v>
      </c>
      <c r="J284" s="280">
        <v>24095</v>
      </c>
      <c r="K284" s="749">
        <v>2650450</v>
      </c>
      <c r="L284" s="39" t="s">
        <v>191</v>
      </c>
      <c r="M284" s="750" t="s">
        <v>8</v>
      </c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>x</v>
      </c>
      <c r="AC284" s="226" t="str">
        <f>IF(ISNA(VLOOKUP(F284,NXT!$C$18:$C$347,1,0)),x,"")</f>
        <v/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>
        <f t="shared" si="7"/>
        <v>4</v>
      </c>
      <c r="C285" s="37">
        <v>41027</v>
      </c>
      <c r="D285" s="195" t="s">
        <v>595</v>
      </c>
      <c r="E285" s="111">
        <v>41027</v>
      </c>
      <c r="F285" s="203" t="s">
        <v>650</v>
      </c>
      <c r="G285" s="627" t="s">
        <v>828</v>
      </c>
      <c r="H285" s="7" t="s">
        <v>564</v>
      </c>
      <c r="I285" s="277"/>
      <c r="J285" s="277"/>
      <c r="K285" s="749">
        <v>2175976</v>
      </c>
      <c r="L285" s="39" t="s">
        <v>9</v>
      </c>
      <c r="M285" s="750" t="s">
        <v>8</v>
      </c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>x</v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>
        <f t="shared" si="7"/>
        <v>4</v>
      </c>
      <c r="C286" s="37">
        <v>41027</v>
      </c>
      <c r="D286" s="195" t="s">
        <v>596</v>
      </c>
      <c r="E286" s="111">
        <v>41027</v>
      </c>
      <c r="F286" s="203" t="s">
        <v>835</v>
      </c>
      <c r="G286" s="627" t="s">
        <v>836</v>
      </c>
      <c r="H286" s="7" t="s">
        <v>564</v>
      </c>
      <c r="I286" s="277">
        <v>250</v>
      </c>
      <c r="J286" s="277">
        <v>8465</v>
      </c>
      <c r="K286" s="38">
        <v>2116250</v>
      </c>
      <c r="L286" s="39" t="s">
        <v>191</v>
      </c>
      <c r="M286" s="750" t="s">
        <v>8</v>
      </c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>x</v>
      </c>
      <c r="AC286" s="226" t="str">
        <f>IF(ISNA(VLOOKUP(F286,NXT!$C$18:$C$347,1,0)),x,"")</f>
        <v/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>
        <f t="shared" si="7"/>
        <v>4</v>
      </c>
      <c r="C287" s="37">
        <v>41027</v>
      </c>
      <c r="D287" s="195" t="s">
        <v>596</v>
      </c>
      <c r="E287" s="37">
        <v>41027</v>
      </c>
      <c r="F287" s="40" t="s">
        <v>837</v>
      </c>
      <c r="G287" s="624" t="s">
        <v>836</v>
      </c>
      <c r="H287" s="7" t="s">
        <v>564</v>
      </c>
      <c r="I287" s="278">
        <v>350</v>
      </c>
      <c r="J287" s="277">
        <v>16321</v>
      </c>
      <c r="K287" s="38">
        <v>5712350</v>
      </c>
      <c r="L287" s="39" t="s">
        <v>191</v>
      </c>
      <c r="M287" s="750" t="s">
        <v>8</v>
      </c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>x</v>
      </c>
      <c r="AB287" s="740"/>
      <c r="AC287" s="226" t="str">
        <f>IF(ISNA(VLOOKUP(F287,NXT!$C$18:$C$347,1,0)),x,"")</f>
        <v/>
      </c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>
        <f t="shared" si="7"/>
        <v>4</v>
      </c>
      <c r="C288" s="37">
        <v>41027</v>
      </c>
      <c r="D288" s="195" t="s">
        <v>596</v>
      </c>
      <c r="E288" s="37">
        <v>41027</v>
      </c>
      <c r="F288" s="40" t="s">
        <v>838</v>
      </c>
      <c r="G288" s="624" t="s">
        <v>836</v>
      </c>
      <c r="H288" s="7" t="s">
        <v>564</v>
      </c>
      <c r="I288" s="278">
        <v>410</v>
      </c>
      <c r="J288" s="277">
        <v>9828</v>
      </c>
      <c r="K288" s="38">
        <v>4029480</v>
      </c>
      <c r="L288" s="39" t="s">
        <v>191</v>
      </c>
      <c r="M288" s="750" t="s">
        <v>8</v>
      </c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>x</v>
      </c>
      <c r="AC288" s="226" t="str">
        <f>IF(ISNA(VLOOKUP(F288,NXT!$C$18:$C$347,1,0)),x,"")</f>
        <v/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>
        <f t="shared" si="7"/>
        <v>4</v>
      </c>
      <c r="C289" s="37">
        <v>41027</v>
      </c>
      <c r="D289" s="195" t="s">
        <v>596</v>
      </c>
      <c r="E289" s="37">
        <v>41027</v>
      </c>
      <c r="F289" s="40" t="s">
        <v>839</v>
      </c>
      <c r="G289" s="624" t="s">
        <v>836</v>
      </c>
      <c r="H289" s="7" t="s">
        <v>564</v>
      </c>
      <c r="I289" s="278">
        <v>470</v>
      </c>
      <c r="J289" s="277">
        <v>11157</v>
      </c>
      <c r="K289" s="38">
        <v>5243790</v>
      </c>
      <c r="L289" s="39" t="s">
        <v>191</v>
      </c>
      <c r="M289" s="750" t="s">
        <v>8</v>
      </c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>x</v>
      </c>
      <c r="AB289" s="740"/>
      <c r="AC289" s="226" t="str">
        <f>IF(ISNA(VLOOKUP(F289,NXT!$C$18:$C$347,1,0)),x,"")</f>
        <v/>
      </c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>
        <f t="shared" si="7"/>
        <v>4</v>
      </c>
      <c r="C290" s="37">
        <v>41027</v>
      </c>
      <c r="D290" s="195" t="s">
        <v>596</v>
      </c>
      <c r="E290" s="37">
        <v>41027</v>
      </c>
      <c r="F290" s="40" t="s">
        <v>840</v>
      </c>
      <c r="G290" s="624" t="s">
        <v>836</v>
      </c>
      <c r="H290" s="7" t="s">
        <v>564</v>
      </c>
      <c r="I290" s="278">
        <v>150</v>
      </c>
      <c r="J290" s="277">
        <v>10811</v>
      </c>
      <c r="K290" s="38">
        <v>1621650</v>
      </c>
      <c r="L290" s="39" t="s">
        <v>191</v>
      </c>
      <c r="M290" s="750" t="s">
        <v>8</v>
      </c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>x</v>
      </c>
      <c r="AB290" s="740"/>
      <c r="AC290" s="226" t="str">
        <f>IF(ISNA(VLOOKUP(F290,NXT!$C$18:$C$347,1,0)),x,"")</f>
        <v/>
      </c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>
        <f t="shared" si="7"/>
        <v>4</v>
      </c>
      <c r="C291" s="195">
        <v>41027</v>
      </c>
      <c r="D291" s="195" t="s">
        <v>596</v>
      </c>
      <c r="E291" s="195">
        <v>41027</v>
      </c>
      <c r="F291" s="203" t="s">
        <v>841</v>
      </c>
      <c r="G291" s="751" t="s">
        <v>836</v>
      </c>
      <c r="H291" s="7" t="s">
        <v>564</v>
      </c>
      <c r="I291" s="277">
        <v>460</v>
      </c>
      <c r="J291" s="277">
        <v>11150</v>
      </c>
      <c r="K291" s="749">
        <v>5129000</v>
      </c>
      <c r="L291" s="750" t="s">
        <v>191</v>
      </c>
      <c r="M291" s="750" t="s">
        <v>8</v>
      </c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>x</v>
      </c>
      <c r="AB291" s="740"/>
      <c r="AC291" s="226" t="str">
        <f>IF(ISNA(VLOOKUP(F291,NXT!$C$18:$C$347,1,0)),x,"")</f>
        <v/>
      </c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>
        <f t="shared" si="7"/>
        <v>4</v>
      </c>
      <c r="C292" s="195">
        <v>41027</v>
      </c>
      <c r="D292" s="195" t="s">
        <v>596</v>
      </c>
      <c r="E292" s="195">
        <v>41027</v>
      </c>
      <c r="F292" s="203" t="s">
        <v>842</v>
      </c>
      <c r="G292" s="751" t="s">
        <v>836</v>
      </c>
      <c r="H292" s="7" t="s">
        <v>564</v>
      </c>
      <c r="I292" s="277">
        <v>66</v>
      </c>
      <c r="J292" s="277">
        <v>19846</v>
      </c>
      <c r="K292" s="749">
        <v>1309836</v>
      </c>
      <c r="L292" s="750" t="s">
        <v>191</v>
      </c>
      <c r="M292" s="750" t="s">
        <v>8</v>
      </c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>x</v>
      </c>
      <c r="AB292" s="740"/>
      <c r="AC292" s="226" t="str">
        <f>IF(ISNA(VLOOKUP(F292,NXT!$C$18:$C$347,1,0)),x,"")</f>
        <v/>
      </c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>
        <f t="shared" si="7"/>
        <v>4</v>
      </c>
      <c r="C293" s="195">
        <v>41027</v>
      </c>
      <c r="D293" s="195" t="s">
        <v>596</v>
      </c>
      <c r="E293" s="195">
        <v>41027</v>
      </c>
      <c r="F293" s="203" t="s">
        <v>843</v>
      </c>
      <c r="G293" s="751" t="s">
        <v>836</v>
      </c>
      <c r="H293" s="7" t="s">
        <v>564</v>
      </c>
      <c r="I293" s="277">
        <v>240</v>
      </c>
      <c r="J293" s="277">
        <v>21089</v>
      </c>
      <c r="K293" s="749">
        <v>5061360</v>
      </c>
      <c r="L293" s="750" t="s">
        <v>191</v>
      </c>
      <c r="M293" s="750" t="s">
        <v>8</v>
      </c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>x</v>
      </c>
      <c r="AB293" s="740"/>
      <c r="AC293" s="226" t="str">
        <f>IF(ISNA(VLOOKUP(F293,NXT!$C$18:$C$347,1,0)),x,"")</f>
        <v/>
      </c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>
        <f t="shared" si="7"/>
        <v>4</v>
      </c>
      <c r="C294" s="195">
        <v>41027</v>
      </c>
      <c r="D294" s="195" t="s">
        <v>596</v>
      </c>
      <c r="E294" s="195">
        <v>41027</v>
      </c>
      <c r="F294" s="203" t="s">
        <v>650</v>
      </c>
      <c r="G294" s="751" t="s">
        <v>836</v>
      </c>
      <c r="H294" s="7" t="s">
        <v>564</v>
      </c>
      <c r="I294" s="277"/>
      <c r="J294" s="277"/>
      <c r="K294" s="749">
        <v>3022372</v>
      </c>
      <c r="L294" s="750" t="s">
        <v>9</v>
      </c>
      <c r="M294" s="750" t="s">
        <v>8</v>
      </c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>x</v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>
        <f t="shared" si="7"/>
        <v>4</v>
      </c>
      <c r="C295" s="195">
        <v>41027</v>
      </c>
      <c r="D295" s="195" t="s">
        <v>597</v>
      </c>
      <c r="E295" s="195">
        <v>41027</v>
      </c>
      <c r="F295" s="203" t="s">
        <v>844</v>
      </c>
      <c r="G295" s="751" t="s">
        <v>845</v>
      </c>
      <c r="H295" s="7" t="s">
        <v>564</v>
      </c>
      <c r="I295" s="277">
        <v>100</v>
      </c>
      <c r="J295" s="277">
        <v>5928</v>
      </c>
      <c r="K295" s="749">
        <v>592800</v>
      </c>
      <c r="L295" s="750" t="s">
        <v>191</v>
      </c>
      <c r="M295" s="750" t="s">
        <v>8</v>
      </c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>x</v>
      </c>
      <c r="AB295" s="740"/>
      <c r="AC295" s="226" t="str">
        <f>IF(ISNA(VLOOKUP(F295,NXT!$C$18:$C$347,1,0)),x,"")</f>
        <v/>
      </c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>
        <f t="shared" si="7"/>
        <v>4</v>
      </c>
      <c r="C296" s="195">
        <v>41027</v>
      </c>
      <c r="D296" s="195" t="s">
        <v>597</v>
      </c>
      <c r="E296" s="195">
        <v>41027</v>
      </c>
      <c r="F296" s="203" t="s">
        <v>846</v>
      </c>
      <c r="G296" s="751" t="s">
        <v>845</v>
      </c>
      <c r="H296" s="7" t="s">
        <v>564</v>
      </c>
      <c r="I296" s="277">
        <v>100</v>
      </c>
      <c r="J296" s="277">
        <v>6413</v>
      </c>
      <c r="K296" s="749">
        <v>641300</v>
      </c>
      <c r="L296" s="750" t="s">
        <v>191</v>
      </c>
      <c r="M296" s="750" t="s">
        <v>8</v>
      </c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>x</v>
      </c>
      <c r="AB296" s="740"/>
      <c r="AC296" s="226" t="str">
        <f>IF(ISNA(VLOOKUP(F296,NXT!$C$18:$C$347,1,0)),x,"")</f>
        <v/>
      </c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>
        <f t="shared" si="7"/>
        <v>4</v>
      </c>
      <c r="C297" s="195">
        <v>41027</v>
      </c>
      <c r="D297" s="195" t="s">
        <v>597</v>
      </c>
      <c r="E297" s="195">
        <v>41027</v>
      </c>
      <c r="F297" s="203" t="s">
        <v>847</v>
      </c>
      <c r="G297" s="751" t="s">
        <v>845</v>
      </c>
      <c r="H297" s="7" t="s">
        <v>564</v>
      </c>
      <c r="I297" s="277">
        <v>100</v>
      </c>
      <c r="J297" s="277">
        <v>6783</v>
      </c>
      <c r="K297" s="749">
        <v>678300</v>
      </c>
      <c r="L297" s="750" t="s">
        <v>191</v>
      </c>
      <c r="M297" s="750" t="s">
        <v>8</v>
      </c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>x</v>
      </c>
      <c r="AB297" s="740"/>
      <c r="AC297" s="226" t="str">
        <f>IF(ISNA(VLOOKUP(F297,NXT!$C$18:$C$347,1,0)),x,"")</f>
        <v/>
      </c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>
        <f t="shared" si="7"/>
        <v>4</v>
      </c>
      <c r="C298" s="37">
        <v>41027</v>
      </c>
      <c r="D298" s="195" t="s">
        <v>597</v>
      </c>
      <c r="E298" s="37">
        <v>41027</v>
      </c>
      <c r="F298" s="40" t="s">
        <v>848</v>
      </c>
      <c r="G298" s="627" t="s">
        <v>845</v>
      </c>
      <c r="H298" s="7" t="s">
        <v>564</v>
      </c>
      <c r="I298" s="279">
        <v>50</v>
      </c>
      <c r="J298" s="279">
        <v>10613</v>
      </c>
      <c r="K298" s="38">
        <v>530650</v>
      </c>
      <c r="L298" s="39" t="s">
        <v>191</v>
      </c>
      <c r="M298" s="750" t="s">
        <v>8</v>
      </c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>x</v>
      </c>
      <c r="AC298" s="226" t="str">
        <f>IF(ISNA(VLOOKUP(F298,NXT!$C$18:$C$347,1,0)),x,"")</f>
        <v/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>
        <f t="shared" si="7"/>
        <v>4</v>
      </c>
      <c r="C299" s="37">
        <v>41027</v>
      </c>
      <c r="D299" s="195" t="s">
        <v>597</v>
      </c>
      <c r="E299" s="37">
        <v>41027</v>
      </c>
      <c r="F299" s="40" t="s">
        <v>849</v>
      </c>
      <c r="G299" s="627" t="s">
        <v>845</v>
      </c>
      <c r="H299" s="7" t="s">
        <v>564</v>
      </c>
      <c r="I299" s="279">
        <v>486</v>
      </c>
      <c r="J299" s="279">
        <v>9286</v>
      </c>
      <c r="K299" s="38">
        <v>4512996</v>
      </c>
      <c r="L299" s="39" t="s">
        <v>191</v>
      </c>
      <c r="M299" s="750" t="s">
        <v>8</v>
      </c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>x</v>
      </c>
      <c r="AB299" s="740"/>
      <c r="AC299" s="226" t="str">
        <f>IF(ISNA(VLOOKUP(F299,NXT!$C$18:$C$347,1,0)),x,"")</f>
        <v/>
      </c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>
        <f t="shared" si="7"/>
        <v>4</v>
      </c>
      <c r="C300" s="195">
        <v>41027</v>
      </c>
      <c r="D300" s="195" t="s">
        <v>597</v>
      </c>
      <c r="E300" s="195">
        <v>41027</v>
      </c>
      <c r="F300" s="203" t="s">
        <v>850</v>
      </c>
      <c r="G300" s="751" t="s">
        <v>845</v>
      </c>
      <c r="H300" s="7" t="s">
        <v>564</v>
      </c>
      <c r="I300" s="277">
        <v>250</v>
      </c>
      <c r="J300" s="277">
        <v>8505</v>
      </c>
      <c r="K300" s="749">
        <v>2126250</v>
      </c>
      <c r="L300" s="750" t="s">
        <v>191</v>
      </c>
      <c r="M300" s="750" t="s">
        <v>8</v>
      </c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>x</v>
      </c>
      <c r="AB300" s="740"/>
      <c r="AC300" s="226" t="str">
        <f>IF(ISNA(VLOOKUP(F300,NXT!$C$18:$C$347,1,0)),x,"")</f>
        <v/>
      </c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>
        <f t="shared" si="7"/>
        <v>4</v>
      </c>
      <c r="C301" s="195">
        <v>41027</v>
      </c>
      <c r="D301" s="195" t="s">
        <v>597</v>
      </c>
      <c r="E301" s="195">
        <v>41027</v>
      </c>
      <c r="F301" s="203" t="s">
        <v>851</v>
      </c>
      <c r="G301" s="751" t="s">
        <v>845</v>
      </c>
      <c r="H301" s="7" t="s">
        <v>564</v>
      </c>
      <c r="I301" s="277">
        <v>195</v>
      </c>
      <c r="J301" s="277">
        <v>12241</v>
      </c>
      <c r="K301" s="749">
        <v>2386995</v>
      </c>
      <c r="L301" s="750" t="s">
        <v>191</v>
      </c>
      <c r="M301" s="750" t="s">
        <v>8</v>
      </c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>x</v>
      </c>
      <c r="AB301" s="740"/>
      <c r="AC301" s="226" t="str">
        <f>IF(ISNA(VLOOKUP(F301,NXT!$C$18:$C$347,1,0)),x,"")</f>
        <v/>
      </c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>
        <f t="shared" si="7"/>
        <v>4</v>
      </c>
      <c r="C302" s="195">
        <v>41027</v>
      </c>
      <c r="D302" s="195" t="s">
        <v>597</v>
      </c>
      <c r="E302" s="195">
        <v>41027</v>
      </c>
      <c r="F302" s="203" t="s">
        <v>852</v>
      </c>
      <c r="G302" s="751" t="s">
        <v>845</v>
      </c>
      <c r="H302" s="7" t="s">
        <v>564</v>
      </c>
      <c r="I302" s="277">
        <v>100</v>
      </c>
      <c r="J302" s="277">
        <v>22361</v>
      </c>
      <c r="K302" s="749">
        <v>2236100</v>
      </c>
      <c r="L302" s="750" t="s">
        <v>191</v>
      </c>
      <c r="M302" s="750" t="s">
        <v>8</v>
      </c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>x</v>
      </c>
      <c r="AB302" s="740"/>
      <c r="AC302" s="226" t="str">
        <f>IF(ISNA(VLOOKUP(F302,NXT!$C$18:$C$347,1,0)),x,"")</f>
        <v/>
      </c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>
        <f t="shared" si="7"/>
        <v>4</v>
      </c>
      <c r="C303" s="37">
        <v>41027</v>
      </c>
      <c r="D303" s="195" t="s">
        <v>597</v>
      </c>
      <c r="E303" s="37">
        <v>41027</v>
      </c>
      <c r="F303" s="40" t="s">
        <v>650</v>
      </c>
      <c r="G303" s="627" t="s">
        <v>845</v>
      </c>
      <c r="H303" s="7" t="s">
        <v>564</v>
      </c>
      <c r="I303" s="277"/>
      <c r="J303" s="277"/>
      <c r="K303" s="38">
        <v>1370539</v>
      </c>
      <c r="L303" s="39" t="s">
        <v>9</v>
      </c>
      <c r="M303" s="750" t="s">
        <v>8</v>
      </c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>x</v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>
        <f t="shared" si="7"/>
        <v>4</v>
      </c>
      <c r="C304" s="37">
        <v>41027</v>
      </c>
      <c r="D304" s="195" t="s">
        <v>598</v>
      </c>
      <c r="E304" s="37">
        <v>41027</v>
      </c>
      <c r="F304" s="40" t="s">
        <v>798</v>
      </c>
      <c r="G304" s="627" t="s">
        <v>853</v>
      </c>
      <c r="H304" s="7" t="s">
        <v>564</v>
      </c>
      <c r="I304" s="277">
        <v>150</v>
      </c>
      <c r="J304" s="277">
        <v>11176</v>
      </c>
      <c r="K304" s="38">
        <v>1676400</v>
      </c>
      <c r="L304" s="39" t="s">
        <v>191</v>
      </c>
      <c r="M304" s="750" t="s">
        <v>8</v>
      </c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>x</v>
      </c>
      <c r="AB304" s="740"/>
      <c r="AC304" s="226" t="str">
        <f>IF(ISNA(VLOOKUP(F304,NXT!$C$18:$C$347,1,0)),x,"")</f>
        <v/>
      </c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>
        <f t="shared" si="7"/>
        <v>4</v>
      </c>
      <c r="C305" s="37">
        <v>41027</v>
      </c>
      <c r="D305" s="195" t="s">
        <v>598</v>
      </c>
      <c r="E305" s="111">
        <v>41027</v>
      </c>
      <c r="F305" s="203" t="s">
        <v>854</v>
      </c>
      <c r="G305" s="627" t="s">
        <v>853</v>
      </c>
      <c r="H305" s="7" t="s">
        <v>564</v>
      </c>
      <c r="I305" s="277">
        <v>300</v>
      </c>
      <c r="J305" s="277">
        <v>13112</v>
      </c>
      <c r="K305" s="749">
        <v>3933600</v>
      </c>
      <c r="L305" s="39" t="s">
        <v>191</v>
      </c>
      <c r="M305" s="750" t="s">
        <v>8</v>
      </c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>x</v>
      </c>
      <c r="AC305" s="226" t="str">
        <f>IF(ISNA(VLOOKUP(F305,NXT!$C$18:$C$347,1,0)),x,"")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>
        <f t="shared" si="7"/>
        <v>4</v>
      </c>
      <c r="C306" s="37">
        <v>41027</v>
      </c>
      <c r="D306" s="195" t="s">
        <v>598</v>
      </c>
      <c r="E306" s="111">
        <v>41027</v>
      </c>
      <c r="F306" s="203" t="s">
        <v>855</v>
      </c>
      <c r="G306" s="627" t="s">
        <v>853</v>
      </c>
      <c r="H306" s="7" t="s">
        <v>564</v>
      </c>
      <c r="I306" s="277">
        <v>200</v>
      </c>
      <c r="J306" s="277">
        <v>23543</v>
      </c>
      <c r="K306" s="38">
        <v>4708600</v>
      </c>
      <c r="L306" s="39" t="s">
        <v>191</v>
      </c>
      <c r="M306" s="750" t="s">
        <v>8</v>
      </c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>x</v>
      </c>
      <c r="AC306" s="226" t="str">
        <f>IF(ISNA(VLOOKUP(F306,NXT!$C$18:$C$347,1,0)),x,"")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>
        <f t="shared" si="7"/>
        <v>4</v>
      </c>
      <c r="C307" s="37">
        <v>41027</v>
      </c>
      <c r="D307" s="195" t="s">
        <v>598</v>
      </c>
      <c r="E307" s="111">
        <v>41027</v>
      </c>
      <c r="F307" s="40" t="s">
        <v>856</v>
      </c>
      <c r="G307" s="627" t="s">
        <v>853</v>
      </c>
      <c r="H307" s="7" t="s">
        <v>564</v>
      </c>
      <c r="I307" s="278">
        <v>150</v>
      </c>
      <c r="J307" s="278">
        <v>11706</v>
      </c>
      <c r="K307" s="38">
        <v>1755900</v>
      </c>
      <c r="L307" s="39" t="s">
        <v>191</v>
      </c>
      <c r="M307" s="750" t="s">
        <v>8</v>
      </c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>x</v>
      </c>
      <c r="AC307" s="226" t="str">
        <f>IF(ISNA(VLOOKUP(F307,NXT!$C$18:$C$347,1,0)),x,"")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>
        <f t="shared" si="7"/>
        <v>4</v>
      </c>
      <c r="C308" s="195">
        <v>41027</v>
      </c>
      <c r="D308" s="195" t="s">
        <v>598</v>
      </c>
      <c r="E308" s="195">
        <v>41027</v>
      </c>
      <c r="F308" s="203" t="s">
        <v>857</v>
      </c>
      <c r="G308" s="751" t="s">
        <v>853</v>
      </c>
      <c r="H308" s="7" t="s">
        <v>564</v>
      </c>
      <c r="I308" s="277">
        <v>500</v>
      </c>
      <c r="J308" s="277">
        <v>23149</v>
      </c>
      <c r="K308" s="749">
        <v>11574500</v>
      </c>
      <c r="L308" s="750" t="s">
        <v>191</v>
      </c>
      <c r="M308" s="750" t="s">
        <v>8</v>
      </c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>x</v>
      </c>
      <c r="AB308" s="740"/>
      <c r="AC308" s="226" t="str">
        <f>IF(ISNA(VLOOKUP(F308,NXT!$C$18:$C$347,1,0)),x,"")</f>
        <v/>
      </c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>
        <f t="shared" si="7"/>
        <v>4</v>
      </c>
      <c r="C309" s="37">
        <v>41027</v>
      </c>
      <c r="D309" s="195" t="s">
        <v>598</v>
      </c>
      <c r="E309" s="37">
        <v>41027</v>
      </c>
      <c r="F309" s="40" t="s">
        <v>858</v>
      </c>
      <c r="G309" s="627" t="s">
        <v>853</v>
      </c>
      <c r="H309" s="7" t="s">
        <v>564</v>
      </c>
      <c r="I309" s="277">
        <v>100</v>
      </c>
      <c r="J309" s="277">
        <v>40996</v>
      </c>
      <c r="K309" s="38">
        <v>4099600</v>
      </c>
      <c r="L309" s="39" t="s">
        <v>191</v>
      </c>
      <c r="M309" s="750" t="s">
        <v>8</v>
      </c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>x</v>
      </c>
      <c r="AC309" s="226" t="str">
        <f>IF(ISNA(VLOOKUP(F309,NXT!$C$18:$C$347,1,0)),x,"")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>
        <f t="shared" si="7"/>
        <v>4</v>
      </c>
      <c r="C310" s="37">
        <v>41027</v>
      </c>
      <c r="D310" s="195" t="s">
        <v>598</v>
      </c>
      <c r="E310" s="37">
        <v>41027</v>
      </c>
      <c r="F310" s="40" t="s">
        <v>650</v>
      </c>
      <c r="G310" s="627" t="s">
        <v>853</v>
      </c>
      <c r="H310" s="7" t="s">
        <v>564</v>
      </c>
      <c r="I310" s="277"/>
      <c r="J310" s="277"/>
      <c r="K310" s="38">
        <v>2774860</v>
      </c>
      <c r="L310" s="39" t="s">
        <v>9</v>
      </c>
      <c r="M310" s="750" t="s">
        <v>8</v>
      </c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>x</v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>
        <f t="shared" si="7"/>
        <v>5</v>
      </c>
      <c r="C311" s="37">
        <v>41032</v>
      </c>
      <c r="D311" s="195" t="s">
        <v>450</v>
      </c>
      <c r="E311" s="111">
        <v>41032</v>
      </c>
      <c r="F311" s="40" t="s">
        <v>452</v>
      </c>
      <c r="G311" s="627" t="s">
        <v>447</v>
      </c>
      <c r="H311" s="45"/>
      <c r="I311" s="277"/>
      <c r="J311" s="277"/>
      <c r="K311" s="38">
        <v>13717688</v>
      </c>
      <c r="L311" s="39" t="s">
        <v>24</v>
      </c>
      <c r="M311" s="39" t="s">
        <v>352</v>
      </c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>x</v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>x</v>
      </c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>
        <f t="shared" si="7"/>
        <v>5</v>
      </c>
      <c r="C312" s="37">
        <v>41032</v>
      </c>
      <c r="D312" s="195" t="s">
        <v>450</v>
      </c>
      <c r="E312" s="111">
        <v>41032</v>
      </c>
      <c r="F312" s="40" t="s">
        <v>452</v>
      </c>
      <c r="G312" s="627" t="s">
        <v>447</v>
      </c>
      <c r="H312" s="45"/>
      <c r="I312" s="277"/>
      <c r="J312" s="277"/>
      <c r="K312" s="38">
        <v>17841120</v>
      </c>
      <c r="L312" s="39" t="s">
        <v>24</v>
      </c>
      <c r="M312" s="39" t="s">
        <v>352</v>
      </c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>x</v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>x</v>
      </c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>
        <f t="shared" si="7"/>
        <v>5</v>
      </c>
      <c r="C313" s="37">
        <v>41034</v>
      </c>
      <c r="D313" s="195" t="s">
        <v>540</v>
      </c>
      <c r="E313" s="37">
        <v>41034</v>
      </c>
      <c r="F313" s="330" t="s">
        <v>627</v>
      </c>
      <c r="G313" s="627" t="s">
        <v>447</v>
      </c>
      <c r="H313" s="7" t="s">
        <v>783</v>
      </c>
      <c r="I313" s="277"/>
      <c r="J313" s="277"/>
      <c r="K313" s="749">
        <v>36000000</v>
      </c>
      <c r="L313" s="39" t="s">
        <v>49</v>
      </c>
      <c r="M313" s="39" t="s">
        <v>24</v>
      </c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>x</v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>x</v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>x</v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>
        <f t="shared" si="7"/>
        <v>5</v>
      </c>
      <c r="C314" s="37">
        <v>41038</v>
      </c>
      <c r="D314" s="195" t="s">
        <v>450</v>
      </c>
      <c r="E314" s="37">
        <v>41038</v>
      </c>
      <c r="F314" s="330" t="s">
        <v>452</v>
      </c>
      <c r="G314" s="627" t="s">
        <v>447</v>
      </c>
      <c r="H314" s="7"/>
      <c r="I314" s="277"/>
      <c r="J314" s="277"/>
      <c r="K314" s="38">
        <v>167687351</v>
      </c>
      <c r="L314" s="39" t="s">
        <v>24</v>
      </c>
      <c r="M314" s="39" t="s">
        <v>352</v>
      </c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>x</v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>x</v>
      </c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>
        <f t="shared" si="7"/>
        <v>5</v>
      </c>
      <c r="C315" s="195">
        <v>41039</v>
      </c>
      <c r="D315" s="195" t="s">
        <v>599</v>
      </c>
      <c r="E315" s="195">
        <v>41039</v>
      </c>
      <c r="F315" s="203" t="s">
        <v>859</v>
      </c>
      <c r="G315" s="751" t="s">
        <v>860</v>
      </c>
      <c r="H315" s="7" t="s">
        <v>564</v>
      </c>
      <c r="I315" s="277">
        <v>350</v>
      </c>
      <c r="J315" s="277">
        <v>15429</v>
      </c>
      <c r="K315" s="749">
        <v>5400150</v>
      </c>
      <c r="L315" s="750" t="s">
        <v>191</v>
      </c>
      <c r="M315" s="750" t="s">
        <v>8</v>
      </c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>x</v>
      </c>
      <c r="AB315" s="740"/>
      <c r="AC315" s="226" t="str">
        <f>IF(ISNA(VLOOKUP(F315,NXT!$C$18:$C$347,1,0)),x,"")</f>
        <v/>
      </c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>
        <f t="shared" si="7"/>
        <v>5</v>
      </c>
      <c r="C316" s="37">
        <v>41039</v>
      </c>
      <c r="D316" s="195" t="s">
        <v>599</v>
      </c>
      <c r="E316" s="205">
        <v>41039</v>
      </c>
      <c r="F316" s="40" t="s">
        <v>861</v>
      </c>
      <c r="G316" s="627" t="s">
        <v>860</v>
      </c>
      <c r="H316" s="7" t="s">
        <v>564</v>
      </c>
      <c r="I316" s="277">
        <v>250</v>
      </c>
      <c r="J316" s="277">
        <v>17722</v>
      </c>
      <c r="K316" s="38">
        <v>4430500</v>
      </c>
      <c r="L316" s="39" t="s">
        <v>191</v>
      </c>
      <c r="M316" s="750" t="s">
        <v>8</v>
      </c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>x</v>
      </c>
      <c r="AC316" s="226" t="str">
        <f>IF(ISNA(VLOOKUP(F316,NXT!$C$18:$C$347,1,0)),x,"")</f>
        <v/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>
        <f t="shared" si="7"/>
        <v>5</v>
      </c>
      <c r="C317" s="37">
        <v>41039</v>
      </c>
      <c r="D317" s="195" t="s">
        <v>599</v>
      </c>
      <c r="E317" s="205">
        <v>41039</v>
      </c>
      <c r="F317" s="40" t="s">
        <v>862</v>
      </c>
      <c r="G317" s="627" t="s">
        <v>860</v>
      </c>
      <c r="H317" s="7" t="s">
        <v>564</v>
      </c>
      <c r="I317" s="277">
        <v>150</v>
      </c>
      <c r="J317" s="277">
        <v>27900</v>
      </c>
      <c r="K317" s="38">
        <v>4185000</v>
      </c>
      <c r="L317" s="39" t="s">
        <v>191</v>
      </c>
      <c r="M317" s="750" t="s">
        <v>8</v>
      </c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>x</v>
      </c>
      <c r="AC317" s="226" t="str">
        <f>IF(ISNA(VLOOKUP(F317,NXT!$C$18:$C$347,1,0)),x,"")</f>
        <v/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>
        <f t="shared" si="7"/>
        <v>5</v>
      </c>
      <c r="C318" s="195">
        <v>41039</v>
      </c>
      <c r="D318" s="195" t="s">
        <v>599</v>
      </c>
      <c r="E318" s="195">
        <v>41039</v>
      </c>
      <c r="F318" s="203" t="s">
        <v>863</v>
      </c>
      <c r="G318" s="751" t="s">
        <v>860</v>
      </c>
      <c r="H318" s="7" t="s">
        <v>564</v>
      </c>
      <c r="I318" s="277">
        <v>100</v>
      </c>
      <c r="J318" s="277">
        <v>23250</v>
      </c>
      <c r="K318" s="749">
        <v>2325000</v>
      </c>
      <c r="L318" s="750" t="s">
        <v>191</v>
      </c>
      <c r="M318" s="750" t="s">
        <v>8</v>
      </c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>x</v>
      </c>
      <c r="AB318" s="740"/>
      <c r="AC318" s="226" t="str">
        <f>IF(ISNA(VLOOKUP(F318,NXT!$C$18:$C$347,1,0)),x,"")</f>
        <v/>
      </c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>
        <f t="shared" si="7"/>
        <v>5</v>
      </c>
      <c r="C319" s="195">
        <v>41039</v>
      </c>
      <c r="D319" s="195" t="s">
        <v>599</v>
      </c>
      <c r="E319" s="195">
        <v>41039</v>
      </c>
      <c r="F319" s="203" t="s">
        <v>864</v>
      </c>
      <c r="G319" s="751" t="s">
        <v>860</v>
      </c>
      <c r="H319" s="7" t="s">
        <v>564</v>
      </c>
      <c r="I319" s="277">
        <v>100</v>
      </c>
      <c r="J319" s="277">
        <v>9332</v>
      </c>
      <c r="K319" s="749">
        <v>933200</v>
      </c>
      <c r="L319" s="750" t="s">
        <v>191</v>
      </c>
      <c r="M319" s="750" t="s">
        <v>8</v>
      </c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>x</v>
      </c>
      <c r="AB319" s="740"/>
      <c r="AC319" s="226" t="str">
        <f>IF(ISNA(VLOOKUP(F319,NXT!$C$18:$C$347,1,0)),x,"")</f>
        <v/>
      </c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>
        <f t="shared" si="7"/>
        <v>5</v>
      </c>
      <c r="C320" s="195">
        <v>41039</v>
      </c>
      <c r="D320" s="195" t="s">
        <v>599</v>
      </c>
      <c r="E320" s="195">
        <v>41039</v>
      </c>
      <c r="F320" s="203" t="s">
        <v>865</v>
      </c>
      <c r="G320" s="751" t="s">
        <v>860</v>
      </c>
      <c r="H320" s="7" t="s">
        <v>564</v>
      </c>
      <c r="I320" s="277">
        <v>500</v>
      </c>
      <c r="J320" s="277">
        <v>15825</v>
      </c>
      <c r="K320" s="749">
        <v>7912500</v>
      </c>
      <c r="L320" s="750" t="s">
        <v>191</v>
      </c>
      <c r="M320" s="750" t="s">
        <v>8</v>
      </c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>x</v>
      </c>
      <c r="AB320" s="740"/>
      <c r="AC320" s="226" t="str">
        <f>IF(ISNA(VLOOKUP(F320,NXT!$C$18:$C$347,1,0)),x,"")</f>
        <v/>
      </c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>
        <f t="shared" si="7"/>
        <v>5</v>
      </c>
      <c r="C321" s="195">
        <v>41039</v>
      </c>
      <c r="D321" s="195" t="s">
        <v>599</v>
      </c>
      <c r="E321" s="195">
        <v>41039</v>
      </c>
      <c r="F321" s="203" t="s">
        <v>650</v>
      </c>
      <c r="G321" s="751" t="s">
        <v>860</v>
      </c>
      <c r="H321" s="7" t="s">
        <v>564</v>
      </c>
      <c r="I321" s="277"/>
      <c r="J321" s="277"/>
      <c r="K321" s="749">
        <v>2518635</v>
      </c>
      <c r="L321" s="750" t="s">
        <v>9</v>
      </c>
      <c r="M321" s="750" t="s">
        <v>8</v>
      </c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>x</v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>
        <f t="shared" si="7"/>
        <v>5</v>
      </c>
      <c r="C322" s="195">
        <v>41039</v>
      </c>
      <c r="D322" s="195" t="s">
        <v>600</v>
      </c>
      <c r="E322" s="195">
        <v>41039</v>
      </c>
      <c r="F322" s="203" t="s">
        <v>866</v>
      </c>
      <c r="G322" s="751" t="s">
        <v>867</v>
      </c>
      <c r="H322" s="7" t="s">
        <v>564</v>
      </c>
      <c r="I322" s="277">
        <v>250</v>
      </c>
      <c r="J322" s="277">
        <v>22887</v>
      </c>
      <c r="K322" s="749">
        <v>5721750</v>
      </c>
      <c r="L322" s="750" t="s">
        <v>191</v>
      </c>
      <c r="M322" s="750" t="s">
        <v>8</v>
      </c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>x</v>
      </c>
      <c r="AB322" s="740"/>
      <c r="AC322" s="226" t="str">
        <f>IF(ISNA(VLOOKUP(F322,NXT!$C$18:$C$347,1,0)),x,"")</f>
        <v/>
      </c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>
        <f t="shared" si="7"/>
        <v>5</v>
      </c>
      <c r="C323" s="37">
        <v>41039</v>
      </c>
      <c r="D323" s="195" t="s">
        <v>600</v>
      </c>
      <c r="E323" s="37">
        <v>41039</v>
      </c>
      <c r="F323" s="40" t="s">
        <v>868</v>
      </c>
      <c r="G323" s="627" t="s">
        <v>867</v>
      </c>
      <c r="H323" s="7" t="s">
        <v>564</v>
      </c>
      <c r="I323" s="277">
        <v>100</v>
      </c>
      <c r="J323" s="277">
        <v>17625</v>
      </c>
      <c r="K323" s="749">
        <v>1762500</v>
      </c>
      <c r="L323" s="39" t="s">
        <v>191</v>
      </c>
      <c r="M323" s="750" t="s">
        <v>8</v>
      </c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>x</v>
      </c>
      <c r="AC323" s="226" t="str">
        <f>IF(ISNA(VLOOKUP(F323,NXT!$C$18:$C$347,1,0)),x,"")</f>
        <v/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>
        <f t="shared" si="7"/>
        <v>5</v>
      </c>
      <c r="C324" s="37">
        <v>41039</v>
      </c>
      <c r="D324" s="195" t="s">
        <v>600</v>
      </c>
      <c r="E324" s="37">
        <v>41039</v>
      </c>
      <c r="F324" s="40" t="s">
        <v>869</v>
      </c>
      <c r="G324" s="627" t="s">
        <v>867</v>
      </c>
      <c r="H324" s="7" t="s">
        <v>564</v>
      </c>
      <c r="I324" s="277">
        <v>100</v>
      </c>
      <c r="J324" s="277">
        <v>14463</v>
      </c>
      <c r="K324" s="38">
        <v>1446300</v>
      </c>
      <c r="L324" s="39" t="s">
        <v>191</v>
      </c>
      <c r="M324" s="750" t="s">
        <v>8</v>
      </c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>x</v>
      </c>
      <c r="AC324" s="226" t="str">
        <f>IF(ISNA(VLOOKUP(F324,NXT!$C$18:$C$347,1,0)),x,"")</f>
        <v/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>
        <f t="shared" si="7"/>
        <v>5</v>
      </c>
      <c r="C325" s="195">
        <v>41039</v>
      </c>
      <c r="D325" s="195" t="s">
        <v>600</v>
      </c>
      <c r="E325" s="195">
        <v>41039</v>
      </c>
      <c r="F325" s="203" t="s">
        <v>870</v>
      </c>
      <c r="G325" s="751" t="s">
        <v>867</v>
      </c>
      <c r="H325" s="7" t="s">
        <v>564</v>
      </c>
      <c r="I325" s="277">
        <v>500</v>
      </c>
      <c r="J325" s="277">
        <v>18306</v>
      </c>
      <c r="K325" s="749">
        <v>9153000</v>
      </c>
      <c r="L325" s="750" t="s">
        <v>191</v>
      </c>
      <c r="M325" s="750" t="s">
        <v>8</v>
      </c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>x</v>
      </c>
      <c r="AB325" s="740"/>
      <c r="AC325" s="226" t="str">
        <f>IF(ISNA(VLOOKUP(F325,NXT!$C$18:$C$347,1,0)),x,"")</f>
        <v/>
      </c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>
        <f t="shared" si="7"/>
        <v>5</v>
      </c>
      <c r="C326" s="195">
        <v>41039</v>
      </c>
      <c r="D326" s="195" t="s">
        <v>600</v>
      </c>
      <c r="E326" s="195">
        <v>41039</v>
      </c>
      <c r="F326" s="203" t="s">
        <v>868</v>
      </c>
      <c r="G326" s="751" t="s">
        <v>867</v>
      </c>
      <c r="H326" s="7" t="s">
        <v>564</v>
      </c>
      <c r="I326" s="277">
        <v>250</v>
      </c>
      <c r="J326" s="277">
        <v>18352</v>
      </c>
      <c r="K326" s="749">
        <v>4588000</v>
      </c>
      <c r="L326" s="750" t="s">
        <v>191</v>
      </c>
      <c r="M326" s="750" t="s">
        <v>8</v>
      </c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>x</v>
      </c>
      <c r="AB326" s="740"/>
      <c r="AC326" s="226" t="str">
        <f>IF(ISNA(VLOOKUP(F326,NXT!$C$18:$C$347,1,0)),x,"")</f>
        <v/>
      </c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>
        <f t="shared" si="7"/>
        <v>5</v>
      </c>
      <c r="C327" s="195">
        <v>41039</v>
      </c>
      <c r="D327" s="195" t="s">
        <v>600</v>
      </c>
      <c r="E327" s="195">
        <v>41039</v>
      </c>
      <c r="F327" s="203" t="s">
        <v>650</v>
      </c>
      <c r="G327" s="751" t="s">
        <v>867</v>
      </c>
      <c r="H327" s="7" t="s">
        <v>564</v>
      </c>
      <c r="I327" s="277"/>
      <c r="J327" s="277"/>
      <c r="K327" s="749">
        <v>2267155</v>
      </c>
      <c r="L327" s="750" t="s">
        <v>9</v>
      </c>
      <c r="M327" s="750" t="s">
        <v>8</v>
      </c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>x</v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>
        <f t="shared" si="7"/>
        <v>5</v>
      </c>
      <c r="C328" s="37">
        <v>41040</v>
      </c>
      <c r="D328" s="195" t="s">
        <v>451</v>
      </c>
      <c r="E328" s="37">
        <v>41040</v>
      </c>
      <c r="F328" s="40" t="s">
        <v>532</v>
      </c>
      <c r="G328" s="627" t="s">
        <v>447</v>
      </c>
      <c r="H328" s="45"/>
      <c r="I328" s="277"/>
      <c r="J328" s="277"/>
      <c r="K328" s="38">
        <v>167598000</v>
      </c>
      <c r="L328" s="39" t="s">
        <v>8</v>
      </c>
      <c r="M328" s="39" t="s">
        <v>24</v>
      </c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>x</v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>x</v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>
        <f t="shared" si="7"/>
        <v>5</v>
      </c>
      <c r="C329" s="37">
        <v>41040</v>
      </c>
      <c r="D329" s="195" t="s">
        <v>451</v>
      </c>
      <c r="E329" s="37">
        <v>41040</v>
      </c>
      <c r="F329" s="40" t="s">
        <v>453</v>
      </c>
      <c r="G329" s="627" t="s">
        <v>447</v>
      </c>
      <c r="H329" s="45"/>
      <c r="I329" s="277"/>
      <c r="J329" s="277"/>
      <c r="K329" s="38">
        <v>83799</v>
      </c>
      <c r="L329" s="39" t="s">
        <v>87</v>
      </c>
      <c r="M329" s="39" t="s">
        <v>24</v>
      </c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>x</v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>x</v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>
        <f t="shared" si="7"/>
        <v>5</v>
      </c>
      <c r="C330" s="195">
        <v>41040</v>
      </c>
      <c r="D330" s="195" t="s">
        <v>545</v>
      </c>
      <c r="E330" s="195">
        <v>41040</v>
      </c>
      <c r="F330" s="203" t="s">
        <v>871</v>
      </c>
      <c r="G330" s="751" t="s">
        <v>872</v>
      </c>
      <c r="H330" s="45" t="s">
        <v>533</v>
      </c>
      <c r="I330" s="277"/>
      <c r="J330" s="277"/>
      <c r="K330" s="749">
        <v>2580000</v>
      </c>
      <c r="L330" s="750" t="s">
        <v>199</v>
      </c>
      <c r="M330" s="750" t="s">
        <v>49</v>
      </c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>x</v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>x</v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>
        <f t="shared" si="7"/>
        <v>5</v>
      </c>
      <c r="C331" s="195">
        <v>41040</v>
      </c>
      <c r="D331" s="195" t="s">
        <v>545</v>
      </c>
      <c r="E331" s="195">
        <v>41040</v>
      </c>
      <c r="F331" s="203" t="s">
        <v>459</v>
      </c>
      <c r="G331" s="751" t="s">
        <v>872</v>
      </c>
      <c r="H331" s="7" t="s">
        <v>533</v>
      </c>
      <c r="I331" s="277"/>
      <c r="J331" s="277"/>
      <c r="K331" s="749">
        <v>258000</v>
      </c>
      <c r="L331" s="750" t="s">
        <v>9</v>
      </c>
      <c r="M331" s="750" t="s">
        <v>49</v>
      </c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>x</v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>x</v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>
        <f t="shared" si="7"/>
        <v>5</v>
      </c>
      <c r="C332" s="195">
        <v>41040</v>
      </c>
      <c r="D332" s="195" t="s">
        <v>601</v>
      </c>
      <c r="E332" s="195">
        <v>41040</v>
      </c>
      <c r="F332" s="203" t="s">
        <v>873</v>
      </c>
      <c r="G332" s="751" t="s">
        <v>874</v>
      </c>
      <c r="H332" s="7" t="s">
        <v>564</v>
      </c>
      <c r="I332" s="277">
        <v>500</v>
      </c>
      <c r="J332" s="277">
        <v>7510</v>
      </c>
      <c r="K332" s="749">
        <v>3755000</v>
      </c>
      <c r="L332" s="750" t="s">
        <v>191</v>
      </c>
      <c r="M332" s="750" t="s">
        <v>8</v>
      </c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>x</v>
      </c>
      <c r="AB332" s="740"/>
      <c r="AC332" s="226" t="str">
        <f>IF(ISNA(VLOOKUP(F332,NXT!$C$18:$C$347,1,0)),x,"")</f>
        <v/>
      </c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>
        <f t="shared" si="7"/>
        <v>5</v>
      </c>
      <c r="C333" s="195">
        <v>41040</v>
      </c>
      <c r="D333" s="195" t="s">
        <v>601</v>
      </c>
      <c r="E333" s="195">
        <v>41040</v>
      </c>
      <c r="F333" s="203" t="s">
        <v>875</v>
      </c>
      <c r="G333" s="751" t="s">
        <v>874</v>
      </c>
      <c r="H333" s="7" t="s">
        <v>564</v>
      </c>
      <c r="I333" s="277">
        <v>500</v>
      </c>
      <c r="J333" s="277">
        <v>8316</v>
      </c>
      <c r="K333" s="749">
        <v>4158000</v>
      </c>
      <c r="L333" s="750" t="s">
        <v>191</v>
      </c>
      <c r="M333" s="750" t="s">
        <v>8</v>
      </c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>x</v>
      </c>
      <c r="AB333" s="740"/>
      <c r="AC333" s="226" t="str">
        <f>IF(ISNA(VLOOKUP(F333,NXT!$C$18:$C$347,1,0)),x,"")</f>
        <v/>
      </c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>
        <f t="shared" si="7"/>
        <v>5</v>
      </c>
      <c r="C334" s="195">
        <v>41040</v>
      </c>
      <c r="D334" s="195" t="s">
        <v>601</v>
      </c>
      <c r="E334" s="195">
        <v>41040</v>
      </c>
      <c r="F334" s="203" t="s">
        <v>876</v>
      </c>
      <c r="G334" s="751" t="s">
        <v>874</v>
      </c>
      <c r="H334" s="7" t="s">
        <v>564</v>
      </c>
      <c r="I334" s="277">
        <v>150</v>
      </c>
      <c r="J334" s="277">
        <v>4864</v>
      </c>
      <c r="K334" s="749">
        <v>729600</v>
      </c>
      <c r="L334" s="750" t="s">
        <v>191</v>
      </c>
      <c r="M334" s="750" t="s">
        <v>8</v>
      </c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>x</v>
      </c>
      <c r="AB334" s="740"/>
      <c r="AC334" s="226" t="str">
        <f>IF(ISNA(VLOOKUP(F334,NXT!$C$18:$C$347,1,0)),x,"")</f>
        <v/>
      </c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>
        <f t="shared" si="7"/>
        <v>5</v>
      </c>
      <c r="C335" s="37">
        <v>41040</v>
      </c>
      <c r="D335" s="195" t="s">
        <v>601</v>
      </c>
      <c r="E335" s="37">
        <v>41040</v>
      </c>
      <c r="F335" s="40" t="s">
        <v>877</v>
      </c>
      <c r="G335" s="627" t="s">
        <v>874</v>
      </c>
      <c r="H335" s="7" t="s">
        <v>564</v>
      </c>
      <c r="I335" s="277">
        <v>500</v>
      </c>
      <c r="J335" s="277">
        <v>10775</v>
      </c>
      <c r="K335" s="38">
        <v>5387500</v>
      </c>
      <c r="L335" s="39" t="s">
        <v>191</v>
      </c>
      <c r="M335" s="750" t="s">
        <v>8</v>
      </c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>x</v>
      </c>
      <c r="AC335" s="226" t="str">
        <f>IF(ISNA(VLOOKUP(F335,NXT!$C$18:$C$347,1,0)),x,"")</f>
        <v/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>
        <f t="shared" si="7"/>
        <v>5</v>
      </c>
      <c r="C336" s="37">
        <v>41040</v>
      </c>
      <c r="D336" s="195" t="s">
        <v>601</v>
      </c>
      <c r="E336" s="37">
        <v>41040</v>
      </c>
      <c r="F336" s="40" t="s">
        <v>841</v>
      </c>
      <c r="G336" s="627" t="s">
        <v>874</v>
      </c>
      <c r="H336" s="7" t="s">
        <v>564</v>
      </c>
      <c r="I336" s="277">
        <v>100</v>
      </c>
      <c r="J336" s="277">
        <v>11150</v>
      </c>
      <c r="K336" s="38">
        <v>1115000</v>
      </c>
      <c r="L336" s="39" t="s">
        <v>191</v>
      </c>
      <c r="M336" s="750" t="s">
        <v>8</v>
      </c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>x</v>
      </c>
      <c r="AB336" s="226"/>
      <c r="AC336" s="226" t="str">
        <f>IF(ISNA(VLOOKUP(F336,NXT!$C$18:$C$347,1,0)),x,"")</f>
        <v/>
      </c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>
        <f t="shared" si="7"/>
        <v>5</v>
      </c>
      <c r="C337" s="37">
        <v>41040</v>
      </c>
      <c r="D337" s="195" t="s">
        <v>601</v>
      </c>
      <c r="E337" s="37">
        <v>41040</v>
      </c>
      <c r="F337" s="40" t="s">
        <v>650</v>
      </c>
      <c r="G337" s="627" t="s">
        <v>874</v>
      </c>
      <c r="H337" s="7" t="s">
        <v>564</v>
      </c>
      <c r="I337" s="277"/>
      <c r="J337" s="277"/>
      <c r="K337" s="749">
        <v>1514510</v>
      </c>
      <c r="L337" s="39" t="s">
        <v>9</v>
      </c>
      <c r="M337" s="750" t="s">
        <v>8</v>
      </c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>x</v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>
        <f t="shared" si="7"/>
        <v>5</v>
      </c>
      <c r="C338" s="37">
        <v>41040</v>
      </c>
      <c r="D338" s="195" t="s">
        <v>602</v>
      </c>
      <c r="E338" s="37">
        <v>41040</v>
      </c>
      <c r="F338" s="40" t="s">
        <v>827</v>
      </c>
      <c r="G338" s="627" t="s">
        <v>878</v>
      </c>
      <c r="H338" s="7" t="s">
        <v>564</v>
      </c>
      <c r="I338" s="277">
        <v>100</v>
      </c>
      <c r="J338" s="277">
        <v>19819</v>
      </c>
      <c r="K338" s="38">
        <v>1981900</v>
      </c>
      <c r="L338" s="39" t="s">
        <v>191</v>
      </c>
      <c r="M338" s="750" t="s">
        <v>8</v>
      </c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>x</v>
      </c>
      <c r="AC338" s="226" t="str">
        <f>IF(ISNA(VLOOKUP(F338,NXT!$C$18:$C$347,1,0)),x,"")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>
        <f t="shared" si="7"/>
        <v>5</v>
      </c>
      <c r="C339" s="37">
        <v>41040</v>
      </c>
      <c r="D339" s="195" t="s">
        <v>602</v>
      </c>
      <c r="E339" s="37">
        <v>41040</v>
      </c>
      <c r="F339" s="40" t="s">
        <v>879</v>
      </c>
      <c r="G339" s="624" t="s">
        <v>878</v>
      </c>
      <c r="H339" s="7" t="s">
        <v>564</v>
      </c>
      <c r="I339" s="278">
        <v>50</v>
      </c>
      <c r="J339" s="277">
        <v>22224</v>
      </c>
      <c r="K339" s="38">
        <v>1111200</v>
      </c>
      <c r="L339" s="39" t="s">
        <v>191</v>
      </c>
      <c r="M339" s="750" t="s">
        <v>8</v>
      </c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>x</v>
      </c>
      <c r="AC339" s="226" t="str">
        <f>IF(ISNA(VLOOKUP(F339,NXT!$C$18:$C$347,1,0)),x,"")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>
        <f t="shared" si="7"/>
        <v>5</v>
      </c>
      <c r="C340" s="37">
        <v>41040</v>
      </c>
      <c r="D340" s="195" t="s">
        <v>602</v>
      </c>
      <c r="E340" s="37">
        <v>41040</v>
      </c>
      <c r="F340" s="40" t="s">
        <v>851</v>
      </c>
      <c r="G340" s="624" t="s">
        <v>878</v>
      </c>
      <c r="H340" s="7" t="s">
        <v>564</v>
      </c>
      <c r="I340" s="278">
        <v>200</v>
      </c>
      <c r="J340" s="277">
        <v>12241</v>
      </c>
      <c r="K340" s="38">
        <v>2448200</v>
      </c>
      <c r="L340" s="39" t="s">
        <v>191</v>
      </c>
      <c r="M340" s="750" t="s">
        <v>8</v>
      </c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>x</v>
      </c>
      <c r="AC340" s="226" t="str">
        <f>IF(ISNA(VLOOKUP(F340,NXT!$C$18:$C$347,1,0)),x,"")</f>
        <v/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>
        <f t="shared" si="7"/>
        <v>5</v>
      </c>
      <c r="C341" s="37">
        <v>41040</v>
      </c>
      <c r="D341" s="195" t="s">
        <v>602</v>
      </c>
      <c r="E341" s="37">
        <v>41040</v>
      </c>
      <c r="F341" s="203" t="s">
        <v>880</v>
      </c>
      <c r="G341" s="627" t="s">
        <v>878</v>
      </c>
      <c r="H341" s="7" t="s">
        <v>564</v>
      </c>
      <c r="I341" s="277">
        <v>200</v>
      </c>
      <c r="J341" s="277">
        <v>14000</v>
      </c>
      <c r="K341" s="749">
        <v>2800000</v>
      </c>
      <c r="L341" s="39" t="s">
        <v>191</v>
      </c>
      <c r="M341" s="750" t="s">
        <v>8</v>
      </c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>x</v>
      </c>
      <c r="AC341" s="226" t="str">
        <f>IF(ISNA(VLOOKUP(F341,NXT!$C$18:$C$347,1,0)),x,"")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>
        <f t="shared" si="7"/>
        <v>5</v>
      </c>
      <c r="C342" s="37">
        <v>41040</v>
      </c>
      <c r="D342" s="195" t="s">
        <v>602</v>
      </c>
      <c r="E342" s="37">
        <v>41040</v>
      </c>
      <c r="F342" s="203" t="s">
        <v>881</v>
      </c>
      <c r="G342" s="627" t="s">
        <v>878</v>
      </c>
      <c r="H342" s="7" t="s">
        <v>564</v>
      </c>
      <c r="I342" s="277">
        <v>100</v>
      </c>
      <c r="J342" s="277">
        <v>14562</v>
      </c>
      <c r="K342" s="38">
        <v>1456200</v>
      </c>
      <c r="L342" s="39" t="s">
        <v>191</v>
      </c>
      <c r="M342" s="750" t="s">
        <v>8</v>
      </c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>x</v>
      </c>
      <c r="AC342" s="226" t="str">
        <f>IF(ISNA(VLOOKUP(F342,NXT!$C$18:$C$347,1,0)),x,"")</f>
        <v/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>
        <f t="shared" si="7"/>
        <v>5</v>
      </c>
      <c r="C343" s="37">
        <v>41040</v>
      </c>
      <c r="D343" s="195" t="s">
        <v>602</v>
      </c>
      <c r="E343" s="37">
        <v>41040</v>
      </c>
      <c r="F343" s="40" t="s">
        <v>882</v>
      </c>
      <c r="G343" s="627" t="s">
        <v>878</v>
      </c>
      <c r="H343" s="7" t="s">
        <v>564</v>
      </c>
      <c r="I343" s="278">
        <v>200</v>
      </c>
      <c r="J343" s="278">
        <v>15618</v>
      </c>
      <c r="K343" s="38">
        <v>3123600</v>
      </c>
      <c r="L343" s="39" t="s">
        <v>191</v>
      </c>
      <c r="M343" s="750" t="s">
        <v>8</v>
      </c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>x</v>
      </c>
      <c r="AC343" s="226" t="str">
        <f>IF(ISNA(VLOOKUP(F343,NXT!$C$18:$C$347,1,0)),x,"")</f>
        <v/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>
        <f t="shared" ref="B344:B407" si="8">IF(C344&lt;&gt;"",MONTH(C344),"")</f>
        <v>5</v>
      </c>
      <c r="C344" s="37">
        <v>41040</v>
      </c>
      <c r="D344" s="195" t="s">
        <v>602</v>
      </c>
      <c r="E344" s="37">
        <v>41040</v>
      </c>
      <c r="F344" s="40" t="s">
        <v>650</v>
      </c>
      <c r="G344" s="627" t="s">
        <v>878</v>
      </c>
      <c r="H344" s="7" t="s">
        <v>564</v>
      </c>
      <c r="I344" s="277"/>
      <c r="J344" s="277"/>
      <c r="K344" s="38">
        <v>1292110</v>
      </c>
      <c r="L344" s="39" t="s">
        <v>9</v>
      </c>
      <c r="M344" s="750" t="s">
        <v>8</v>
      </c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>x</v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>
        <f t="shared" si="8"/>
        <v>5</v>
      </c>
      <c r="C345" s="195">
        <v>41041</v>
      </c>
      <c r="D345" s="195" t="s">
        <v>603</v>
      </c>
      <c r="E345" s="195">
        <v>41041</v>
      </c>
      <c r="F345" s="203" t="s">
        <v>883</v>
      </c>
      <c r="G345" s="751" t="s">
        <v>884</v>
      </c>
      <c r="H345" s="7" t="s">
        <v>564</v>
      </c>
      <c r="I345" s="277">
        <v>50</v>
      </c>
      <c r="J345" s="277">
        <v>17408</v>
      </c>
      <c r="K345" s="749">
        <v>870400</v>
      </c>
      <c r="L345" s="750" t="s">
        <v>191</v>
      </c>
      <c r="M345" s="750" t="s">
        <v>8</v>
      </c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>x</v>
      </c>
      <c r="AC345" s="226" t="str">
        <f>IF(ISNA(VLOOKUP(F345,NXT!$C$18:$C$347,1,0)),x,"")</f>
        <v/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>
        <f t="shared" si="8"/>
        <v>5</v>
      </c>
      <c r="C346" s="195">
        <v>41041</v>
      </c>
      <c r="D346" s="195" t="s">
        <v>603</v>
      </c>
      <c r="E346" s="195">
        <v>41041</v>
      </c>
      <c r="F346" s="203" t="s">
        <v>645</v>
      </c>
      <c r="G346" s="751" t="s">
        <v>884</v>
      </c>
      <c r="H346" s="7" t="s">
        <v>564</v>
      </c>
      <c r="I346" s="277">
        <v>500</v>
      </c>
      <c r="J346" s="277">
        <v>11227</v>
      </c>
      <c r="K346" s="749">
        <v>5613500</v>
      </c>
      <c r="L346" s="750" t="s">
        <v>191</v>
      </c>
      <c r="M346" s="750" t="s">
        <v>8</v>
      </c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>x</v>
      </c>
      <c r="AB346" s="740"/>
      <c r="AC346" s="226" t="str">
        <f>IF(ISNA(VLOOKUP(F346,NXT!$C$18:$C$347,1,0)),x,"")</f>
        <v/>
      </c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>
        <f t="shared" si="8"/>
        <v>5</v>
      </c>
      <c r="C347" s="195">
        <v>41041</v>
      </c>
      <c r="D347" s="195" t="s">
        <v>603</v>
      </c>
      <c r="E347" s="195">
        <v>41041</v>
      </c>
      <c r="F347" s="203" t="s">
        <v>885</v>
      </c>
      <c r="G347" s="751" t="s">
        <v>884</v>
      </c>
      <c r="H347" s="7" t="s">
        <v>564</v>
      </c>
      <c r="I347" s="277">
        <v>730</v>
      </c>
      <c r="J347" s="277">
        <v>9122</v>
      </c>
      <c r="K347" s="749">
        <v>6659060</v>
      </c>
      <c r="L347" s="750" t="s">
        <v>191</v>
      </c>
      <c r="M347" s="750" t="s">
        <v>8</v>
      </c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>x</v>
      </c>
      <c r="AB347" s="740"/>
      <c r="AC347" s="226" t="str">
        <f>IF(ISNA(VLOOKUP(F347,NXT!$C$18:$C$347,1,0)),x,"")</f>
        <v/>
      </c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>
        <f t="shared" si="8"/>
        <v>5</v>
      </c>
      <c r="C348" s="195">
        <v>41041</v>
      </c>
      <c r="D348" s="195" t="s">
        <v>603</v>
      </c>
      <c r="E348" s="195">
        <v>41041</v>
      </c>
      <c r="F348" s="203" t="s">
        <v>886</v>
      </c>
      <c r="G348" s="751" t="s">
        <v>884</v>
      </c>
      <c r="H348" s="7" t="s">
        <v>564</v>
      </c>
      <c r="I348" s="277">
        <v>100</v>
      </c>
      <c r="J348" s="277">
        <v>18559</v>
      </c>
      <c r="K348" s="749">
        <v>1855900</v>
      </c>
      <c r="L348" s="750" t="s">
        <v>191</v>
      </c>
      <c r="M348" s="750" t="s">
        <v>8</v>
      </c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>x</v>
      </c>
      <c r="AB348" s="740"/>
      <c r="AC348" s="226" t="str">
        <f>IF(ISNA(VLOOKUP(F348,NXT!$C$18:$C$347,1,0)),x,"")</f>
        <v/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>
        <f t="shared" si="8"/>
        <v>5</v>
      </c>
      <c r="C349" s="37">
        <v>41041</v>
      </c>
      <c r="D349" s="195" t="s">
        <v>603</v>
      </c>
      <c r="E349" s="37">
        <v>41041</v>
      </c>
      <c r="F349" s="330" t="s">
        <v>887</v>
      </c>
      <c r="G349" s="627" t="s">
        <v>884</v>
      </c>
      <c r="H349" s="7" t="s">
        <v>564</v>
      </c>
      <c r="I349" s="277">
        <v>100</v>
      </c>
      <c r="J349" s="277">
        <v>25240</v>
      </c>
      <c r="K349" s="749">
        <v>2524000</v>
      </c>
      <c r="L349" s="39" t="s">
        <v>191</v>
      </c>
      <c r="M349" s="750" t="s">
        <v>8</v>
      </c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>x</v>
      </c>
      <c r="AC349" s="226" t="str">
        <f>IF(ISNA(VLOOKUP(F349,NXT!$C$18:$C$347,1,0)),x,"")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>
        <f t="shared" si="8"/>
        <v>5</v>
      </c>
      <c r="C350" s="37">
        <v>41041</v>
      </c>
      <c r="D350" s="195" t="s">
        <v>603</v>
      </c>
      <c r="E350" s="37">
        <v>41041</v>
      </c>
      <c r="F350" s="330" t="s">
        <v>888</v>
      </c>
      <c r="G350" s="627" t="s">
        <v>884</v>
      </c>
      <c r="H350" s="7" t="s">
        <v>564</v>
      </c>
      <c r="I350" s="278">
        <v>100</v>
      </c>
      <c r="J350" s="278">
        <v>30012</v>
      </c>
      <c r="K350" s="38">
        <v>3001200</v>
      </c>
      <c r="L350" s="39" t="s">
        <v>191</v>
      </c>
      <c r="M350" s="750" t="s">
        <v>8</v>
      </c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>x</v>
      </c>
      <c r="AC350" s="226" t="str">
        <f>IF(ISNA(VLOOKUP(F350,NXT!$C$18:$C$347,1,0)),x,"")</f>
        <v/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>
        <f t="shared" si="8"/>
        <v>5</v>
      </c>
      <c r="C351" s="37">
        <v>41041</v>
      </c>
      <c r="D351" s="195" t="s">
        <v>603</v>
      </c>
      <c r="E351" s="37">
        <v>41041</v>
      </c>
      <c r="F351" s="330" t="s">
        <v>650</v>
      </c>
      <c r="G351" s="627" t="s">
        <v>884</v>
      </c>
      <c r="H351" s="7" t="s">
        <v>564</v>
      </c>
      <c r="I351" s="278"/>
      <c r="J351" s="278"/>
      <c r="K351" s="749">
        <v>2052406</v>
      </c>
      <c r="L351" s="39" t="s">
        <v>9</v>
      </c>
      <c r="M351" s="750" t="s">
        <v>8</v>
      </c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>x</v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>
        <f t="shared" si="8"/>
        <v>5</v>
      </c>
      <c r="C352" s="37">
        <v>41043</v>
      </c>
      <c r="D352" s="195" t="s">
        <v>604</v>
      </c>
      <c r="E352" s="37">
        <v>41043</v>
      </c>
      <c r="F352" s="40" t="s">
        <v>885</v>
      </c>
      <c r="G352" s="627" t="s">
        <v>889</v>
      </c>
      <c r="H352" s="7" t="s">
        <v>564</v>
      </c>
      <c r="I352" s="277">
        <v>270</v>
      </c>
      <c r="J352" s="277">
        <v>9122</v>
      </c>
      <c r="K352" s="38">
        <v>2462940</v>
      </c>
      <c r="L352" s="39" t="s">
        <v>191</v>
      </c>
      <c r="M352" s="750" t="s">
        <v>8</v>
      </c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>x</v>
      </c>
      <c r="AC352" s="226" t="str">
        <f>IF(ISNA(VLOOKUP(F352,NXT!$C$18:$C$347,1,0)),x,"")</f>
        <v/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>
        <f t="shared" si="8"/>
        <v>5</v>
      </c>
      <c r="C353" s="37">
        <v>41043</v>
      </c>
      <c r="D353" s="195" t="s">
        <v>604</v>
      </c>
      <c r="E353" s="37">
        <v>41043</v>
      </c>
      <c r="F353" s="40" t="s">
        <v>856</v>
      </c>
      <c r="G353" s="627" t="s">
        <v>889</v>
      </c>
      <c r="H353" s="7" t="s">
        <v>564</v>
      </c>
      <c r="I353" s="277">
        <v>500</v>
      </c>
      <c r="J353" s="277">
        <v>12227</v>
      </c>
      <c r="K353" s="38">
        <v>6113500</v>
      </c>
      <c r="L353" s="39" t="s">
        <v>191</v>
      </c>
      <c r="M353" s="750" t="s">
        <v>8</v>
      </c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>x</v>
      </c>
      <c r="AC353" s="226" t="str">
        <f>IF(ISNA(VLOOKUP(F353,NXT!$C$18:$C$347,1,0)),x,"")</f>
        <v/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>
        <f t="shared" si="8"/>
        <v>5</v>
      </c>
      <c r="C354" s="195">
        <v>41043</v>
      </c>
      <c r="D354" s="195" t="s">
        <v>604</v>
      </c>
      <c r="E354" s="195">
        <v>41043</v>
      </c>
      <c r="F354" s="898" t="s">
        <v>890</v>
      </c>
      <c r="G354" s="751" t="s">
        <v>889</v>
      </c>
      <c r="H354" s="7" t="s">
        <v>564</v>
      </c>
      <c r="I354" s="277">
        <v>200</v>
      </c>
      <c r="J354" s="277">
        <v>23102</v>
      </c>
      <c r="K354" s="749">
        <v>4620400</v>
      </c>
      <c r="L354" s="750" t="s">
        <v>191</v>
      </c>
      <c r="M354" s="750" t="s">
        <v>8</v>
      </c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>x</v>
      </c>
      <c r="AB354" s="740"/>
      <c r="AC354" s="226" t="str">
        <f>IF(ISNA(VLOOKUP(F354,NXT!$C$18:$C$347,1,0)),x,"")</f>
        <v/>
      </c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>
        <f t="shared" si="8"/>
        <v>5</v>
      </c>
      <c r="C355" s="37">
        <v>41043</v>
      </c>
      <c r="D355" s="195" t="s">
        <v>604</v>
      </c>
      <c r="E355" s="37">
        <v>41043</v>
      </c>
      <c r="F355" s="898" t="s">
        <v>891</v>
      </c>
      <c r="G355" s="884" t="s">
        <v>889</v>
      </c>
      <c r="H355" s="7" t="s">
        <v>564</v>
      </c>
      <c r="I355" s="277">
        <v>410</v>
      </c>
      <c r="J355" s="277">
        <v>12620</v>
      </c>
      <c r="K355" s="749">
        <v>5174200</v>
      </c>
      <c r="L355" s="750" t="s">
        <v>191</v>
      </c>
      <c r="M355" s="750" t="s">
        <v>8</v>
      </c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>x</v>
      </c>
      <c r="AC355" s="226" t="str">
        <f>IF(ISNA(VLOOKUP(F355,NXT!$C$18:$C$347,1,0)),x,"")</f>
        <v/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>
        <f t="shared" si="8"/>
        <v>5</v>
      </c>
      <c r="C356" s="37">
        <v>41043</v>
      </c>
      <c r="D356" s="195" t="s">
        <v>604</v>
      </c>
      <c r="E356" s="37">
        <v>41043</v>
      </c>
      <c r="F356" s="203" t="s">
        <v>892</v>
      </c>
      <c r="G356" s="884" t="s">
        <v>889</v>
      </c>
      <c r="H356" s="7" t="s">
        <v>564</v>
      </c>
      <c r="I356" s="277">
        <v>1232</v>
      </c>
      <c r="J356" s="277">
        <v>17539</v>
      </c>
      <c r="K356" s="749">
        <v>21608048</v>
      </c>
      <c r="L356" s="750" t="s">
        <v>191</v>
      </c>
      <c r="M356" s="750" t="s">
        <v>8</v>
      </c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>x</v>
      </c>
      <c r="AC356" s="226" t="str">
        <f>IF(ISNA(VLOOKUP(F356,NXT!$C$18:$C$347,1,0)),x,"")</f>
        <v/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>
        <f t="shared" si="8"/>
        <v>5</v>
      </c>
      <c r="C357" s="37">
        <v>41043</v>
      </c>
      <c r="D357" s="195" t="s">
        <v>604</v>
      </c>
      <c r="E357" s="37">
        <v>41043</v>
      </c>
      <c r="F357" s="40" t="s">
        <v>893</v>
      </c>
      <c r="G357" s="884" t="s">
        <v>889</v>
      </c>
      <c r="H357" s="7" t="s">
        <v>564</v>
      </c>
      <c r="I357" s="277">
        <v>250</v>
      </c>
      <c r="J357" s="277">
        <v>15680</v>
      </c>
      <c r="K357" s="38">
        <v>3920000</v>
      </c>
      <c r="L357" s="39" t="s">
        <v>191</v>
      </c>
      <c r="M357" s="750" t="s">
        <v>8</v>
      </c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>x</v>
      </c>
      <c r="AC357" s="226" t="str">
        <f>IF(ISNA(VLOOKUP(F357,NXT!$C$18:$C$347,1,0)),x,"")</f>
        <v/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>
        <f t="shared" si="8"/>
        <v>5</v>
      </c>
      <c r="C358" s="37">
        <v>41043</v>
      </c>
      <c r="D358" s="195" t="s">
        <v>604</v>
      </c>
      <c r="E358" s="111">
        <v>41043</v>
      </c>
      <c r="F358" s="899" t="s">
        <v>891</v>
      </c>
      <c r="G358" s="627" t="s">
        <v>889</v>
      </c>
      <c r="H358" s="7" t="s">
        <v>564</v>
      </c>
      <c r="I358" s="280">
        <v>90</v>
      </c>
      <c r="J358" s="280">
        <v>12620</v>
      </c>
      <c r="K358" s="112">
        <v>1135800</v>
      </c>
      <c r="L358" s="39" t="s">
        <v>191</v>
      </c>
      <c r="M358" s="750" t="s">
        <v>8</v>
      </c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>x</v>
      </c>
      <c r="AC358" s="226" t="str">
        <f>IF(ISNA(VLOOKUP(F358,NXT!$C$18:$C$347,1,0)),x,"")</f>
        <v/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>
        <f t="shared" si="8"/>
        <v>5</v>
      </c>
      <c r="C359" s="195">
        <v>41043</v>
      </c>
      <c r="D359" s="195" t="s">
        <v>604</v>
      </c>
      <c r="E359" s="195">
        <v>41043</v>
      </c>
      <c r="F359" s="898" t="s">
        <v>841</v>
      </c>
      <c r="G359" s="751" t="s">
        <v>889</v>
      </c>
      <c r="H359" s="7" t="s">
        <v>564</v>
      </c>
      <c r="I359" s="277">
        <v>250</v>
      </c>
      <c r="J359" s="277">
        <v>11150</v>
      </c>
      <c r="K359" s="749">
        <v>2787500</v>
      </c>
      <c r="L359" s="750" t="s">
        <v>191</v>
      </c>
      <c r="M359" s="750" t="s">
        <v>8</v>
      </c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>x</v>
      </c>
      <c r="AB359" s="740"/>
      <c r="AC359" s="226" t="str">
        <f>IF(ISNA(VLOOKUP(F359,NXT!$C$18:$C$347,1,0)),x,"")</f>
        <v/>
      </c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>
        <f t="shared" si="8"/>
        <v>5</v>
      </c>
      <c r="C360" s="195">
        <v>41043</v>
      </c>
      <c r="D360" s="195" t="s">
        <v>604</v>
      </c>
      <c r="E360" s="195">
        <v>41043</v>
      </c>
      <c r="F360" s="203" t="s">
        <v>650</v>
      </c>
      <c r="G360" s="751" t="s">
        <v>889</v>
      </c>
      <c r="H360" s="7" t="s">
        <v>564</v>
      </c>
      <c r="I360" s="277"/>
      <c r="J360" s="277"/>
      <c r="K360" s="749">
        <v>4782239</v>
      </c>
      <c r="L360" s="750" t="s">
        <v>9</v>
      </c>
      <c r="M360" s="750" t="s">
        <v>8</v>
      </c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>x</v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>
        <f t="shared" si="8"/>
        <v>5</v>
      </c>
      <c r="C361" s="195">
        <v>41044</v>
      </c>
      <c r="D361" s="195" t="s">
        <v>605</v>
      </c>
      <c r="E361" s="195">
        <v>41044</v>
      </c>
      <c r="F361" s="203" t="s">
        <v>798</v>
      </c>
      <c r="G361" s="751" t="s">
        <v>894</v>
      </c>
      <c r="H361" s="7" t="s">
        <v>564</v>
      </c>
      <c r="I361" s="277">
        <v>300</v>
      </c>
      <c r="J361" s="277">
        <v>11176</v>
      </c>
      <c r="K361" s="749">
        <v>3352800</v>
      </c>
      <c r="L361" s="750" t="s">
        <v>191</v>
      </c>
      <c r="M361" s="750" t="s">
        <v>8</v>
      </c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>x</v>
      </c>
      <c r="AB361" s="740"/>
      <c r="AC361" s="226" t="str">
        <f>IF(ISNA(VLOOKUP(F361,NXT!$C$18:$C$347,1,0)),x,"")</f>
        <v/>
      </c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>
        <f t="shared" si="8"/>
        <v>5</v>
      </c>
      <c r="C362" s="195">
        <v>41044</v>
      </c>
      <c r="D362" s="195" t="s">
        <v>605</v>
      </c>
      <c r="E362" s="195">
        <v>41044</v>
      </c>
      <c r="F362" s="203" t="s">
        <v>895</v>
      </c>
      <c r="G362" s="751" t="s">
        <v>894</v>
      </c>
      <c r="H362" s="7" t="s">
        <v>564</v>
      </c>
      <c r="I362" s="277">
        <v>150</v>
      </c>
      <c r="J362" s="277">
        <v>6912</v>
      </c>
      <c r="K362" s="749">
        <v>1036800</v>
      </c>
      <c r="L362" s="750" t="s">
        <v>191</v>
      </c>
      <c r="M362" s="750" t="s">
        <v>8</v>
      </c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>x</v>
      </c>
      <c r="AB362" s="740"/>
      <c r="AC362" s="226" t="str">
        <f>IF(ISNA(VLOOKUP(F362,NXT!$C$18:$C$347,1,0)),x,"")</f>
        <v/>
      </c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>
        <f t="shared" si="8"/>
        <v>5</v>
      </c>
      <c r="C363" s="195">
        <v>41044</v>
      </c>
      <c r="D363" s="195" t="s">
        <v>605</v>
      </c>
      <c r="E363" s="195">
        <v>41044</v>
      </c>
      <c r="F363" s="203" t="s">
        <v>883</v>
      </c>
      <c r="G363" s="751" t="s">
        <v>894</v>
      </c>
      <c r="H363" s="7" t="s">
        <v>564</v>
      </c>
      <c r="I363" s="277">
        <v>100</v>
      </c>
      <c r="J363" s="277">
        <v>13200</v>
      </c>
      <c r="K363" s="749">
        <v>1320000</v>
      </c>
      <c r="L363" s="750" t="s">
        <v>191</v>
      </c>
      <c r="M363" s="750" t="s">
        <v>8</v>
      </c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>x</v>
      </c>
      <c r="AB363" s="740"/>
      <c r="AC363" s="226" t="str">
        <f>IF(ISNA(VLOOKUP(F363,NXT!$C$18:$C$347,1,0)),x,"")</f>
        <v/>
      </c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>
        <f t="shared" si="8"/>
        <v>5</v>
      </c>
      <c r="C364" s="37">
        <v>41044</v>
      </c>
      <c r="D364" s="195" t="s">
        <v>605</v>
      </c>
      <c r="E364" s="37">
        <v>41044</v>
      </c>
      <c r="F364" s="40" t="s">
        <v>896</v>
      </c>
      <c r="G364" s="627" t="s">
        <v>894</v>
      </c>
      <c r="H364" s="7" t="s">
        <v>564</v>
      </c>
      <c r="I364" s="277">
        <v>300</v>
      </c>
      <c r="J364" s="277">
        <v>9272</v>
      </c>
      <c r="K364" s="749">
        <v>2781600</v>
      </c>
      <c r="L364" s="39" t="s">
        <v>191</v>
      </c>
      <c r="M364" s="750" t="s">
        <v>8</v>
      </c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>x</v>
      </c>
      <c r="AC364" s="226" t="str">
        <f>IF(ISNA(VLOOKUP(F364,NXT!$C$18:$C$347,1,0)),x,"")</f>
        <v/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>
        <f t="shared" si="8"/>
        <v>5</v>
      </c>
      <c r="C365" s="37">
        <v>41044</v>
      </c>
      <c r="D365" s="195" t="s">
        <v>605</v>
      </c>
      <c r="E365" s="37">
        <v>41044</v>
      </c>
      <c r="F365" s="40" t="s">
        <v>897</v>
      </c>
      <c r="G365" s="627" t="s">
        <v>894</v>
      </c>
      <c r="H365" s="7" t="s">
        <v>564</v>
      </c>
      <c r="I365" s="277">
        <v>134</v>
      </c>
      <c r="J365" s="277">
        <v>12985</v>
      </c>
      <c r="K365" s="38">
        <v>1739990</v>
      </c>
      <c r="L365" s="39" t="s">
        <v>191</v>
      </c>
      <c r="M365" s="750" t="s">
        <v>8</v>
      </c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>x</v>
      </c>
      <c r="AC365" s="226" t="str">
        <f>IF(ISNA(VLOOKUP(F365,NXT!$C$18:$C$347,1,0)),x,"")</f>
        <v/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>
        <f t="shared" si="8"/>
        <v>5</v>
      </c>
      <c r="C366" s="37">
        <v>41044</v>
      </c>
      <c r="D366" s="195" t="s">
        <v>605</v>
      </c>
      <c r="E366" s="37">
        <v>41044</v>
      </c>
      <c r="F366" s="40" t="s">
        <v>898</v>
      </c>
      <c r="G366" s="627" t="s">
        <v>894</v>
      </c>
      <c r="H366" s="7" t="s">
        <v>564</v>
      </c>
      <c r="I366" s="277">
        <v>134</v>
      </c>
      <c r="J366" s="277">
        <v>17376</v>
      </c>
      <c r="K366" s="749">
        <v>2328384</v>
      </c>
      <c r="L366" s="39" t="s">
        <v>191</v>
      </c>
      <c r="M366" s="750" t="s">
        <v>8</v>
      </c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>x</v>
      </c>
      <c r="AC366" s="226" t="str">
        <f>IF(ISNA(VLOOKUP(F366,NXT!$C$18:$C$347,1,0)),x,"")</f>
        <v/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>
        <f t="shared" si="8"/>
        <v>5</v>
      </c>
      <c r="C367" s="37">
        <v>41044</v>
      </c>
      <c r="D367" s="195" t="s">
        <v>605</v>
      </c>
      <c r="E367" s="37">
        <v>41044</v>
      </c>
      <c r="F367" s="40" t="s">
        <v>650</v>
      </c>
      <c r="G367" s="627" t="s">
        <v>894</v>
      </c>
      <c r="H367" s="7" t="s">
        <v>564</v>
      </c>
      <c r="I367" s="277"/>
      <c r="J367" s="277"/>
      <c r="K367" s="38">
        <v>1255957</v>
      </c>
      <c r="L367" s="39" t="s">
        <v>9</v>
      </c>
      <c r="M367" s="750" t="s">
        <v>8</v>
      </c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>x</v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>
        <f t="shared" si="8"/>
        <v>5</v>
      </c>
      <c r="C368" s="37">
        <v>41045</v>
      </c>
      <c r="D368" s="195" t="s">
        <v>605</v>
      </c>
      <c r="E368" s="37">
        <v>41045</v>
      </c>
      <c r="F368" s="40" t="s">
        <v>899</v>
      </c>
      <c r="G368" s="627" t="s">
        <v>900</v>
      </c>
      <c r="H368" s="7" t="s">
        <v>564</v>
      </c>
      <c r="I368" s="277">
        <v>425</v>
      </c>
      <c r="J368" s="277">
        <v>29100</v>
      </c>
      <c r="K368" s="38">
        <v>12367500</v>
      </c>
      <c r="L368" s="39" t="s">
        <v>191</v>
      </c>
      <c r="M368" s="750" t="s">
        <v>8</v>
      </c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>x</v>
      </c>
      <c r="AC368" s="226" t="str">
        <f>IF(ISNA(VLOOKUP(F368,NXT!$C$18:$C$347,1,0)),x,"")</f>
        <v/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>
        <f t="shared" si="8"/>
        <v>5</v>
      </c>
      <c r="C369" s="195">
        <v>41045</v>
      </c>
      <c r="D369" s="195" t="s">
        <v>605</v>
      </c>
      <c r="E369" s="195">
        <v>41045</v>
      </c>
      <c r="F369" s="203" t="s">
        <v>650</v>
      </c>
      <c r="G369" s="751" t="s">
        <v>900</v>
      </c>
      <c r="H369" s="7" t="s">
        <v>564</v>
      </c>
      <c r="I369" s="277"/>
      <c r="J369" s="277"/>
      <c r="K369" s="749">
        <v>1236750</v>
      </c>
      <c r="L369" s="750" t="s">
        <v>9</v>
      </c>
      <c r="M369" s="750" t="s">
        <v>8</v>
      </c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>x</v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>
        <f t="shared" si="8"/>
        <v>5</v>
      </c>
      <c r="C370" s="195">
        <v>41047</v>
      </c>
      <c r="D370" s="195" t="s">
        <v>450</v>
      </c>
      <c r="E370" s="195">
        <v>41047</v>
      </c>
      <c r="F370" s="203" t="s">
        <v>452</v>
      </c>
      <c r="G370" s="751" t="s">
        <v>447</v>
      </c>
      <c r="H370" s="7"/>
      <c r="I370" s="277"/>
      <c r="J370" s="277"/>
      <c r="K370" s="749">
        <v>20157000</v>
      </c>
      <c r="L370" s="750" t="s">
        <v>24</v>
      </c>
      <c r="M370" s="750" t="s">
        <v>352</v>
      </c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>x</v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>x</v>
      </c>
      <c r="AB370" s="740"/>
      <c r="AC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>
        <f t="shared" si="8"/>
        <v>5</v>
      </c>
      <c r="C371" s="37">
        <v>41047</v>
      </c>
      <c r="D371" s="195" t="s">
        <v>606</v>
      </c>
      <c r="E371" s="37">
        <v>41047</v>
      </c>
      <c r="F371" s="40" t="s">
        <v>901</v>
      </c>
      <c r="G371" s="627" t="s">
        <v>902</v>
      </c>
      <c r="H371" s="7" t="s">
        <v>564</v>
      </c>
      <c r="I371" s="277">
        <v>100</v>
      </c>
      <c r="J371" s="277">
        <v>21728</v>
      </c>
      <c r="K371" s="749">
        <v>2172800</v>
      </c>
      <c r="L371" s="39" t="s">
        <v>191</v>
      </c>
      <c r="M371" s="750" t="s">
        <v>8</v>
      </c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>x</v>
      </c>
      <c r="AC371" s="226" t="str">
        <f>IF(ISNA(VLOOKUP(F371,NXT!$C$18:$C$347,1,0)),x,"")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>
        <f t="shared" si="8"/>
        <v>5</v>
      </c>
      <c r="C372" s="37">
        <v>41047</v>
      </c>
      <c r="D372" s="195" t="s">
        <v>606</v>
      </c>
      <c r="E372" s="37">
        <v>41047</v>
      </c>
      <c r="F372" s="40" t="s">
        <v>903</v>
      </c>
      <c r="G372" s="627" t="s">
        <v>902</v>
      </c>
      <c r="H372" s="7" t="s">
        <v>564</v>
      </c>
      <c r="I372" s="277">
        <v>340</v>
      </c>
      <c r="J372" s="277">
        <v>22301</v>
      </c>
      <c r="K372" s="38">
        <v>7582340</v>
      </c>
      <c r="L372" s="39" t="s">
        <v>191</v>
      </c>
      <c r="M372" s="750" t="s">
        <v>8</v>
      </c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>x</v>
      </c>
      <c r="AC372" s="226" t="str">
        <f>IF(ISNA(VLOOKUP(F372,NXT!$C$18:$C$347,1,0)),x,"")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>
        <f t="shared" si="8"/>
        <v>5</v>
      </c>
      <c r="C373" s="37">
        <v>41047</v>
      </c>
      <c r="D373" s="195" t="s">
        <v>606</v>
      </c>
      <c r="E373" s="37">
        <v>41047</v>
      </c>
      <c r="F373" s="203" t="s">
        <v>877</v>
      </c>
      <c r="G373" s="627" t="s">
        <v>902</v>
      </c>
      <c r="H373" s="7" t="s">
        <v>564</v>
      </c>
      <c r="I373" s="277">
        <v>1000</v>
      </c>
      <c r="J373" s="277">
        <v>10775</v>
      </c>
      <c r="K373" s="749">
        <v>10775000</v>
      </c>
      <c r="L373" s="39" t="s">
        <v>191</v>
      </c>
      <c r="M373" s="750" t="s">
        <v>8</v>
      </c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>x</v>
      </c>
      <c r="AC373" s="226" t="str">
        <f>IF(ISNA(VLOOKUP(F373,NXT!$C$18:$C$347,1,0)),x,"")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>
        <f t="shared" si="8"/>
        <v>5</v>
      </c>
      <c r="C374" s="37">
        <v>41047</v>
      </c>
      <c r="D374" s="195" t="s">
        <v>606</v>
      </c>
      <c r="E374" s="37">
        <v>41047</v>
      </c>
      <c r="F374" s="203" t="s">
        <v>650</v>
      </c>
      <c r="G374" s="627" t="s">
        <v>902</v>
      </c>
      <c r="H374" s="7" t="s">
        <v>564</v>
      </c>
      <c r="I374" s="277"/>
      <c r="J374" s="277"/>
      <c r="K374" s="38">
        <v>2053014</v>
      </c>
      <c r="L374" s="39" t="s">
        <v>9</v>
      </c>
      <c r="M374" s="750" t="s">
        <v>8</v>
      </c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>x</v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>
        <f t="shared" si="8"/>
        <v>5</v>
      </c>
      <c r="C375" s="37">
        <v>41048</v>
      </c>
      <c r="D375" s="37" t="s">
        <v>546</v>
      </c>
      <c r="E375" s="37">
        <v>41048</v>
      </c>
      <c r="F375" s="899" t="s">
        <v>904</v>
      </c>
      <c r="G375" s="627" t="s">
        <v>905</v>
      </c>
      <c r="H375" s="7" t="s">
        <v>533</v>
      </c>
      <c r="I375" s="278"/>
      <c r="J375" s="278"/>
      <c r="K375" s="38">
        <v>6200000</v>
      </c>
      <c r="L375" s="39" t="s">
        <v>199</v>
      </c>
      <c r="M375" s="39" t="s">
        <v>49</v>
      </c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>x</v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>x</v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>
        <f t="shared" si="8"/>
        <v>5</v>
      </c>
      <c r="C376" s="37">
        <v>41048</v>
      </c>
      <c r="D376" s="37" t="s">
        <v>546</v>
      </c>
      <c r="E376" s="37">
        <v>41048</v>
      </c>
      <c r="F376" s="40" t="s">
        <v>459</v>
      </c>
      <c r="G376" s="627" t="s">
        <v>905</v>
      </c>
      <c r="H376" s="45" t="s">
        <v>533</v>
      </c>
      <c r="I376" s="277"/>
      <c r="J376" s="277"/>
      <c r="K376" s="38">
        <v>620000</v>
      </c>
      <c r="L376" s="39" t="s">
        <v>9</v>
      </c>
      <c r="M376" s="750" t="s">
        <v>49</v>
      </c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>x</v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>x</v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>
        <f t="shared" si="8"/>
        <v>5</v>
      </c>
      <c r="C377" s="37">
        <v>41048</v>
      </c>
      <c r="D377" s="195" t="s">
        <v>607</v>
      </c>
      <c r="E377" s="37">
        <v>41048</v>
      </c>
      <c r="F377" s="40" t="s">
        <v>906</v>
      </c>
      <c r="G377" s="624" t="s">
        <v>907</v>
      </c>
      <c r="H377" s="7" t="s">
        <v>564</v>
      </c>
      <c r="I377" s="278">
        <v>1000</v>
      </c>
      <c r="J377" s="277">
        <v>10752</v>
      </c>
      <c r="K377" s="38">
        <v>10752000</v>
      </c>
      <c r="L377" s="39" t="s">
        <v>191</v>
      </c>
      <c r="M377" s="750" t="s">
        <v>8</v>
      </c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>x</v>
      </c>
      <c r="AC377" s="226" t="str">
        <f>IF(ISNA(VLOOKUP(F377,NXT!$C$18:$C$347,1,0)),x,"")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>
        <f t="shared" si="8"/>
        <v>5</v>
      </c>
      <c r="C378" s="37">
        <v>41048</v>
      </c>
      <c r="D378" s="195" t="s">
        <v>607</v>
      </c>
      <c r="E378" s="37">
        <v>41048</v>
      </c>
      <c r="F378" s="40" t="s">
        <v>908</v>
      </c>
      <c r="G378" s="624" t="s">
        <v>907</v>
      </c>
      <c r="H378" s="7" t="s">
        <v>564</v>
      </c>
      <c r="I378" s="278">
        <v>300</v>
      </c>
      <c r="J378" s="277">
        <v>14553</v>
      </c>
      <c r="K378" s="38">
        <v>4365900</v>
      </c>
      <c r="L378" s="39" t="s">
        <v>191</v>
      </c>
      <c r="M378" s="750" t="s">
        <v>8</v>
      </c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>x</v>
      </c>
      <c r="AC378" s="226" t="str">
        <f>IF(ISNA(VLOOKUP(F378,NXT!$C$18:$C$347,1,0)),x,"")</f>
        <v/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>
        <f t="shared" si="8"/>
        <v>5</v>
      </c>
      <c r="C379" s="195">
        <v>41048</v>
      </c>
      <c r="D379" s="195" t="s">
        <v>607</v>
      </c>
      <c r="E379" s="195">
        <v>41048</v>
      </c>
      <c r="F379" s="203" t="s">
        <v>909</v>
      </c>
      <c r="G379" s="751" t="s">
        <v>907</v>
      </c>
      <c r="H379" s="7" t="s">
        <v>564</v>
      </c>
      <c r="I379" s="277">
        <v>250</v>
      </c>
      <c r="J379" s="277">
        <v>12211</v>
      </c>
      <c r="K379" s="749">
        <v>3052750</v>
      </c>
      <c r="L379" s="750" t="s">
        <v>191</v>
      </c>
      <c r="M379" s="750" t="s">
        <v>8</v>
      </c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>x</v>
      </c>
      <c r="AB379" s="740"/>
      <c r="AC379" s="226" t="str">
        <f>IF(ISNA(VLOOKUP(F379,NXT!$C$18:$C$347,1,0)),x,"")</f>
        <v/>
      </c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>
        <f t="shared" si="8"/>
        <v>5</v>
      </c>
      <c r="C380" s="195">
        <v>41048</v>
      </c>
      <c r="D380" s="195" t="s">
        <v>607</v>
      </c>
      <c r="E380" s="195">
        <v>41048</v>
      </c>
      <c r="F380" s="203" t="s">
        <v>910</v>
      </c>
      <c r="G380" s="751" t="s">
        <v>907</v>
      </c>
      <c r="H380" s="7" t="s">
        <v>564</v>
      </c>
      <c r="I380" s="277">
        <v>225</v>
      </c>
      <c r="J380" s="277">
        <v>19584</v>
      </c>
      <c r="K380" s="749">
        <v>4406400</v>
      </c>
      <c r="L380" s="750" t="s">
        <v>191</v>
      </c>
      <c r="M380" s="750" t="s">
        <v>8</v>
      </c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>x</v>
      </c>
      <c r="AB380" s="740"/>
      <c r="AC380" s="226" t="str">
        <f>IF(ISNA(VLOOKUP(F380,NXT!$C$18:$C$347,1,0)),x,"")</f>
        <v/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>
        <f t="shared" si="8"/>
        <v>5</v>
      </c>
      <c r="C381" s="195">
        <v>41048</v>
      </c>
      <c r="D381" s="195" t="s">
        <v>607</v>
      </c>
      <c r="E381" s="195">
        <v>41048</v>
      </c>
      <c r="F381" s="203" t="s">
        <v>911</v>
      </c>
      <c r="G381" s="751" t="s">
        <v>907</v>
      </c>
      <c r="H381" s="7" t="s">
        <v>564</v>
      </c>
      <c r="I381" s="277">
        <v>225</v>
      </c>
      <c r="J381" s="277">
        <v>29232</v>
      </c>
      <c r="K381" s="749">
        <v>6577200</v>
      </c>
      <c r="L381" s="750" t="s">
        <v>191</v>
      </c>
      <c r="M381" s="750" t="s">
        <v>8</v>
      </c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>x</v>
      </c>
      <c r="AB381" s="740"/>
      <c r="AC381" s="226" t="str">
        <f>IF(ISNA(VLOOKUP(F381,NXT!$C$18:$C$347,1,0)),x,"")</f>
        <v/>
      </c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>
        <f t="shared" si="8"/>
        <v>5</v>
      </c>
      <c r="C382" s="37">
        <v>41048</v>
      </c>
      <c r="D382" s="195" t="s">
        <v>607</v>
      </c>
      <c r="E382" s="37">
        <v>41048</v>
      </c>
      <c r="F382" s="40" t="s">
        <v>912</v>
      </c>
      <c r="G382" s="627" t="s">
        <v>907</v>
      </c>
      <c r="H382" s="7" t="s">
        <v>564</v>
      </c>
      <c r="I382" s="277">
        <v>150</v>
      </c>
      <c r="J382" s="277">
        <v>19924</v>
      </c>
      <c r="K382" s="38">
        <v>2988600</v>
      </c>
      <c r="L382" s="39" t="s">
        <v>191</v>
      </c>
      <c r="M382" s="750" t="s">
        <v>8</v>
      </c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>x</v>
      </c>
      <c r="AC382" s="226" t="str">
        <f>IF(ISNA(VLOOKUP(F382,NXT!$C$18:$C$347,1,0)),x,"")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>
        <f t="shared" si="8"/>
        <v>5</v>
      </c>
      <c r="C383" s="37">
        <v>41048</v>
      </c>
      <c r="D383" s="195" t="s">
        <v>607</v>
      </c>
      <c r="E383" s="37">
        <v>41048</v>
      </c>
      <c r="F383" s="40" t="s">
        <v>650</v>
      </c>
      <c r="G383" s="627" t="s">
        <v>907</v>
      </c>
      <c r="H383" s="7" t="s">
        <v>564</v>
      </c>
      <c r="I383" s="277"/>
      <c r="J383" s="277"/>
      <c r="K383" s="38">
        <v>3214285</v>
      </c>
      <c r="L383" s="39" t="s">
        <v>9</v>
      </c>
      <c r="M383" s="750" t="s">
        <v>8</v>
      </c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>x</v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>
        <f t="shared" si="8"/>
        <v>5</v>
      </c>
      <c r="C384" s="195">
        <v>41050</v>
      </c>
      <c r="D384" s="195" t="s">
        <v>451</v>
      </c>
      <c r="E384" s="195">
        <v>41050</v>
      </c>
      <c r="F384" s="203" t="s">
        <v>532</v>
      </c>
      <c r="G384" s="751" t="s">
        <v>447</v>
      </c>
      <c r="H384" s="7"/>
      <c r="I384" s="277"/>
      <c r="J384" s="277"/>
      <c r="K384" s="749">
        <v>15000000</v>
      </c>
      <c r="L384" s="750" t="s">
        <v>8</v>
      </c>
      <c r="M384" s="750" t="s">
        <v>24</v>
      </c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>x</v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>x</v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>
        <f t="shared" si="8"/>
        <v>5</v>
      </c>
      <c r="C385" s="195">
        <v>41050</v>
      </c>
      <c r="D385" s="37" t="s">
        <v>451</v>
      </c>
      <c r="E385" s="195">
        <v>41050</v>
      </c>
      <c r="F385" s="898" t="s">
        <v>453</v>
      </c>
      <c r="G385" s="751" t="s">
        <v>447</v>
      </c>
      <c r="H385" s="45"/>
      <c r="I385" s="277"/>
      <c r="J385" s="277"/>
      <c r="K385" s="749">
        <v>20000</v>
      </c>
      <c r="L385" s="750" t="s">
        <v>87</v>
      </c>
      <c r="M385" s="750" t="s">
        <v>24</v>
      </c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>x</v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>x</v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>
        <f t="shared" si="8"/>
        <v>5</v>
      </c>
      <c r="C386" s="195">
        <v>41050</v>
      </c>
      <c r="D386" s="195" t="s">
        <v>451</v>
      </c>
      <c r="E386" s="195">
        <v>41050</v>
      </c>
      <c r="F386" s="203" t="s">
        <v>532</v>
      </c>
      <c r="G386" s="751" t="s">
        <v>447</v>
      </c>
      <c r="H386" s="7"/>
      <c r="I386" s="277"/>
      <c r="J386" s="277"/>
      <c r="K386" s="749">
        <v>4664000</v>
      </c>
      <c r="L386" s="750" t="s">
        <v>8</v>
      </c>
      <c r="M386" s="750" t="s">
        <v>24</v>
      </c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>x</v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>x</v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>
        <f t="shared" si="8"/>
        <v>5</v>
      </c>
      <c r="C387" s="195">
        <v>41050</v>
      </c>
      <c r="D387" s="195" t="s">
        <v>451</v>
      </c>
      <c r="E387" s="195">
        <v>41050</v>
      </c>
      <c r="F387" s="203" t="s">
        <v>453</v>
      </c>
      <c r="G387" s="751" t="s">
        <v>447</v>
      </c>
      <c r="H387" s="7"/>
      <c r="I387" s="277"/>
      <c r="J387" s="277"/>
      <c r="K387" s="749">
        <v>10000</v>
      </c>
      <c r="L387" s="750" t="s">
        <v>87</v>
      </c>
      <c r="M387" s="750" t="s">
        <v>24</v>
      </c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>x</v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>x</v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>
        <f t="shared" si="8"/>
        <v>5</v>
      </c>
      <c r="C388" s="195">
        <v>41051</v>
      </c>
      <c r="D388" s="195" t="s">
        <v>608</v>
      </c>
      <c r="E388" s="195">
        <v>41051</v>
      </c>
      <c r="F388" s="203" t="s">
        <v>913</v>
      </c>
      <c r="G388" s="751" t="s">
        <v>914</v>
      </c>
      <c r="H388" s="7" t="s">
        <v>564</v>
      </c>
      <c r="I388" s="277">
        <v>250</v>
      </c>
      <c r="J388" s="277">
        <v>14726</v>
      </c>
      <c r="K388" s="749">
        <v>3681500</v>
      </c>
      <c r="L388" s="750" t="s">
        <v>191</v>
      </c>
      <c r="M388" s="750" t="s">
        <v>8</v>
      </c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>x</v>
      </c>
      <c r="AB388" s="740"/>
      <c r="AC388" s="226" t="str">
        <f>IF(ISNA(VLOOKUP(F388,NXT!$C$18:$C$347,1,0)),x,"")</f>
        <v/>
      </c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>
        <f t="shared" si="8"/>
        <v>5</v>
      </c>
      <c r="C389" s="37">
        <v>41051</v>
      </c>
      <c r="D389" s="195" t="s">
        <v>608</v>
      </c>
      <c r="E389" s="37">
        <v>41051</v>
      </c>
      <c r="F389" s="40" t="s">
        <v>915</v>
      </c>
      <c r="G389" s="627" t="s">
        <v>914</v>
      </c>
      <c r="H389" s="7" t="s">
        <v>564</v>
      </c>
      <c r="I389" s="277">
        <v>215</v>
      </c>
      <c r="J389" s="277">
        <v>22361</v>
      </c>
      <c r="K389" s="749">
        <v>4807615</v>
      </c>
      <c r="L389" s="39" t="s">
        <v>191</v>
      </c>
      <c r="M389" s="750" t="s">
        <v>8</v>
      </c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>x</v>
      </c>
      <c r="AC389" s="226" t="str">
        <f>IF(ISNA(VLOOKUP(F389,NXT!$C$18:$C$347,1,0)),x,"")</f>
        <v/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>
        <f t="shared" si="8"/>
        <v>5</v>
      </c>
      <c r="C390" s="37">
        <v>41051</v>
      </c>
      <c r="D390" s="195" t="s">
        <v>608</v>
      </c>
      <c r="E390" s="37">
        <v>41051</v>
      </c>
      <c r="F390" s="40" t="s">
        <v>650</v>
      </c>
      <c r="G390" s="627" t="s">
        <v>914</v>
      </c>
      <c r="H390" s="7" t="s">
        <v>564</v>
      </c>
      <c r="I390" s="277"/>
      <c r="J390" s="277"/>
      <c r="K390" s="38">
        <v>848912</v>
      </c>
      <c r="L390" s="39" t="s">
        <v>9</v>
      </c>
      <c r="M390" s="750" t="s">
        <v>8</v>
      </c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>x</v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>
        <f t="shared" si="8"/>
        <v>5</v>
      </c>
      <c r="C391" s="37">
        <v>41052</v>
      </c>
      <c r="D391" s="37" t="s">
        <v>587</v>
      </c>
      <c r="E391" s="37">
        <v>41052</v>
      </c>
      <c r="F391" s="40" t="s">
        <v>535</v>
      </c>
      <c r="G391" s="627" t="s">
        <v>916</v>
      </c>
      <c r="H391" s="45" t="s">
        <v>537</v>
      </c>
      <c r="I391" s="277">
        <v>100</v>
      </c>
      <c r="J391" s="277">
        <v>25000</v>
      </c>
      <c r="K391" s="749">
        <v>2500000</v>
      </c>
      <c r="L391" s="39" t="s">
        <v>193</v>
      </c>
      <c r="M391" s="750" t="s">
        <v>8</v>
      </c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>x</v>
      </c>
      <c r="Z391" s="55" t="str">
        <f>IF(AND(OR(LEFT(TH!L391,2)="15",LEFT(TH!M391,2)="15"),TK!$E$7=TH!F391),"x","")</f>
        <v>x</v>
      </c>
      <c r="AA391" s="55" t="str">
        <f>IF(AND(B391&lt;=NKC!$N$8,B391&gt;=NKC!$M$8),"x","")</f>
        <v>x</v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>
        <f t="shared" si="8"/>
        <v>5</v>
      </c>
      <c r="C392" s="37">
        <v>41052</v>
      </c>
      <c r="D392" s="37" t="s">
        <v>587</v>
      </c>
      <c r="E392" s="37">
        <v>41052</v>
      </c>
      <c r="F392" s="40" t="s">
        <v>536</v>
      </c>
      <c r="G392" s="627" t="s">
        <v>916</v>
      </c>
      <c r="H392" s="45" t="s">
        <v>537</v>
      </c>
      <c r="I392" s="277"/>
      <c r="J392" s="277"/>
      <c r="K392" s="38">
        <v>250000</v>
      </c>
      <c r="L392" s="39" t="s">
        <v>9</v>
      </c>
      <c r="M392" s="750" t="s">
        <v>8</v>
      </c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>x</v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>
        <f t="shared" si="8"/>
        <v>5</v>
      </c>
      <c r="C393" s="37">
        <v>41052</v>
      </c>
      <c r="D393" s="37" t="s">
        <v>547</v>
      </c>
      <c r="E393" s="37">
        <v>41052</v>
      </c>
      <c r="F393" s="40" t="s">
        <v>532</v>
      </c>
      <c r="G393" s="627" t="s">
        <v>916</v>
      </c>
      <c r="H393" s="45" t="s">
        <v>537</v>
      </c>
      <c r="I393" s="277"/>
      <c r="J393" s="277"/>
      <c r="K393" s="749">
        <v>2750000</v>
      </c>
      <c r="L393" s="39" t="s">
        <v>8</v>
      </c>
      <c r="M393" s="39" t="s">
        <v>49</v>
      </c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>x</v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>x</v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>
        <f t="shared" si="8"/>
        <v>5</v>
      </c>
      <c r="C394" s="37">
        <v>41052</v>
      </c>
      <c r="D394" s="37" t="s">
        <v>548</v>
      </c>
      <c r="E394" s="37">
        <v>41052</v>
      </c>
      <c r="F394" s="40" t="s">
        <v>804</v>
      </c>
      <c r="G394" s="627" t="s">
        <v>917</v>
      </c>
      <c r="H394" s="45" t="s">
        <v>533</v>
      </c>
      <c r="I394" s="277"/>
      <c r="J394" s="277"/>
      <c r="K394" s="38">
        <v>2600000</v>
      </c>
      <c r="L394" s="39" t="s">
        <v>199</v>
      </c>
      <c r="M394" s="39" t="s">
        <v>49</v>
      </c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>x</v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>x</v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>
        <f t="shared" si="8"/>
        <v>5</v>
      </c>
      <c r="C395" s="37">
        <v>41052</v>
      </c>
      <c r="D395" s="37" t="s">
        <v>548</v>
      </c>
      <c r="E395" s="37">
        <v>41052</v>
      </c>
      <c r="F395" s="40" t="s">
        <v>459</v>
      </c>
      <c r="G395" s="627" t="s">
        <v>917</v>
      </c>
      <c r="H395" s="7" t="s">
        <v>533</v>
      </c>
      <c r="I395" s="278"/>
      <c r="J395" s="278"/>
      <c r="K395" s="749">
        <v>260000</v>
      </c>
      <c r="L395" s="39" t="s">
        <v>9</v>
      </c>
      <c r="M395" s="39" t="s">
        <v>49</v>
      </c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>x</v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>x</v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>
        <f t="shared" si="8"/>
        <v>5</v>
      </c>
      <c r="C396" s="37">
        <v>41052</v>
      </c>
      <c r="D396" s="195" t="s">
        <v>609</v>
      </c>
      <c r="E396" s="37">
        <v>41052</v>
      </c>
      <c r="F396" s="40" t="s">
        <v>918</v>
      </c>
      <c r="G396" s="627" t="s">
        <v>919</v>
      </c>
      <c r="H396" s="7" t="s">
        <v>564</v>
      </c>
      <c r="I396" s="278">
        <v>500</v>
      </c>
      <c r="J396" s="278">
        <v>10584</v>
      </c>
      <c r="K396" s="38">
        <v>5292000</v>
      </c>
      <c r="L396" s="39" t="s">
        <v>191</v>
      </c>
      <c r="M396" s="750" t="s">
        <v>8</v>
      </c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>x</v>
      </c>
      <c r="AC396" s="226" t="str">
        <f>IF(ISNA(VLOOKUP(F396,NXT!$C$18:$C$347,1,0)),x,"")</f>
        <v/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>
        <f t="shared" si="8"/>
        <v>5</v>
      </c>
      <c r="C397" s="195">
        <v>41052</v>
      </c>
      <c r="D397" s="195" t="s">
        <v>609</v>
      </c>
      <c r="E397" s="195">
        <v>41052</v>
      </c>
      <c r="F397" s="203" t="s">
        <v>920</v>
      </c>
      <c r="G397" s="751" t="s">
        <v>919</v>
      </c>
      <c r="H397" s="7" t="s">
        <v>564</v>
      </c>
      <c r="I397" s="277">
        <v>200</v>
      </c>
      <c r="J397" s="277">
        <v>11882</v>
      </c>
      <c r="K397" s="749">
        <v>2376400</v>
      </c>
      <c r="L397" s="750" t="s">
        <v>191</v>
      </c>
      <c r="M397" s="750" t="s">
        <v>8</v>
      </c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>x</v>
      </c>
      <c r="AB397" s="740"/>
      <c r="AC397" s="226" t="str">
        <f>IF(ISNA(VLOOKUP(F397,NXT!$C$18:$C$347,1,0)),x,"")</f>
        <v/>
      </c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>
        <f t="shared" si="8"/>
        <v>5</v>
      </c>
      <c r="C398" s="37">
        <v>41052</v>
      </c>
      <c r="D398" s="195" t="s">
        <v>609</v>
      </c>
      <c r="E398" s="37">
        <v>41052</v>
      </c>
      <c r="F398" s="40" t="s">
        <v>921</v>
      </c>
      <c r="G398" s="627" t="s">
        <v>919</v>
      </c>
      <c r="H398" s="7" t="s">
        <v>564</v>
      </c>
      <c r="I398" s="277">
        <v>150</v>
      </c>
      <c r="J398" s="277">
        <v>10653</v>
      </c>
      <c r="K398" s="749">
        <v>1597950</v>
      </c>
      <c r="L398" s="39" t="s">
        <v>191</v>
      </c>
      <c r="M398" s="750" t="s">
        <v>8</v>
      </c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>x</v>
      </c>
      <c r="AC398" s="226" t="str">
        <f>IF(ISNA(VLOOKUP(F398,NXT!$C$18:$C$347,1,0)),x,"")</f>
        <v/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>
        <f t="shared" si="8"/>
        <v>5</v>
      </c>
      <c r="C399" s="37">
        <v>41052</v>
      </c>
      <c r="D399" s="195" t="s">
        <v>609</v>
      </c>
      <c r="E399" s="37">
        <v>41052</v>
      </c>
      <c r="F399" s="40" t="s">
        <v>922</v>
      </c>
      <c r="G399" s="627" t="s">
        <v>919</v>
      </c>
      <c r="H399" s="7" t="s">
        <v>564</v>
      </c>
      <c r="I399" s="277">
        <v>150</v>
      </c>
      <c r="J399" s="277">
        <v>12606</v>
      </c>
      <c r="K399" s="749">
        <v>1890900</v>
      </c>
      <c r="L399" s="39" t="s">
        <v>191</v>
      </c>
      <c r="M399" s="750" t="s">
        <v>8</v>
      </c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>x</v>
      </c>
      <c r="AC399" s="226" t="str">
        <f>IF(ISNA(VLOOKUP(F399,NXT!$C$18:$C$347,1,0)),x,"")</f>
        <v/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>
        <f t="shared" si="8"/>
        <v>5</v>
      </c>
      <c r="C400" s="37">
        <v>41052</v>
      </c>
      <c r="D400" s="195" t="s">
        <v>609</v>
      </c>
      <c r="E400" s="37">
        <v>41052</v>
      </c>
      <c r="F400" s="40" t="s">
        <v>650</v>
      </c>
      <c r="G400" s="627" t="s">
        <v>919</v>
      </c>
      <c r="H400" s="7" t="s">
        <v>564</v>
      </c>
      <c r="I400" s="277"/>
      <c r="J400" s="277"/>
      <c r="K400" s="749">
        <v>1115725</v>
      </c>
      <c r="L400" s="39" t="s">
        <v>9</v>
      </c>
      <c r="M400" s="750" t="s">
        <v>8</v>
      </c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>x</v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>
        <f t="shared" si="8"/>
        <v>5</v>
      </c>
      <c r="C401" s="37">
        <v>41053</v>
      </c>
      <c r="D401" s="195" t="s">
        <v>610</v>
      </c>
      <c r="E401" s="37">
        <v>41053</v>
      </c>
      <c r="F401" s="40" t="s">
        <v>923</v>
      </c>
      <c r="G401" s="627" t="s">
        <v>924</v>
      </c>
      <c r="H401" s="7" t="s">
        <v>564</v>
      </c>
      <c r="I401" s="277">
        <v>670</v>
      </c>
      <c r="J401" s="277">
        <v>4931</v>
      </c>
      <c r="K401" s="38">
        <v>3303770</v>
      </c>
      <c r="L401" s="39" t="s">
        <v>191</v>
      </c>
      <c r="M401" s="750" t="s">
        <v>8</v>
      </c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>x</v>
      </c>
      <c r="AC401" s="226" t="str">
        <f>IF(ISNA(VLOOKUP(F401,NXT!$C$18:$C$347,1,0)),x,"")</f>
        <v/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>
        <f t="shared" si="8"/>
        <v>5</v>
      </c>
      <c r="C402" s="37">
        <v>41053</v>
      </c>
      <c r="D402" s="195" t="s">
        <v>610</v>
      </c>
      <c r="E402" s="37">
        <v>41053</v>
      </c>
      <c r="F402" s="40" t="s">
        <v>920</v>
      </c>
      <c r="G402" s="627" t="s">
        <v>924</v>
      </c>
      <c r="H402" s="7" t="s">
        <v>564</v>
      </c>
      <c r="I402" s="277">
        <v>300</v>
      </c>
      <c r="J402" s="277">
        <v>11882</v>
      </c>
      <c r="K402" s="749">
        <v>3564600</v>
      </c>
      <c r="L402" s="39" t="s">
        <v>191</v>
      </c>
      <c r="M402" s="750" t="s">
        <v>8</v>
      </c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>x</v>
      </c>
      <c r="AC402" s="226" t="str">
        <f>IF(ISNA(VLOOKUP(F402,NXT!$C$18:$C$347,1,0)),x,"")</f>
        <v/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>
        <f t="shared" si="8"/>
        <v>5</v>
      </c>
      <c r="C403" s="37">
        <v>41053</v>
      </c>
      <c r="D403" s="195" t="s">
        <v>610</v>
      </c>
      <c r="E403" s="37">
        <v>41053</v>
      </c>
      <c r="F403" s="40" t="s">
        <v>925</v>
      </c>
      <c r="G403" s="627" t="s">
        <v>924</v>
      </c>
      <c r="H403" s="7" t="s">
        <v>564</v>
      </c>
      <c r="I403" s="277">
        <v>300</v>
      </c>
      <c r="J403" s="277">
        <v>20341</v>
      </c>
      <c r="K403" s="38">
        <v>6102300</v>
      </c>
      <c r="L403" s="39" t="s">
        <v>191</v>
      </c>
      <c r="M403" s="750" t="s">
        <v>8</v>
      </c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>x</v>
      </c>
      <c r="AC403" s="226" t="str">
        <f>IF(ISNA(VLOOKUP(F403,NXT!$C$18:$C$347,1,0)),x,"")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>
        <f t="shared" si="8"/>
        <v>5</v>
      </c>
      <c r="C404" s="37">
        <v>41053</v>
      </c>
      <c r="D404" s="195" t="s">
        <v>610</v>
      </c>
      <c r="E404" s="37">
        <v>41053</v>
      </c>
      <c r="F404" s="40" t="s">
        <v>926</v>
      </c>
      <c r="G404" s="627" t="s">
        <v>924</v>
      </c>
      <c r="H404" s="7" t="s">
        <v>564</v>
      </c>
      <c r="I404" s="277">
        <v>200</v>
      </c>
      <c r="J404" s="277">
        <v>11712</v>
      </c>
      <c r="K404" s="38">
        <v>2342400</v>
      </c>
      <c r="L404" s="39" t="s">
        <v>191</v>
      </c>
      <c r="M404" s="750" t="s">
        <v>8</v>
      </c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>x</v>
      </c>
      <c r="AC404" s="226" t="str">
        <f>IF(ISNA(VLOOKUP(F404,NXT!$C$18:$C$347,1,0)),x,"")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>
        <f t="shared" si="8"/>
        <v>5</v>
      </c>
      <c r="C405" s="37">
        <v>41053</v>
      </c>
      <c r="D405" s="195" t="s">
        <v>610</v>
      </c>
      <c r="E405" s="37">
        <v>41053</v>
      </c>
      <c r="F405" s="40" t="s">
        <v>927</v>
      </c>
      <c r="G405" s="627" t="s">
        <v>924</v>
      </c>
      <c r="H405" s="7" t="s">
        <v>564</v>
      </c>
      <c r="I405" s="277">
        <v>250</v>
      </c>
      <c r="J405" s="277">
        <v>15377</v>
      </c>
      <c r="K405" s="749">
        <v>3844250</v>
      </c>
      <c r="L405" s="39" t="s">
        <v>191</v>
      </c>
      <c r="M405" s="750" t="s">
        <v>8</v>
      </c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>x</v>
      </c>
      <c r="AC405" s="226" t="str">
        <f>IF(ISNA(VLOOKUP(F405,NXT!$C$18:$C$347,1,0)),x,"")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>
        <f t="shared" si="8"/>
        <v>5</v>
      </c>
      <c r="C406" s="37">
        <v>41053</v>
      </c>
      <c r="D406" s="195" t="s">
        <v>610</v>
      </c>
      <c r="E406" s="37">
        <v>41053</v>
      </c>
      <c r="F406" s="40" t="s">
        <v>650</v>
      </c>
      <c r="G406" s="627" t="s">
        <v>924</v>
      </c>
      <c r="H406" s="7" t="s">
        <v>564</v>
      </c>
      <c r="I406" s="277"/>
      <c r="J406" s="277"/>
      <c r="K406" s="749">
        <v>1915732</v>
      </c>
      <c r="L406" s="39" t="s">
        <v>9</v>
      </c>
      <c r="M406" s="750" t="s">
        <v>8</v>
      </c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>x</v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>
        <f t="shared" si="8"/>
        <v>5</v>
      </c>
      <c r="C407" s="37">
        <v>41054</v>
      </c>
      <c r="D407" s="37" t="s">
        <v>450</v>
      </c>
      <c r="E407" s="37">
        <v>41054</v>
      </c>
      <c r="F407" s="40" t="s">
        <v>452</v>
      </c>
      <c r="G407" s="627" t="s">
        <v>447</v>
      </c>
      <c r="H407" s="45"/>
      <c r="I407" s="277"/>
      <c r="J407" s="277"/>
      <c r="K407" s="38">
        <v>28280776</v>
      </c>
      <c r="L407" s="39" t="s">
        <v>24</v>
      </c>
      <c r="M407" s="39" t="s">
        <v>352</v>
      </c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>x</v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>x</v>
      </c>
      <c r="AB407" s="752"/>
      <c r="AC407" s="752"/>
      <c r="AD407" s="752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>
        <f t="shared" ref="B408:B432" si="9">IF(C408&lt;&gt;"",MONTH(C408),"")</f>
        <v>5</v>
      </c>
      <c r="C408" s="37">
        <v>41054</v>
      </c>
      <c r="D408" s="37" t="s">
        <v>450</v>
      </c>
      <c r="E408" s="37">
        <v>41054</v>
      </c>
      <c r="F408" s="40" t="s">
        <v>530</v>
      </c>
      <c r="G408" s="627" t="s">
        <v>447</v>
      </c>
      <c r="H408" s="45"/>
      <c r="I408" s="277"/>
      <c r="J408" s="277"/>
      <c r="K408" s="749">
        <v>44102</v>
      </c>
      <c r="L408" s="39" t="s">
        <v>24</v>
      </c>
      <c r="M408" s="39" t="s">
        <v>41</v>
      </c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>x</v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>x</v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>
        <f t="shared" si="9"/>
        <v>5</v>
      </c>
      <c r="C409" s="37">
        <v>41054</v>
      </c>
      <c r="D409" s="37" t="s">
        <v>588</v>
      </c>
      <c r="E409" s="37">
        <v>41054</v>
      </c>
      <c r="F409" s="40" t="s">
        <v>457</v>
      </c>
      <c r="G409" s="627" t="s">
        <v>928</v>
      </c>
      <c r="H409" s="45" t="s">
        <v>538</v>
      </c>
      <c r="I409" s="277">
        <v>72</v>
      </c>
      <c r="J409" s="277">
        <v>42000</v>
      </c>
      <c r="K409" s="749">
        <v>3024000</v>
      </c>
      <c r="L409" s="39" t="s">
        <v>193</v>
      </c>
      <c r="M409" s="750" t="s">
        <v>8</v>
      </c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>x</v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>
        <f t="shared" si="9"/>
        <v>5</v>
      </c>
      <c r="C410" s="37">
        <v>41054</v>
      </c>
      <c r="D410" s="37" t="s">
        <v>588</v>
      </c>
      <c r="E410" s="37">
        <v>41054</v>
      </c>
      <c r="F410" s="40" t="s">
        <v>458</v>
      </c>
      <c r="G410" s="627" t="s">
        <v>928</v>
      </c>
      <c r="H410" s="45" t="s">
        <v>538</v>
      </c>
      <c r="I410" s="277"/>
      <c r="J410" s="277"/>
      <c r="K410" s="749">
        <v>302400</v>
      </c>
      <c r="L410" s="39" t="s">
        <v>9</v>
      </c>
      <c r="M410" s="750" t="s">
        <v>8</v>
      </c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>x</v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>
        <f t="shared" si="9"/>
        <v>5</v>
      </c>
      <c r="C411" s="37">
        <v>41054</v>
      </c>
      <c r="D411" s="37" t="s">
        <v>549</v>
      </c>
      <c r="E411" s="37">
        <v>41054</v>
      </c>
      <c r="F411" s="40" t="s">
        <v>532</v>
      </c>
      <c r="G411" s="627" t="s">
        <v>928</v>
      </c>
      <c r="H411" s="45" t="s">
        <v>538</v>
      </c>
      <c r="I411" s="277"/>
      <c r="J411" s="277"/>
      <c r="K411" s="749">
        <v>3326400</v>
      </c>
      <c r="L411" s="39" t="s">
        <v>8</v>
      </c>
      <c r="M411" s="39" t="s">
        <v>49</v>
      </c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>x</v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>x</v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>
        <f t="shared" si="9"/>
        <v>5</v>
      </c>
      <c r="C412" s="37">
        <v>41054</v>
      </c>
      <c r="D412" s="195" t="s">
        <v>611</v>
      </c>
      <c r="E412" s="37">
        <v>41054</v>
      </c>
      <c r="F412" s="40" t="s">
        <v>929</v>
      </c>
      <c r="G412" s="627" t="s">
        <v>930</v>
      </c>
      <c r="H412" s="7" t="s">
        <v>564</v>
      </c>
      <c r="I412" s="277">
        <v>205</v>
      </c>
      <c r="J412" s="277">
        <v>21119</v>
      </c>
      <c r="K412" s="749">
        <v>4329395</v>
      </c>
      <c r="L412" s="39" t="s">
        <v>191</v>
      </c>
      <c r="M412" s="750" t="s">
        <v>8</v>
      </c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>x</v>
      </c>
      <c r="AC412" s="226" t="str">
        <f>IF(ISNA(VLOOKUP(F412,NXT!$C$18:$C$347,1,0)),x,"")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>
        <f t="shared" si="9"/>
        <v>5</v>
      </c>
      <c r="C413" s="37">
        <v>41054</v>
      </c>
      <c r="D413" s="195" t="s">
        <v>611</v>
      </c>
      <c r="E413" s="37">
        <v>41054</v>
      </c>
      <c r="F413" s="40" t="s">
        <v>931</v>
      </c>
      <c r="G413" s="627" t="s">
        <v>930</v>
      </c>
      <c r="H413" s="7" t="s">
        <v>564</v>
      </c>
      <c r="I413" s="277">
        <v>500</v>
      </c>
      <c r="J413" s="277">
        <v>17219</v>
      </c>
      <c r="K413" s="749">
        <v>8609500</v>
      </c>
      <c r="L413" s="39" t="s">
        <v>191</v>
      </c>
      <c r="M413" s="750" t="s">
        <v>8</v>
      </c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>x</v>
      </c>
      <c r="AC413" s="226" t="str">
        <f>IF(ISNA(VLOOKUP(F413,NXT!$C$18:$C$347,1,0)),x,"")</f>
        <v/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>
        <f t="shared" si="9"/>
        <v>5</v>
      </c>
      <c r="C414" s="37">
        <v>41054</v>
      </c>
      <c r="D414" s="195" t="s">
        <v>611</v>
      </c>
      <c r="E414" s="37">
        <v>41054</v>
      </c>
      <c r="F414" s="40" t="s">
        <v>932</v>
      </c>
      <c r="G414" s="627" t="s">
        <v>930</v>
      </c>
      <c r="H414" s="7" t="s">
        <v>564</v>
      </c>
      <c r="I414" s="277">
        <v>300</v>
      </c>
      <c r="J414" s="277">
        <v>26644</v>
      </c>
      <c r="K414" s="749">
        <v>7993200</v>
      </c>
      <c r="L414" s="39" t="s">
        <v>191</v>
      </c>
      <c r="M414" s="750" t="s">
        <v>8</v>
      </c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>x</v>
      </c>
      <c r="AC414" s="226" t="str">
        <f>IF(ISNA(VLOOKUP(F414,NXT!$C$18:$C$347,1,0)),x,"")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>
        <f t="shared" si="9"/>
        <v>5</v>
      </c>
      <c r="C415" s="37">
        <v>41054</v>
      </c>
      <c r="D415" s="195" t="s">
        <v>611</v>
      </c>
      <c r="E415" s="37">
        <v>41054</v>
      </c>
      <c r="F415" s="40" t="s">
        <v>933</v>
      </c>
      <c r="G415" s="627" t="s">
        <v>930</v>
      </c>
      <c r="H415" s="7" t="s">
        <v>564</v>
      </c>
      <c r="I415" s="277">
        <v>500</v>
      </c>
      <c r="J415" s="277">
        <v>18923</v>
      </c>
      <c r="K415" s="749">
        <v>9461500</v>
      </c>
      <c r="L415" s="39" t="s">
        <v>191</v>
      </c>
      <c r="M415" s="750" t="s">
        <v>8</v>
      </c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>x</v>
      </c>
      <c r="AC415" s="226" t="str">
        <f>IF(ISNA(VLOOKUP(F415,NXT!$C$18:$C$347,1,0)),x,"")</f>
        <v/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>
        <f t="shared" si="9"/>
        <v>5</v>
      </c>
      <c r="C416" s="37">
        <v>41054</v>
      </c>
      <c r="D416" s="195" t="s">
        <v>611</v>
      </c>
      <c r="E416" s="37">
        <v>41054</v>
      </c>
      <c r="F416" s="40" t="s">
        <v>934</v>
      </c>
      <c r="G416" s="627" t="s">
        <v>930</v>
      </c>
      <c r="H416" s="7" t="s">
        <v>564</v>
      </c>
      <c r="I416" s="277">
        <v>500</v>
      </c>
      <c r="J416" s="277">
        <v>19974</v>
      </c>
      <c r="K416" s="38">
        <v>9987000</v>
      </c>
      <c r="L416" s="39" t="s">
        <v>191</v>
      </c>
      <c r="M416" s="750" t="s">
        <v>8</v>
      </c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>x</v>
      </c>
      <c r="AC416" s="226" t="str">
        <f>IF(ISNA(VLOOKUP(F416,NXT!$C$18:$C$347,1,0)),x,"")</f>
        <v/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>
        <f t="shared" si="9"/>
        <v>5</v>
      </c>
      <c r="C417" s="37">
        <v>41054</v>
      </c>
      <c r="D417" s="195" t="s">
        <v>611</v>
      </c>
      <c r="E417" s="37">
        <v>41054</v>
      </c>
      <c r="F417" s="40" t="s">
        <v>935</v>
      </c>
      <c r="G417" s="627" t="s">
        <v>930</v>
      </c>
      <c r="H417" s="7" t="s">
        <v>564</v>
      </c>
      <c r="I417" s="277">
        <v>500</v>
      </c>
      <c r="J417" s="277">
        <v>14500</v>
      </c>
      <c r="K417" s="749">
        <v>7250000</v>
      </c>
      <c r="L417" s="39" t="s">
        <v>191</v>
      </c>
      <c r="M417" s="750" t="s">
        <v>8</v>
      </c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>x</v>
      </c>
      <c r="AC417" s="226" t="str">
        <f>IF(ISNA(VLOOKUP(F417,NXT!$C$18:$C$347,1,0)),x,"")</f>
        <v/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>
        <f t="shared" si="9"/>
        <v>5</v>
      </c>
      <c r="C418" s="37">
        <v>41054</v>
      </c>
      <c r="D418" s="195" t="s">
        <v>611</v>
      </c>
      <c r="E418" s="37">
        <v>41054</v>
      </c>
      <c r="F418" s="40" t="s">
        <v>936</v>
      </c>
      <c r="G418" s="627" t="s">
        <v>930</v>
      </c>
      <c r="H418" s="7" t="s">
        <v>564</v>
      </c>
      <c r="I418" s="277">
        <v>300</v>
      </c>
      <c r="J418" s="277">
        <v>31103</v>
      </c>
      <c r="K418" s="749">
        <v>9330900</v>
      </c>
      <c r="L418" s="39" t="s">
        <v>191</v>
      </c>
      <c r="M418" s="750" t="s">
        <v>8</v>
      </c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>x</v>
      </c>
      <c r="AC418" s="226" t="str">
        <f>IF(ISNA(VLOOKUP(F418,NXT!$C$18:$C$347,1,0)),x,"")</f>
        <v/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>
        <f t="shared" si="9"/>
        <v>5</v>
      </c>
      <c r="C419" s="37">
        <v>41054</v>
      </c>
      <c r="D419" s="195" t="s">
        <v>611</v>
      </c>
      <c r="E419" s="37">
        <v>41054</v>
      </c>
      <c r="F419" s="40" t="s">
        <v>650</v>
      </c>
      <c r="G419" s="627" t="s">
        <v>930</v>
      </c>
      <c r="H419" s="7" t="s">
        <v>564</v>
      </c>
      <c r="I419" s="277"/>
      <c r="J419" s="277"/>
      <c r="K419" s="38">
        <v>5696150</v>
      </c>
      <c r="L419" s="39" t="s">
        <v>9</v>
      </c>
      <c r="M419" s="750" t="s">
        <v>8</v>
      </c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>x</v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>
        <f t="shared" si="9"/>
        <v>5</v>
      </c>
      <c r="C420" s="195">
        <v>41055</v>
      </c>
      <c r="D420" s="195" t="s">
        <v>612</v>
      </c>
      <c r="E420" s="195">
        <v>41055</v>
      </c>
      <c r="F420" s="203" t="s">
        <v>798</v>
      </c>
      <c r="G420" s="751" t="s">
        <v>937</v>
      </c>
      <c r="H420" s="7" t="s">
        <v>564</v>
      </c>
      <c r="I420" s="277">
        <v>340</v>
      </c>
      <c r="J420" s="277">
        <v>11176</v>
      </c>
      <c r="K420" s="749">
        <v>3799840</v>
      </c>
      <c r="L420" s="750" t="s">
        <v>191</v>
      </c>
      <c r="M420" s="750" t="s">
        <v>8</v>
      </c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>x</v>
      </c>
      <c r="AB420" s="740"/>
      <c r="AC420" s="226" t="str">
        <f>IF(ISNA(VLOOKUP(F420,NXT!$C$18:$C$347,1,0)),x,"")</f>
        <v/>
      </c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>
        <f t="shared" si="9"/>
        <v>5</v>
      </c>
      <c r="C421" s="195">
        <v>41055</v>
      </c>
      <c r="D421" s="195" t="s">
        <v>612</v>
      </c>
      <c r="E421" s="195">
        <v>41055</v>
      </c>
      <c r="F421" s="203" t="s">
        <v>938</v>
      </c>
      <c r="G421" s="751" t="s">
        <v>937</v>
      </c>
      <c r="H421" s="7" t="s">
        <v>564</v>
      </c>
      <c r="I421" s="277">
        <v>120</v>
      </c>
      <c r="J421" s="277">
        <v>11578</v>
      </c>
      <c r="K421" s="749">
        <v>1389360</v>
      </c>
      <c r="L421" s="750" t="s">
        <v>191</v>
      </c>
      <c r="M421" s="750" t="s">
        <v>8</v>
      </c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>x</v>
      </c>
      <c r="AB421" s="740"/>
      <c r="AC421" s="226" t="str">
        <f>IF(ISNA(VLOOKUP(F421,NXT!$C$18:$C$347,1,0)),x,"")</f>
        <v/>
      </c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>
        <f t="shared" si="9"/>
        <v>5</v>
      </c>
      <c r="C422" s="195">
        <v>41055</v>
      </c>
      <c r="D422" s="195" t="s">
        <v>612</v>
      </c>
      <c r="E422" s="195">
        <v>41055</v>
      </c>
      <c r="F422" s="203" t="s">
        <v>892</v>
      </c>
      <c r="G422" s="751" t="s">
        <v>937</v>
      </c>
      <c r="H422" s="7" t="s">
        <v>564</v>
      </c>
      <c r="I422" s="277">
        <v>750</v>
      </c>
      <c r="J422" s="277">
        <v>10940</v>
      </c>
      <c r="K422" s="749">
        <v>8205000</v>
      </c>
      <c r="L422" s="750" t="s">
        <v>191</v>
      </c>
      <c r="M422" s="750" t="s">
        <v>8</v>
      </c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>x</v>
      </c>
      <c r="AB422" s="740"/>
      <c r="AC422" s="226" t="str">
        <f>IF(ISNA(VLOOKUP(F422,NXT!$C$18:$C$347,1,0)),x,"")</f>
        <v/>
      </c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>
        <f t="shared" si="9"/>
        <v>5</v>
      </c>
      <c r="C423" s="195">
        <v>41055</v>
      </c>
      <c r="D423" s="195" t="s">
        <v>612</v>
      </c>
      <c r="E423" s="195">
        <v>41055</v>
      </c>
      <c r="F423" s="203" t="s">
        <v>650</v>
      </c>
      <c r="G423" s="751" t="s">
        <v>937</v>
      </c>
      <c r="H423" s="7" t="s">
        <v>564</v>
      </c>
      <c r="I423" s="277"/>
      <c r="J423" s="277"/>
      <c r="K423" s="749">
        <v>1339420</v>
      </c>
      <c r="L423" s="750" t="s">
        <v>9</v>
      </c>
      <c r="M423" s="750" t="s">
        <v>8</v>
      </c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>x</v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>
        <f t="shared" si="9"/>
        <v>5</v>
      </c>
      <c r="C424" s="37">
        <v>41057</v>
      </c>
      <c r="D424" s="195" t="s">
        <v>612</v>
      </c>
      <c r="E424" s="37">
        <v>41057</v>
      </c>
      <c r="F424" s="40" t="s">
        <v>939</v>
      </c>
      <c r="G424" s="627" t="s">
        <v>940</v>
      </c>
      <c r="H424" s="7" t="s">
        <v>564</v>
      </c>
      <c r="I424" s="278">
        <v>100</v>
      </c>
      <c r="J424" s="278">
        <v>17876</v>
      </c>
      <c r="K424" s="749">
        <v>1787600</v>
      </c>
      <c r="L424" s="39" t="s">
        <v>191</v>
      </c>
      <c r="M424" s="750" t="s">
        <v>8</v>
      </c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>x</v>
      </c>
      <c r="AC424" s="226" t="str">
        <f>IF(ISNA(VLOOKUP(F424,NXT!$C$18:$C$347,1,0)),x,"")</f>
        <v/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>
        <f t="shared" si="9"/>
        <v>5</v>
      </c>
      <c r="C425" s="37">
        <v>41057</v>
      </c>
      <c r="D425" s="195" t="s">
        <v>612</v>
      </c>
      <c r="E425" s="37">
        <v>41057</v>
      </c>
      <c r="F425" s="40" t="s">
        <v>941</v>
      </c>
      <c r="G425" s="627" t="s">
        <v>940</v>
      </c>
      <c r="H425" s="7" t="s">
        <v>564</v>
      </c>
      <c r="I425" s="278">
        <v>300</v>
      </c>
      <c r="J425" s="278">
        <v>11817</v>
      </c>
      <c r="K425" s="38">
        <v>3545100</v>
      </c>
      <c r="L425" s="39" t="s">
        <v>191</v>
      </c>
      <c r="M425" s="750" t="s">
        <v>8</v>
      </c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>x</v>
      </c>
      <c r="AC425" s="226" t="str">
        <f>IF(ISNA(VLOOKUP(F425,NXT!$C$18:$C$347,1,0)),x,"")</f>
        <v/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>
        <f t="shared" si="9"/>
        <v>5</v>
      </c>
      <c r="C426" s="195">
        <v>41057</v>
      </c>
      <c r="D426" s="195" t="s">
        <v>612</v>
      </c>
      <c r="E426" s="195">
        <v>41057</v>
      </c>
      <c r="F426" s="203" t="s">
        <v>650</v>
      </c>
      <c r="G426" s="751" t="s">
        <v>940</v>
      </c>
      <c r="H426" s="7" t="s">
        <v>564</v>
      </c>
      <c r="I426" s="277"/>
      <c r="J426" s="277"/>
      <c r="K426" s="749">
        <v>533270</v>
      </c>
      <c r="L426" s="750" t="s">
        <v>9</v>
      </c>
      <c r="M426" s="750" t="s">
        <v>8</v>
      </c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>x</v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>
        <f t="shared" si="9"/>
        <v>5</v>
      </c>
      <c r="C427" s="37">
        <v>41059</v>
      </c>
      <c r="D427" s="37" t="s">
        <v>550</v>
      </c>
      <c r="E427" s="37">
        <v>41059</v>
      </c>
      <c r="F427" s="40" t="s">
        <v>528</v>
      </c>
      <c r="G427" s="627" t="s">
        <v>447</v>
      </c>
      <c r="H427" s="47" t="s">
        <v>783</v>
      </c>
      <c r="I427" s="277"/>
      <c r="J427" s="277"/>
      <c r="K427" s="38">
        <v>77500000</v>
      </c>
      <c r="L427" s="39" t="s">
        <v>24</v>
      </c>
      <c r="M427" s="39" t="s">
        <v>49</v>
      </c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>x</v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>x</v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>x</v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>
        <f t="shared" si="9"/>
        <v>5</v>
      </c>
      <c r="C428" s="37">
        <v>41059</v>
      </c>
      <c r="D428" s="37" t="s">
        <v>451</v>
      </c>
      <c r="E428" s="37">
        <v>41059</v>
      </c>
      <c r="F428" s="40" t="s">
        <v>532</v>
      </c>
      <c r="G428" s="627" t="s">
        <v>447</v>
      </c>
      <c r="H428" s="47"/>
      <c r="I428" s="277"/>
      <c r="J428" s="277"/>
      <c r="K428" s="38">
        <v>9933000</v>
      </c>
      <c r="L428" s="39" t="s">
        <v>8</v>
      </c>
      <c r="M428" s="39" t="s">
        <v>24</v>
      </c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>x</v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>x</v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>
        <f t="shared" si="9"/>
        <v>5</v>
      </c>
      <c r="C429" s="195">
        <v>41059</v>
      </c>
      <c r="D429" s="195" t="s">
        <v>451</v>
      </c>
      <c r="E429" s="195">
        <v>41059</v>
      </c>
      <c r="F429" s="203" t="s">
        <v>532</v>
      </c>
      <c r="G429" s="751" t="s">
        <v>447</v>
      </c>
      <c r="H429" s="770"/>
      <c r="I429" s="277"/>
      <c r="J429" s="277"/>
      <c r="K429" s="749">
        <v>15000000</v>
      </c>
      <c r="L429" s="750" t="s">
        <v>8</v>
      </c>
      <c r="M429" s="750" t="s">
        <v>24</v>
      </c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>x</v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>x</v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>
        <f t="shared" si="9"/>
        <v>5</v>
      </c>
      <c r="C430" s="37">
        <v>41059</v>
      </c>
      <c r="D430" s="37" t="s">
        <v>451</v>
      </c>
      <c r="E430" s="37">
        <v>41059</v>
      </c>
      <c r="F430" s="40" t="s">
        <v>453</v>
      </c>
      <c r="G430" s="627" t="s">
        <v>447</v>
      </c>
      <c r="H430" s="45"/>
      <c r="I430" s="277"/>
      <c r="J430" s="277"/>
      <c r="K430" s="749">
        <v>20000</v>
      </c>
      <c r="L430" s="39" t="s">
        <v>87</v>
      </c>
      <c r="M430" s="39" t="s">
        <v>24</v>
      </c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>x</v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>x</v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>
        <f t="shared" si="9"/>
        <v>5</v>
      </c>
      <c r="C431" s="37">
        <v>41059</v>
      </c>
      <c r="D431" s="37" t="s">
        <v>451</v>
      </c>
      <c r="E431" s="37">
        <v>41059</v>
      </c>
      <c r="F431" s="40" t="s">
        <v>532</v>
      </c>
      <c r="G431" s="627" t="s">
        <v>447</v>
      </c>
      <c r="H431" s="45"/>
      <c r="I431" s="277"/>
      <c r="J431" s="277"/>
      <c r="K431" s="749">
        <v>80000000</v>
      </c>
      <c r="L431" s="39" t="s">
        <v>8</v>
      </c>
      <c r="M431" s="39" t="s">
        <v>24</v>
      </c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>x</v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>x</v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>
        <f t="shared" si="9"/>
        <v>5</v>
      </c>
      <c r="C432" s="37">
        <v>41059</v>
      </c>
      <c r="D432" s="37" t="s">
        <v>451</v>
      </c>
      <c r="E432" s="37">
        <v>41059</v>
      </c>
      <c r="F432" s="40" t="s">
        <v>453</v>
      </c>
      <c r="G432" s="627" t="s">
        <v>447</v>
      </c>
      <c r="H432" s="45"/>
      <c r="I432" s="277"/>
      <c r="J432" s="277"/>
      <c r="K432" s="38">
        <v>40000</v>
      </c>
      <c r="L432" s="39" t="s">
        <v>87</v>
      </c>
      <c r="M432" s="39" t="s">
        <v>24</v>
      </c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>x</v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>x</v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>
        <f t="shared" ref="B433" si="10">IF(C433&lt;&gt;"",MONTH(C433),"")</f>
        <v>5</v>
      </c>
      <c r="C433" s="37">
        <v>41059</v>
      </c>
      <c r="D433" s="37" t="s">
        <v>451</v>
      </c>
      <c r="E433" s="37">
        <v>41059</v>
      </c>
      <c r="F433" s="40" t="s">
        <v>942</v>
      </c>
      <c r="G433" s="40" t="s">
        <v>447</v>
      </c>
      <c r="H433" s="45"/>
      <c r="I433" s="277"/>
      <c r="J433" s="277"/>
      <c r="K433" s="38">
        <v>22830</v>
      </c>
      <c r="L433" s="39" t="s">
        <v>87</v>
      </c>
      <c r="M433" s="39" t="s">
        <v>24</v>
      </c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>x</v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>x</v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>
        <f t="shared" ref="B434:B497" si="11">IF(C434&lt;&gt;"",MONTH(C434),"")</f>
        <v>5</v>
      </c>
      <c r="C434" s="37">
        <v>41059</v>
      </c>
      <c r="D434" s="195" t="s">
        <v>613</v>
      </c>
      <c r="E434" s="37">
        <v>41059</v>
      </c>
      <c r="F434" s="40" t="s">
        <v>943</v>
      </c>
      <c r="G434" s="40" t="s">
        <v>944</v>
      </c>
      <c r="H434" s="45" t="s">
        <v>773</v>
      </c>
      <c r="I434" s="277">
        <v>300</v>
      </c>
      <c r="J434" s="277">
        <v>10302</v>
      </c>
      <c r="K434" s="38">
        <v>3090600</v>
      </c>
      <c r="L434" s="39" t="s">
        <v>191</v>
      </c>
      <c r="M434" s="750" t="s">
        <v>8</v>
      </c>
      <c r="N434" s="55" t="str">
        <f>IF(AND('331-CT'!$E$7=TH!H434,OR(L434="331",M434="331")),"x","")</f>
        <v>x</v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>x</v>
      </c>
      <c r="AC434" s="226" t="str">
        <f>IF(ISNA(VLOOKUP(F434,NXT!$C$18:$C$347,1,0)),x,"")</f>
        <v/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>
        <f t="shared" si="11"/>
        <v>5</v>
      </c>
      <c r="C435" s="37">
        <v>41059</v>
      </c>
      <c r="D435" s="195" t="s">
        <v>613</v>
      </c>
      <c r="E435" s="37">
        <v>41059</v>
      </c>
      <c r="F435" s="40" t="s">
        <v>945</v>
      </c>
      <c r="G435" s="40" t="s">
        <v>944</v>
      </c>
      <c r="H435" s="45" t="s">
        <v>773</v>
      </c>
      <c r="I435" s="277">
        <v>300</v>
      </c>
      <c r="J435" s="277">
        <v>8640</v>
      </c>
      <c r="K435" s="38">
        <v>2592000</v>
      </c>
      <c r="L435" s="39" t="s">
        <v>191</v>
      </c>
      <c r="M435" s="750" t="s">
        <v>8</v>
      </c>
      <c r="N435" s="55" t="str">
        <f>IF(AND('331-CT'!$E$7=TH!H435,OR(L435="331",M435="331")),"x","")</f>
        <v>x</v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>x</v>
      </c>
      <c r="AC435" s="226" t="str">
        <f>IF(ISNA(VLOOKUP(F435,NXT!$C$18:$C$347,1,0)),x,"")</f>
        <v/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>
        <f t="shared" si="11"/>
        <v>5</v>
      </c>
      <c r="C436" s="37">
        <v>41059</v>
      </c>
      <c r="D436" s="195" t="s">
        <v>613</v>
      </c>
      <c r="E436" s="37">
        <v>41059</v>
      </c>
      <c r="F436" s="40" t="s">
        <v>946</v>
      </c>
      <c r="G436" s="40" t="s">
        <v>944</v>
      </c>
      <c r="H436" s="45" t="s">
        <v>773</v>
      </c>
      <c r="I436" s="277">
        <v>450</v>
      </c>
      <c r="J436" s="277">
        <v>10626</v>
      </c>
      <c r="K436" s="38">
        <v>4781700</v>
      </c>
      <c r="L436" s="39" t="s">
        <v>191</v>
      </c>
      <c r="M436" s="750" t="s">
        <v>8</v>
      </c>
      <c r="N436" s="55" t="str">
        <f>IF(AND('331-CT'!$E$7=TH!H436,OR(L436="331",M436="331")),"x","")</f>
        <v>x</v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>x</v>
      </c>
      <c r="AC436" s="226" t="str">
        <f>IF(ISNA(VLOOKUP(F436,NXT!$C$18:$C$347,1,0)),x,"")</f>
        <v/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>
        <f t="shared" si="11"/>
        <v>5</v>
      </c>
      <c r="C437" s="37">
        <v>41059</v>
      </c>
      <c r="D437" s="195" t="s">
        <v>613</v>
      </c>
      <c r="E437" s="37">
        <v>41059</v>
      </c>
      <c r="F437" s="40" t="s">
        <v>947</v>
      </c>
      <c r="G437" s="40" t="s">
        <v>944</v>
      </c>
      <c r="H437" s="45" t="s">
        <v>773</v>
      </c>
      <c r="I437" s="277">
        <v>150</v>
      </c>
      <c r="J437" s="277">
        <v>14094</v>
      </c>
      <c r="K437" s="38">
        <v>2114100</v>
      </c>
      <c r="L437" s="39" t="s">
        <v>191</v>
      </c>
      <c r="M437" s="750" t="s">
        <v>8</v>
      </c>
      <c r="N437" s="55" t="str">
        <f>IF(AND('331-CT'!$E$7=TH!H437,OR(L437="331",M437="331")),"x","")</f>
        <v>x</v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>x</v>
      </c>
      <c r="AC437" s="226" t="str">
        <f>IF(ISNA(VLOOKUP(F437,NXT!$C$18:$C$347,1,0)),x,"")</f>
        <v/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>
        <f t="shared" si="11"/>
        <v>5</v>
      </c>
      <c r="C438" s="37">
        <v>41059</v>
      </c>
      <c r="D438" s="195" t="s">
        <v>613</v>
      </c>
      <c r="E438" s="37">
        <v>41059</v>
      </c>
      <c r="F438" s="40" t="s">
        <v>948</v>
      </c>
      <c r="G438" s="40" t="s">
        <v>944</v>
      </c>
      <c r="H438" s="45" t="s">
        <v>773</v>
      </c>
      <c r="I438" s="277">
        <v>570</v>
      </c>
      <c r="J438" s="277">
        <v>9420</v>
      </c>
      <c r="K438" s="38">
        <v>5369400</v>
      </c>
      <c r="L438" s="39" t="s">
        <v>191</v>
      </c>
      <c r="M438" s="750" t="s">
        <v>8</v>
      </c>
      <c r="N438" s="55" t="str">
        <f>IF(AND('331-CT'!$E$7=TH!H438,OR(L438="331",M438="331")),"x","")</f>
        <v>x</v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>x</v>
      </c>
      <c r="AC438" s="226" t="str">
        <f>IF(ISNA(VLOOKUP(F438,NXT!$C$18:$C$347,1,0)),x,"")</f>
        <v/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>
        <f t="shared" si="11"/>
        <v>5</v>
      </c>
      <c r="C439" s="37">
        <v>41059</v>
      </c>
      <c r="D439" s="195" t="s">
        <v>613</v>
      </c>
      <c r="E439" s="37">
        <v>41059</v>
      </c>
      <c r="F439" s="40" t="s">
        <v>776</v>
      </c>
      <c r="G439" s="40" t="s">
        <v>944</v>
      </c>
      <c r="H439" s="45" t="s">
        <v>773</v>
      </c>
      <c r="I439" s="277"/>
      <c r="J439" s="277"/>
      <c r="K439" s="38">
        <v>1794780</v>
      </c>
      <c r="L439" s="39" t="s">
        <v>9</v>
      </c>
      <c r="M439" s="750" t="s">
        <v>8</v>
      </c>
      <c r="N439" s="55" t="str">
        <f>IF(AND('331-CT'!$E$7=TH!H439,OR(L439="331",M439="331")),"x","")</f>
        <v>x</v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>x</v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>
        <f t="shared" si="11"/>
        <v>5</v>
      </c>
      <c r="C440" s="37">
        <v>41059</v>
      </c>
      <c r="D440" s="195" t="s">
        <v>614</v>
      </c>
      <c r="E440" s="37">
        <v>41059</v>
      </c>
      <c r="F440" s="40" t="s">
        <v>949</v>
      </c>
      <c r="G440" s="40" t="s">
        <v>950</v>
      </c>
      <c r="H440" s="7" t="s">
        <v>564</v>
      </c>
      <c r="I440" s="280">
        <v>2150</v>
      </c>
      <c r="J440" s="280">
        <v>17357</v>
      </c>
      <c r="K440" s="38">
        <v>37317550</v>
      </c>
      <c r="L440" s="39" t="s">
        <v>191</v>
      </c>
      <c r="M440" s="750" t="s">
        <v>8</v>
      </c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>x</v>
      </c>
      <c r="AC440" s="226" t="str">
        <f>IF(ISNA(VLOOKUP(F440,NXT!$C$18:$C$347,1,0)),x,"")</f>
        <v/>
      </c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>
        <f t="shared" si="11"/>
        <v>5</v>
      </c>
      <c r="C441" s="37">
        <v>41059</v>
      </c>
      <c r="D441" s="195" t="s">
        <v>614</v>
      </c>
      <c r="E441" s="37">
        <v>41059</v>
      </c>
      <c r="F441" s="40" t="s">
        <v>951</v>
      </c>
      <c r="G441" s="40" t="s">
        <v>950</v>
      </c>
      <c r="H441" s="7" t="s">
        <v>564</v>
      </c>
      <c r="I441" s="280">
        <v>270</v>
      </c>
      <c r="J441" s="280">
        <v>18321</v>
      </c>
      <c r="K441" s="38">
        <v>4946670</v>
      </c>
      <c r="L441" s="39" t="s">
        <v>191</v>
      </c>
      <c r="M441" s="750" t="s">
        <v>8</v>
      </c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>x</v>
      </c>
      <c r="AC441" s="226" t="str">
        <f>IF(ISNA(VLOOKUP(F441,NXT!$C$18:$C$347,1,0)),x,"")</f>
        <v/>
      </c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>
        <f t="shared" si="11"/>
        <v>5</v>
      </c>
      <c r="C442" s="37">
        <v>41059</v>
      </c>
      <c r="D442" s="195" t="s">
        <v>614</v>
      </c>
      <c r="E442" s="37">
        <v>41059</v>
      </c>
      <c r="F442" s="40" t="s">
        <v>650</v>
      </c>
      <c r="G442" s="40" t="s">
        <v>950</v>
      </c>
      <c r="H442" s="7" t="s">
        <v>564</v>
      </c>
      <c r="I442" s="277"/>
      <c r="J442" s="277"/>
      <c r="K442" s="38">
        <v>4226422</v>
      </c>
      <c r="L442" s="39" t="s">
        <v>9</v>
      </c>
      <c r="M442" s="750" t="s">
        <v>8</v>
      </c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>x</v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>
        <f t="shared" si="11"/>
        <v>5</v>
      </c>
      <c r="C443" s="37">
        <v>41059</v>
      </c>
      <c r="D443" s="195" t="s">
        <v>615</v>
      </c>
      <c r="E443" s="37">
        <v>41059</v>
      </c>
      <c r="F443" s="40" t="s">
        <v>952</v>
      </c>
      <c r="G443" s="40" t="s">
        <v>953</v>
      </c>
      <c r="H443" s="7" t="s">
        <v>564</v>
      </c>
      <c r="I443" s="278">
        <v>292</v>
      </c>
      <c r="J443" s="278">
        <v>20261</v>
      </c>
      <c r="K443" s="38">
        <v>5916212</v>
      </c>
      <c r="L443" s="39" t="s">
        <v>191</v>
      </c>
      <c r="M443" s="750" t="s">
        <v>8</v>
      </c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>x</v>
      </c>
      <c r="AC443" s="226" t="str">
        <f>IF(ISNA(VLOOKUP(F443,NXT!$C$18:$C$347,1,0)),x,"")</f>
        <v/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>
        <f t="shared" si="11"/>
        <v>5</v>
      </c>
      <c r="C444" s="37">
        <v>41059</v>
      </c>
      <c r="D444" s="195" t="s">
        <v>615</v>
      </c>
      <c r="E444" s="37">
        <v>41059</v>
      </c>
      <c r="F444" s="40" t="s">
        <v>856</v>
      </c>
      <c r="G444" s="40" t="s">
        <v>953</v>
      </c>
      <c r="H444" s="7" t="s">
        <v>564</v>
      </c>
      <c r="I444" s="277">
        <v>250</v>
      </c>
      <c r="J444" s="277">
        <v>11706</v>
      </c>
      <c r="K444" s="38">
        <v>2926500</v>
      </c>
      <c r="L444" s="39" t="s">
        <v>191</v>
      </c>
      <c r="M444" s="750" t="s">
        <v>8</v>
      </c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>x</v>
      </c>
      <c r="AC444" s="226" t="str">
        <f>IF(ISNA(VLOOKUP(F444,NXT!$C$18:$C$347,1,0)),x,"")</f>
        <v/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>
        <f t="shared" si="11"/>
        <v>5</v>
      </c>
      <c r="C445" s="37">
        <v>41059</v>
      </c>
      <c r="D445" s="195" t="s">
        <v>615</v>
      </c>
      <c r="E445" s="205">
        <v>41059</v>
      </c>
      <c r="F445" s="206" t="s">
        <v>954</v>
      </c>
      <c r="G445" s="40" t="s">
        <v>953</v>
      </c>
      <c r="H445" s="7" t="s">
        <v>564</v>
      </c>
      <c r="I445" s="277">
        <v>360</v>
      </c>
      <c r="J445" s="277">
        <v>28775</v>
      </c>
      <c r="K445" s="38">
        <v>10359000</v>
      </c>
      <c r="L445" s="208" t="s">
        <v>191</v>
      </c>
      <c r="M445" s="750" t="s">
        <v>8</v>
      </c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>x</v>
      </c>
      <c r="AC445" s="226" t="str">
        <f>IF(ISNA(VLOOKUP(F445,NXT!$C$18:$C$347,1,0)),x,"")</f>
        <v/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>
        <f t="shared" si="11"/>
        <v>5</v>
      </c>
      <c r="C446" s="37">
        <v>41059</v>
      </c>
      <c r="D446" s="195" t="s">
        <v>615</v>
      </c>
      <c r="E446" s="205">
        <v>41059</v>
      </c>
      <c r="F446" s="206" t="s">
        <v>650</v>
      </c>
      <c r="G446" s="40" t="s">
        <v>953</v>
      </c>
      <c r="H446" s="7" t="s">
        <v>564</v>
      </c>
      <c r="I446" s="277"/>
      <c r="J446" s="277"/>
      <c r="K446" s="38">
        <v>1920171</v>
      </c>
      <c r="L446" s="208" t="s">
        <v>9</v>
      </c>
      <c r="M446" s="750" t="s">
        <v>8</v>
      </c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>x</v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>
        <f t="shared" si="11"/>
        <v>5</v>
      </c>
      <c r="C447" s="37">
        <v>41060</v>
      </c>
      <c r="D447" s="37" t="s">
        <v>589</v>
      </c>
      <c r="E447" s="205">
        <v>41060</v>
      </c>
      <c r="F447" s="40" t="s">
        <v>955</v>
      </c>
      <c r="G447" s="40" t="s">
        <v>956</v>
      </c>
      <c r="H447" s="225" t="s">
        <v>957</v>
      </c>
      <c r="I447" s="277">
        <v>104121</v>
      </c>
      <c r="J447" s="277">
        <v>250</v>
      </c>
      <c r="K447" s="38">
        <v>26030250</v>
      </c>
      <c r="L447" s="39" t="s">
        <v>193</v>
      </c>
      <c r="M447" s="750" t="s">
        <v>8</v>
      </c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>x</v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>
        <f t="shared" si="11"/>
        <v>5</v>
      </c>
      <c r="C448" s="37">
        <v>41060</v>
      </c>
      <c r="D448" s="37" t="s">
        <v>589</v>
      </c>
      <c r="E448" s="205">
        <v>41060</v>
      </c>
      <c r="F448" s="40" t="s">
        <v>958</v>
      </c>
      <c r="G448" s="40" t="s">
        <v>956</v>
      </c>
      <c r="H448" s="225" t="s">
        <v>957</v>
      </c>
      <c r="I448" s="277"/>
      <c r="J448" s="277"/>
      <c r="K448" s="38">
        <v>2603025</v>
      </c>
      <c r="L448" s="39" t="s">
        <v>9</v>
      </c>
      <c r="M448" s="750" t="s">
        <v>8</v>
      </c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>x</v>
      </c>
    </row>
    <row r="449" spans="1:29" s="226" customFormat="1" ht="15.75" customHeight="1">
      <c r="A449" s="219" t="str">
        <f>IF(B449&lt;&gt;"",IF(AND(B449&gt;=_TM1,B449&lt;=_TM2,OR(TH!L449="1111",TH!M449="1111")),TH!D449,""),"")</f>
        <v/>
      </c>
      <c r="B449" s="36">
        <f t="shared" si="11"/>
        <v>5</v>
      </c>
      <c r="C449" s="37">
        <v>41060</v>
      </c>
      <c r="D449" s="195" t="s">
        <v>616</v>
      </c>
      <c r="E449" s="37">
        <v>41060</v>
      </c>
      <c r="F449" s="40" t="s">
        <v>948</v>
      </c>
      <c r="G449" s="40" t="s">
        <v>959</v>
      </c>
      <c r="H449" s="45" t="s">
        <v>773</v>
      </c>
      <c r="I449" s="277">
        <v>80</v>
      </c>
      <c r="J449" s="277">
        <v>9420</v>
      </c>
      <c r="K449" s="38">
        <v>753600</v>
      </c>
      <c r="L449" s="39" t="s">
        <v>191</v>
      </c>
      <c r="M449" s="750" t="s">
        <v>8</v>
      </c>
      <c r="N449" s="55" t="str">
        <f>IF(AND('331-CT'!$E$7=TH!H449,OR(L449="331",M449="331")),"x","")</f>
        <v>x</v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>x</v>
      </c>
      <c r="AC449" s="226" t="str">
        <f>IF(ISNA(VLOOKUP(F449,NXT!$C$18:$C$347,1,0)),x,"")</f>
        <v/>
      </c>
    </row>
    <row r="450" spans="1:29" s="226" customFormat="1" ht="15.75" customHeight="1">
      <c r="A450" s="219" t="str">
        <f>IF(B450&lt;&gt;"",IF(AND(B450&gt;=_TM1,B450&lt;=_TM2,OR(TH!L450="1111",TH!M450="1111")),TH!D450,""),"")</f>
        <v/>
      </c>
      <c r="B450" s="36">
        <f t="shared" si="11"/>
        <v>5</v>
      </c>
      <c r="C450" s="37">
        <v>41060</v>
      </c>
      <c r="D450" s="195" t="s">
        <v>616</v>
      </c>
      <c r="E450" s="37">
        <v>41060</v>
      </c>
      <c r="F450" s="40" t="s">
        <v>960</v>
      </c>
      <c r="G450" s="40" t="s">
        <v>959</v>
      </c>
      <c r="H450" s="225" t="s">
        <v>773</v>
      </c>
      <c r="I450" s="278">
        <v>180</v>
      </c>
      <c r="J450" s="278">
        <v>15120</v>
      </c>
      <c r="K450" s="38">
        <v>2721600</v>
      </c>
      <c r="L450" s="39" t="s">
        <v>191</v>
      </c>
      <c r="M450" s="750" t="s">
        <v>8</v>
      </c>
      <c r="N450" s="55" t="str">
        <f>IF(AND('331-CT'!$E$7=TH!H450,OR(L450="331",M450="331")),"x","")</f>
        <v>x</v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>x</v>
      </c>
      <c r="AC450" s="226" t="str">
        <f>IF(ISNA(VLOOKUP(F450,NXT!$C$18:$C$347,1,0)),x,"")</f>
        <v/>
      </c>
    </row>
    <row r="451" spans="1:29" s="226" customFormat="1" ht="15.75" customHeight="1">
      <c r="A451" s="219" t="str">
        <f>IF(B451&lt;&gt;"",IF(AND(B451&gt;=_TM1,B451&lt;=_TM2,OR(TH!L451="1111",TH!M451="1111")),TH!D451,""),"")</f>
        <v/>
      </c>
      <c r="B451" s="36">
        <f t="shared" si="11"/>
        <v>5</v>
      </c>
      <c r="C451" s="37">
        <v>41060</v>
      </c>
      <c r="D451" s="195" t="s">
        <v>616</v>
      </c>
      <c r="E451" s="37">
        <v>41060</v>
      </c>
      <c r="F451" s="40" t="s">
        <v>961</v>
      </c>
      <c r="G451" s="40" t="s">
        <v>959</v>
      </c>
      <c r="H451" s="45" t="s">
        <v>773</v>
      </c>
      <c r="I451" s="277">
        <v>100</v>
      </c>
      <c r="J451" s="277">
        <v>11730</v>
      </c>
      <c r="K451" s="38">
        <v>1173000</v>
      </c>
      <c r="L451" s="39" t="s">
        <v>191</v>
      </c>
      <c r="M451" s="750" t="s">
        <v>8</v>
      </c>
      <c r="N451" s="55" t="str">
        <f>IF(AND('331-CT'!$E$7=TH!H451,OR(L451="331",M451="331")),"x","")</f>
        <v>x</v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>x</v>
      </c>
      <c r="AC451" s="226" t="str">
        <f>IF(ISNA(VLOOKUP(F451,NXT!$C$18:$C$347,1,0)),x,"")</f>
        <v/>
      </c>
    </row>
    <row r="452" spans="1:29" s="226" customFormat="1" ht="15.75" customHeight="1">
      <c r="A452" s="219" t="str">
        <f>IF(B452&lt;&gt;"",IF(AND(B452&gt;=_TM1,B452&lt;=_TM2,OR(TH!L452="1111",TH!M452="1111")),TH!D452,""),"")</f>
        <v/>
      </c>
      <c r="B452" s="36">
        <f t="shared" si="11"/>
        <v>5</v>
      </c>
      <c r="C452" s="37">
        <v>41060</v>
      </c>
      <c r="D452" s="195" t="s">
        <v>616</v>
      </c>
      <c r="E452" s="37">
        <v>41060</v>
      </c>
      <c r="F452" s="40" t="s">
        <v>962</v>
      </c>
      <c r="G452" s="40" t="s">
        <v>959</v>
      </c>
      <c r="H452" s="45" t="s">
        <v>773</v>
      </c>
      <c r="I452" s="277">
        <v>500</v>
      </c>
      <c r="J452" s="277">
        <v>13487.1</v>
      </c>
      <c r="K452" s="38">
        <v>6743550</v>
      </c>
      <c r="L452" s="39" t="s">
        <v>191</v>
      </c>
      <c r="M452" s="750" t="s">
        <v>8</v>
      </c>
      <c r="N452" s="55" t="str">
        <f>IF(AND('331-CT'!$E$7=TH!H452,OR(L452="331",M452="331")),"x","")</f>
        <v>x</v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>x</v>
      </c>
      <c r="AC452" s="226" t="str">
        <f>IF(ISNA(VLOOKUP(F452,NXT!$C$18:$C$347,1,0)),x,"")</f>
        <v/>
      </c>
    </row>
    <row r="453" spans="1:29" s="226" customFormat="1" ht="15.75" customHeight="1">
      <c r="A453" s="219" t="str">
        <f>IF(B453&lt;&gt;"",IF(AND(B453&gt;=_TM1,B453&lt;=_TM2,OR(TH!L453="1111",TH!M453="1111")),TH!D453,""),"")</f>
        <v/>
      </c>
      <c r="B453" s="36">
        <f t="shared" si="11"/>
        <v>5</v>
      </c>
      <c r="C453" s="37">
        <v>41060</v>
      </c>
      <c r="D453" s="195" t="s">
        <v>616</v>
      </c>
      <c r="E453" s="37">
        <v>41060</v>
      </c>
      <c r="F453" s="40" t="s">
        <v>963</v>
      </c>
      <c r="G453" s="40" t="s">
        <v>959</v>
      </c>
      <c r="H453" s="45" t="s">
        <v>773</v>
      </c>
      <c r="I453" s="277">
        <v>500</v>
      </c>
      <c r="J453" s="277">
        <v>6220.8</v>
      </c>
      <c r="K453" s="38">
        <v>3110400</v>
      </c>
      <c r="L453" s="39" t="s">
        <v>191</v>
      </c>
      <c r="M453" s="750" t="s">
        <v>8</v>
      </c>
      <c r="N453" s="55" t="str">
        <f>IF(AND('331-CT'!$E$7=TH!H453,OR(L453="331",M453="331")),"x","")</f>
        <v>x</v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>x</v>
      </c>
      <c r="AC453" s="226" t="str">
        <f>IF(ISNA(VLOOKUP(F453,NXT!$C$18:$C$347,1,0)),x,"")</f>
        <v/>
      </c>
    </row>
    <row r="454" spans="1:29" s="226" customFormat="1" ht="15.75" customHeight="1">
      <c r="A454" s="219" t="str">
        <f>IF(B454&lt;&gt;"",IF(AND(B454&gt;=_TM1,B454&lt;=_TM2,OR(TH!L454="1111",TH!M454="1111")),TH!D454,""),"")</f>
        <v/>
      </c>
      <c r="B454" s="36">
        <f t="shared" si="11"/>
        <v>5</v>
      </c>
      <c r="C454" s="37">
        <v>41060</v>
      </c>
      <c r="D454" s="195" t="s">
        <v>616</v>
      </c>
      <c r="E454" s="37">
        <v>41060</v>
      </c>
      <c r="F454" s="40" t="s">
        <v>964</v>
      </c>
      <c r="G454" s="40" t="s">
        <v>959</v>
      </c>
      <c r="H454" s="45" t="s">
        <v>773</v>
      </c>
      <c r="I454" s="277">
        <v>200</v>
      </c>
      <c r="J454" s="277">
        <v>11059.2</v>
      </c>
      <c r="K454" s="38">
        <v>2211840</v>
      </c>
      <c r="L454" s="39" t="s">
        <v>191</v>
      </c>
      <c r="M454" s="750" t="s">
        <v>8</v>
      </c>
      <c r="N454" s="55" t="str">
        <f>IF(AND('331-CT'!$E$7=TH!H454,OR(L454="331",M454="331")),"x","")</f>
        <v>x</v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>x</v>
      </c>
      <c r="AC454" s="226" t="str">
        <f>IF(ISNA(VLOOKUP(F454,NXT!$C$18:$C$347,1,0)),x,"")</f>
        <v/>
      </c>
    </row>
    <row r="455" spans="1:29" s="226" customFormat="1" ht="15.75" customHeight="1">
      <c r="A455" s="219" t="str">
        <f>IF(B455&lt;&gt;"",IF(AND(B455&gt;=_TM1,B455&lt;=_TM2,OR(TH!L455="1111",TH!M455="1111")),TH!D455,""),"")</f>
        <v/>
      </c>
      <c r="B455" s="36">
        <f t="shared" si="11"/>
        <v>5</v>
      </c>
      <c r="C455" s="37">
        <v>41060</v>
      </c>
      <c r="D455" s="195" t="s">
        <v>616</v>
      </c>
      <c r="E455" s="37">
        <v>41060</v>
      </c>
      <c r="F455" s="40" t="s">
        <v>965</v>
      </c>
      <c r="G455" s="40" t="s">
        <v>959</v>
      </c>
      <c r="H455" s="45" t="s">
        <v>773</v>
      </c>
      <c r="I455" s="277">
        <v>150</v>
      </c>
      <c r="J455" s="277">
        <v>9523.2000000000007</v>
      </c>
      <c r="K455" s="38">
        <v>1428480</v>
      </c>
      <c r="L455" s="39" t="s">
        <v>191</v>
      </c>
      <c r="M455" s="750" t="s">
        <v>8</v>
      </c>
      <c r="N455" s="55" t="str">
        <f>IF(AND('331-CT'!$E$7=TH!H455,OR(L455="331",M455="331")),"x","")</f>
        <v>x</v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>x</v>
      </c>
      <c r="AC455" s="226" t="str">
        <f>IF(ISNA(VLOOKUP(F455,NXT!$C$18:$C$347,1,0)),x,"")</f>
        <v/>
      </c>
    </row>
    <row r="456" spans="1:29" s="226" customFormat="1" ht="15.75" customHeight="1">
      <c r="A456" s="219" t="str">
        <f>IF(B456&lt;&gt;"",IF(AND(B456&gt;=_TM1,B456&lt;=_TM2,OR(TH!L456="1111",TH!M456="1111")),TH!D456,""),"")</f>
        <v/>
      </c>
      <c r="B456" s="36">
        <f t="shared" si="11"/>
        <v>5</v>
      </c>
      <c r="C456" s="37">
        <v>41060</v>
      </c>
      <c r="D456" s="195" t="s">
        <v>616</v>
      </c>
      <c r="E456" s="37">
        <v>41060</v>
      </c>
      <c r="F456" s="40" t="s">
        <v>966</v>
      </c>
      <c r="G456" s="40" t="s">
        <v>959</v>
      </c>
      <c r="H456" s="45" t="s">
        <v>773</v>
      </c>
      <c r="I456" s="277"/>
      <c r="J456" s="277"/>
      <c r="K456" s="38">
        <v>1814247</v>
      </c>
      <c r="L456" s="39" t="s">
        <v>9</v>
      </c>
      <c r="M456" s="750" t="s">
        <v>8</v>
      </c>
      <c r="N456" s="55" t="str">
        <f>IF(AND('331-CT'!$E$7=TH!H456,OR(L456="331",M456="331")),"x","")</f>
        <v>x</v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>x</v>
      </c>
    </row>
    <row r="457" spans="1:29" s="226" customFormat="1" ht="15.75" customHeight="1">
      <c r="A457" s="219" t="str">
        <f>IF(B457&lt;&gt;"",IF(AND(B457&gt;=_TM1,B457&lt;=_TM2,OR(TH!L457="1111",TH!M457="1111")),TH!D457,""),"")</f>
        <v/>
      </c>
      <c r="B457" s="36">
        <f t="shared" si="11"/>
        <v>6</v>
      </c>
      <c r="C457" s="37">
        <v>41064</v>
      </c>
      <c r="D457" s="195" t="s">
        <v>617</v>
      </c>
      <c r="E457" s="37">
        <v>41064</v>
      </c>
      <c r="F457" s="40" t="s">
        <v>861</v>
      </c>
      <c r="G457" s="40" t="s">
        <v>967</v>
      </c>
      <c r="H457" s="7" t="s">
        <v>564</v>
      </c>
      <c r="I457" s="277">
        <v>250</v>
      </c>
      <c r="J457" s="277">
        <v>17722</v>
      </c>
      <c r="K457" s="38">
        <v>4430500</v>
      </c>
      <c r="L457" s="39" t="s">
        <v>191</v>
      </c>
      <c r="M457" s="750" t="s">
        <v>8</v>
      </c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>x</v>
      </c>
      <c r="AC457" s="226" t="str">
        <f>IF(ISNA(VLOOKUP(F457,NXT!$C$18:$C$347,1,0)),x,"")</f>
        <v/>
      </c>
    </row>
    <row r="458" spans="1:29" s="226" customFormat="1" ht="15.75" customHeight="1">
      <c r="A458" s="219" t="str">
        <f>IF(B458&lt;&gt;"",IF(AND(B458&gt;=_TM1,B458&lt;=_TM2,OR(TH!L458="1111",TH!M458="1111")),TH!D458,""),"")</f>
        <v/>
      </c>
      <c r="B458" s="36">
        <f t="shared" si="11"/>
        <v>6</v>
      </c>
      <c r="C458" s="37">
        <v>41064</v>
      </c>
      <c r="D458" s="195" t="s">
        <v>617</v>
      </c>
      <c r="E458" s="37">
        <v>41064</v>
      </c>
      <c r="F458" s="40" t="s">
        <v>650</v>
      </c>
      <c r="G458" s="40" t="s">
        <v>967</v>
      </c>
      <c r="H458" s="7" t="s">
        <v>564</v>
      </c>
      <c r="I458" s="277"/>
      <c r="J458" s="277"/>
      <c r="K458" s="38">
        <v>443050</v>
      </c>
      <c r="L458" s="39" t="s">
        <v>9</v>
      </c>
      <c r="M458" s="750" t="s">
        <v>8</v>
      </c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>x</v>
      </c>
    </row>
    <row r="459" spans="1:29" s="226" customFormat="1" ht="15.75" customHeight="1">
      <c r="A459" s="219" t="str">
        <f>IF(B459&lt;&gt;"",IF(AND(B459&gt;=_TM1,B459&lt;=_TM2,OR(TH!L459="1111",TH!M459="1111")),TH!D459,""),"")</f>
        <v/>
      </c>
      <c r="B459" s="36">
        <f t="shared" si="11"/>
        <v>6</v>
      </c>
      <c r="C459" s="37">
        <v>41066</v>
      </c>
      <c r="D459" s="195" t="s">
        <v>618</v>
      </c>
      <c r="E459" s="37">
        <v>41066</v>
      </c>
      <c r="F459" s="40" t="s">
        <v>968</v>
      </c>
      <c r="G459" s="40" t="s">
        <v>969</v>
      </c>
      <c r="H459" s="46" t="s">
        <v>970</v>
      </c>
      <c r="I459" s="277">
        <v>600</v>
      </c>
      <c r="J459" s="277">
        <v>8930</v>
      </c>
      <c r="K459" s="38">
        <v>5358000</v>
      </c>
      <c r="L459" s="39" t="s">
        <v>191</v>
      </c>
      <c r="M459" s="750" t="s">
        <v>8</v>
      </c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>x</v>
      </c>
      <c r="AC459" s="226" t="str">
        <f>IF(ISNA(VLOOKUP(F459,NXT!$C$18:$C$347,1,0)),x,"")</f>
        <v/>
      </c>
    </row>
    <row r="460" spans="1:29" s="226" customFormat="1" ht="15.75" customHeight="1">
      <c r="A460" s="219" t="str">
        <f>IF(B460&lt;&gt;"",IF(AND(B460&gt;=_TM1,B460&lt;=_TM2,OR(TH!L460="1111",TH!M460="1111")),TH!D460,""),"")</f>
        <v/>
      </c>
      <c r="B460" s="36">
        <f t="shared" si="11"/>
        <v>6</v>
      </c>
      <c r="C460" s="37">
        <v>41066</v>
      </c>
      <c r="D460" s="195" t="s">
        <v>618</v>
      </c>
      <c r="E460" s="37">
        <v>41066</v>
      </c>
      <c r="F460" s="40" t="s">
        <v>971</v>
      </c>
      <c r="G460" s="627" t="s">
        <v>969</v>
      </c>
      <c r="H460" s="45" t="s">
        <v>970</v>
      </c>
      <c r="I460" s="277">
        <v>600</v>
      </c>
      <c r="J460" s="277">
        <v>12066</v>
      </c>
      <c r="K460" s="38">
        <v>7239600</v>
      </c>
      <c r="L460" s="39" t="s">
        <v>191</v>
      </c>
      <c r="M460" s="750" t="s">
        <v>8</v>
      </c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>x</v>
      </c>
      <c r="AC460" s="226" t="str">
        <f>IF(ISNA(VLOOKUP(F460,NXT!$C$18:$C$347,1,0)),x,"")</f>
        <v/>
      </c>
    </row>
    <row r="461" spans="1:29" s="226" customFormat="1" ht="15.75" customHeight="1">
      <c r="A461" s="219" t="str">
        <f>IF(B461&lt;&gt;"",IF(AND(B461&gt;=_TM1,B461&lt;=_TM2,OR(TH!L461="1111",TH!M461="1111")),TH!D461,""),"")</f>
        <v/>
      </c>
      <c r="B461" s="36">
        <f t="shared" si="11"/>
        <v>6</v>
      </c>
      <c r="C461" s="37">
        <v>41066</v>
      </c>
      <c r="D461" s="195" t="s">
        <v>618</v>
      </c>
      <c r="E461" s="37">
        <v>41066</v>
      </c>
      <c r="F461" s="40" t="s">
        <v>972</v>
      </c>
      <c r="G461" s="627" t="s">
        <v>969</v>
      </c>
      <c r="H461" s="45" t="s">
        <v>970</v>
      </c>
      <c r="I461" s="277"/>
      <c r="J461" s="277"/>
      <c r="K461" s="38">
        <v>1259760</v>
      </c>
      <c r="L461" s="39" t="s">
        <v>9</v>
      </c>
      <c r="M461" s="750" t="s">
        <v>8</v>
      </c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>x</v>
      </c>
    </row>
    <row r="462" spans="1:29" s="226" customFormat="1" ht="15.75" customHeight="1">
      <c r="A462" s="219" t="str">
        <f>IF(B462&lt;&gt;"",IF(AND(B462&gt;=_TM1,B462&lt;=_TM2,OR(TH!L462="1111",TH!M462="1111")),TH!D462,""),"")</f>
        <v/>
      </c>
      <c r="B462" s="36">
        <f t="shared" si="11"/>
        <v>6</v>
      </c>
      <c r="C462" s="37">
        <v>41066</v>
      </c>
      <c r="D462" s="37" t="s">
        <v>566</v>
      </c>
      <c r="E462" s="37">
        <v>41066</v>
      </c>
      <c r="F462" s="40" t="s">
        <v>532</v>
      </c>
      <c r="G462" s="40" t="s">
        <v>969</v>
      </c>
      <c r="H462" s="40" t="s">
        <v>970</v>
      </c>
      <c r="I462" s="277"/>
      <c r="J462" s="277"/>
      <c r="K462" s="38">
        <v>13857360</v>
      </c>
      <c r="L462" s="39" t="s">
        <v>8</v>
      </c>
      <c r="M462" s="39" t="s">
        <v>49</v>
      </c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>x</v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>x</v>
      </c>
    </row>
    <row r="463" spans="1:29" s="226" customFormat="1" ht="15.75" customHeight="1">
      <c r="A463" s="219" t="str">
        <f>IF(B463&lt;&gt;"",IF(AND(B463&gt;=_TM1,B463&lt;=_TM2,OR(TH!L463="1111",TH!M463="1111")),TH!D463,""),"")</f>
        <v/>
      </c>
      <c r="B463" s="36">
        <f t="shared" si="11"/>
        <v>6</v>
      </c>
      <c r="C463" s="37">
        <v>41066</v>
      </c>
      <c r="D463" s="195" t="s">
        <v>1189</v>
      </c>
      <c r="E463" s="37">
        <v>41066</v>
      </c>
      <c r="F463" s="40" t="s">
        <v>973</v>
      </c>
      <c r="G463" s="40" t="s">
        <v>974</v>
      </c>
      <c r="H463" s="7" t="s">
        <v>564</v>
      </c>
      <c r="I463" s="277">
        <v>200</v>
      </c>
      <c r="J463" s="277">
        <v>13789</v>
      </c>
      <c r="K463" s="38">
        <v>2757800</v>
      </c>
      <c r="L463" s="39" t="s">
        <v>191</v>
      </c>
      <c r="M463" s="750" t="s">
        <v>8</v>
      </c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>x</v>
      </c>
      <c r="AC463" s="226" t="str">
        <f>IF(ISNA(VLOOKUP(F463,NXT!$C$18:$C$347,1,0)),x,"")</f>
        <v/>
      </c>
    </row>
    <row r="464" spans="1:29" s="226" customFormat="1" ht="15.75" customHeight="1">
      <c r="A464" s="219" t="str">
        <f>IF(B464&lt;&gt;"",IF(AND(B464&gt;=_TM1,B464&lt;=_TM2,OR(TH!L464="1111",TH!M464="1111")),TH!D464,""),"")</f>
        <v/>
      </c>
      <c r="B464" s="36">
        <f t="shared" si="11"/>
        <v>6</v>
      </c>
      <c r="C464" s="37">
        <v>41066</v>
      </c>
      <c r="D464" s="195" t="s">
        <v>1189</v>
      </c>
      <c r="E464" s="37">
        <v>41066</v>
      </c>
      <c r="F464" s="40" t="s">
        <v>975</v>
      </c>
      <c r="G464" s="40" t="s">
        <v>974</v>
      </c>
      <c r="H464" s="7" t="s">
        <v>564</v>
      </c>
      <c r="I464" s="277">
        <v>200</v>
      </c>
      <c r="J464" s="277">
        <v>9324</v>
      </c>
      <c r="K464" s="38">
        <v>1864800</v>
      </c>
      <c r="L464" s="39" t="s">
        <v>191</v>
      </c>
      <c r="M464" s="750" t="s">
        <v>8</v>
      </c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>x</v>
      </c>
      <c r="AC464" s="226" t="str">
        <f>IF(ISNA(VLOOKUP(F464,NXT!$C$18:$C$347,1,0)),x,"")</f>
        <v/>
      </c>
    </row>
    <row r="465" spans="1:29" s="226" customFormat="1" ht="15.75" customHeight="1">
      <c r="A465" s="219" t="str">
        <f>IF(B465&lt;&gt;"",IF(AND(B465&gt;=_TM1,B465&lt;=_TM2,OR(TH!L465="1111",TH!M465="1111")),TH!D465,""),"")</f>
        <v/>
      </c>
      <c r="B465" s="36">
        <f t="shared" si="11"/>
        <v>6</v>
      </c>
      <c r="C465" s="37">
        <v>41066</v>
      </c>
      <c r="D465" s="195" t="s">
        <v>1189</v>
      </c>
      <c r="E465" s="37">
        <v>41066</v>
      </c>
      <c r="F465" s="40" t="s">
        <v>929</v>
      </c>
      <c r="G465" s="40" t="s">
        <v>974</v>
      </c>
      <c r="H465" s="7" t="s">
        <v>564</v>
      </c>
      <c r="I465" s="277">
        <v>200</v>
      </c>
      <c r="J465" s="277">
        <v>21119</v>
      </c>
      <c r="K465" s="38">
        <v>4223800</v>
      </c>
      <c r="L465" s="39" t="s">
        <v>191</v>
      </c>
      <c r="M465" s="750" t="s">
        <v>8</v>
      </c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>x</v>
      </c>
      <c r="AC465" s="226" t="str">
        <f>IF(ISNA(VLOOKUP(F465,NXT!$C$18:$C$347,1,0)),x,"")</f>
        <v/>
      </c>
    </row>
    <row r="466" spans="1:29" s="226" customFormat="1" ht="15.75" customHeight="1">
      <c r="A466" s="219" t="str">
        <f>IF(B466&lt;&gt;"",IF(AND(B466&gt;=_TM1,B466&lt;=_TM2,OR(TH!L466="1111",TH!M466="1111")),TH!D466,""),"")</f>
        <v/>
      </c>
      <c r="B466" s="36">
        <f t="shared" si="11"/>
        <v>6</v>
      </c>
      <c r="C466" s="37">
        <v>41066</v>
      </c>
      <c r="D466" s="195" t="s">
        <v>1189</v>
      </c>
      <c r="E466" s="37">
        <v>41066</v>
      </c>
      <c r="F466" s="40" t="s">
        <v>877</v>
      </c>
      <c r="G466" s="40" t="s">
        <v>974</v>
      </c>
      <c r="H466" s="7" t="s">
        <v>564</v>
      </c>
      <c r="I466" s="277">
        <v>1600</v>
      </c>
      <c r="J466" s="277">
        <v>10775</v>
      </c>
      <c r="K466" s="38">
        <v>17240000</v>
      </c>
      <c r="L466" s="39" t="s">
        <v>191</v>
      </c>
      <c r="M466" s="750" t="s">
        <v>8</v>
      </c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>x</v>
      </c>
      <c r="AC466" s="226" t="str">
        <f>IF(ISNA(VLOOKUP(F466,NXT!$C$18:$C$347,1,0)),x,"")</f>
        <v/>
      </c>
    </row>
    <row r="467" spans="1:29" s="226" customFormat="1" ht="15.75" customHeight="1">
      <c r="A467" s="219" t="str">
        <f>IF(B467&lt;&gt;"",IF(AND(B467&gt;=_TM1,B467&lt;=_TM2,OR(TH!L467="1111",TH!M467="1111")),TH!D467,""),"")</f>
        <v/>
      </c>
      <c r="B467" s="36">
        <f t="shared" si="11"/>
        <v>6</v>
      </c>
      <c r="C467" s="37">
        <v>41066</v>
      </c>
      <c r="D467" s="195" t="s">
        <v>1189</v>
      </c>
      <c r="E467" s="37">
        <v>41066</v>
      </c>
      <c r="F467" s="40" t="s">
        <v>650</v>
      </c>
      <c r="G467" s="40" t="s">
        <v>974</v>
      </c>
      <c r="H467" s="7" t="s">
        <v>564</v>
      </c>
      <c r="I467" s="277"/>
      <c r="J467" s="277"/>
      <c r="K467" s="38">
        <v>2608640</v>
      </c>
      <c r="L467" s="39" t="s">
        <v>9</v>
      </c>
      <c r="M467" s="750" t="s">
        <v>8</v>
      </c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>x</v>
      </c>
    </row>
    <row r="468" spans="1:29" s="226" customFormat="1" ht="15.75" customHeight="1">
      <c r="A468" s="219" t="str">
        <f>IF(B468&lt;&gt;"",IF(AND(B468&gt;=_TM1,B468&lt;=_TM2,OR(TH!L468="1111",TH!M468="1111")),TH!D468,""),"")</f>
        <v/>
      </c>
      <c r="B468" s="36">
        <f t="shared" si="11"/>
        <v>6</v>
      </c>
      <c r="C468" s="37">
        <v>41068</v>
      </c>
      <c r="D468" s="37" t="s">
        <v>450</v>
      </c>
      <c r="E468" s="37">
        <v>41068</v>
      </c>
      <c r="F468" s="40" t="s">
        <v>452</v>
      </c>
      <c r="G468" s="40" t="s">
        <v>447</v>
      </c>
      <c r="H468" s="45"/>
      <c r="I468" s="277"/>
      <c r="J468" s="277"/>
      <c r="K468" s="38">
        <v>60240213</v>
      </c>
      <c r="L468" s="39" t="s">
        <v>24</v>
      </c>
      <c r="M468" s="39" t="s">
        <v>352</v>
      </c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>x</v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>x</v>
      </c>
    </row>
    <row r="469" spans="1:29" s="226" customFormat="1" ht="15.75" customHeight="1">
      <c r="A469" s="219" t="str">
        <f>IF(B469&lt;&gt;"",IF(AND(B469&gt;=_TM1,B469&lt;=_TM2,OR(TH!L469="1111",TH!M469="1111")),TH!D469,""),"")</f>
        <v/>
      </c>
      <c r="B469" s="36">
        <f t="shared" si="11"/>
        <v>6</v>
      </c>
      <c r="C469" s="37">
        <v>41068</v>
      </c>
      <c r="D469" s="205" t="s">
        <v>450</v>
      </c>
      <c r="E469" s="37">
        <v>41068</v>
      </c>
      <c r="F469" s="40" t="s">
        <v>452</v>
      </c>
      <c r="G469" s="627" t="s">
        <v>447</v>
      </c>
      <c r="H469" s="45"/>
      <c r="I469" s="277"/>
      <c r="J469" s="277"/>
      <c r="K469" s="38">
        <v>18522867</v>
      </c>
      <c r="L469" s="39" t="s">
        <v>24</v>
      </c>
      <c r="M469" s="39" t="s">
        <v>352</v>
      </c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>x</v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>x</v>
      </c>
    </row>
    <row r="470" spans="1:29" s="226" customFormat="1" ht="15.75" customHeight="1">
      <c r="A470" s="219" t="str">
        <f>IF(B470&lt;&gt;"",IF(AND(B470&gt;=_TM1,B470&lt;=_TM2,OR(TH!L470="1111",TH!M470="1111")),TH!D470,""),"")</f>
        <v/>
      </c>
      <c r="B470" s="36">
        <f t="shared" si="11"/>
        <v>6</v>
      </c>
      <c r="C470" s="37">
        <v>41068</v>
      </c>
      <c r="D470" s="205" t="s">
        <v>450</v>
      </c>
      <c r="E470" s="37">
        <v>41068</v>
      </c>
      <c r="F470" s="40" t="s">
        <v>452</v>
      </c>
      <c r="G470" s="40" t="s">
        <v>447</v>
      </c>
      <c r="H470" s="45"/>
      <c r="I470" s="277"/>
      <c r="J470" s="277"/>
      <c r="K470" s="38">
        <v>8479130</v>
      </c>
      <c r="L470" s="39" t="s">
        <v>24</v>
      </c>
      <c r="M470" s="39" t="s">
        <v>352</v>
      </c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>x</v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>x</v>
      </c>
    </row>
    <row r="471" spans="1:29" s="226" customFormat="1" ht="15.75" customHeight="1">
      <c r="A471" s="219" t="str">
        <f>IF(B471&lt;&gt;"",IF(AND(B471&gt;=_TM1,B471&lt;=_TM2,OR(TH!L471="1111",TH!M471="1111")),TH!D471,""),"")</f>
        <v/>
      </c>
      <c r="B471" s="36">
        <f t="shared" si="11"/>
        <v>6</v>
      </c>
      <c r="C471" s="37">
        <v>41068</v>
      </c>
      <c r="D471" s="37" t="s">
        <v>451</v>
      </c>
      <c r="E471" s="37">
        <v>41068</v>
      </c>
      <c r="F471" s="40" t="s">
        <v>532</v>
      </c>
      <c r="G471" s="40" t="s">
        <v>447</v>
      </c>
      <c r="H471" s="45"/>
      <c r="I471" s="277"/>
      <c r="J471" s="277"/>
      <c r="K471" s="38">
        <v>13857360</v>
      </c>
      <c r="L471" s="39" t="s">
        <v>8</v>
      </c>
      <c r="M471" s="39" t="s">
        <v>24</v>
      </c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>x</v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>x</v>
      </c>
    </row>
    <row r="472" spans="1:29" s="226" customFormat="1" ht="15.75" customHeight="1">
      <c r="A472" s="219" t="str">
        <f>IF(B472&lt;&gt;"",IF(AND(B472&gt;=_TM1,B472&lt;=_TM2,OR(TH!L472="1111",TH!M472="1111")),TH!D472,""),"")</f>
        <v/>
      </c>
      <c r="B472" s="36">
        <f t="shared" si="11"/>
        <v>6</v>
      </c>
      <c r="C472" s="37">
        <v>41068</v>
      </c>
      <c r="D472" s="37" t="s">
        <v>451</v>
      </c>
      <c r="E472" s="37">
        <v>41068</v>
      </c>
      <c r="F472" s="40" t="s">
        <v>453</v>
      </c>
      <c r="G472" s="40" t="s">
        <v>447</v>
      </c>
      <c r="H472" s="45"/>
      <c r="I472" s="277"/>
      <c r="J472" s="277"/>
      <c r="K472" s="38">
        <v>20000</v>
      </c>
      <c r="L472" s="39" t="s">
        <v>87</v>
      </c>
      <c r="M472" s="39" t="s">
        <v>24</v>
      </c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>x</v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>x</v>
      </c>
    </row>
    <row r="473" spans="1:29" s="226" customFormat="1" ht="15.75" customHeight="1">
      <c r="A473" s="219" t="str">
        <f>IF(B473&lt;&gt;"",IF(AND(B473&gt;=_TM1,B473&lt;=_TM2,OR(TH!L473="1111",TH!M473="1111")),TH!D473,""),"")</f>
        <v/>
      </c>
      <c r="B473" s="36">
        <f t="shared" si="11"/>
        <v>6</v>
      </c>
      <c r="C473" s="37">
        <v>41068</v>
      </c>
      <c r="D473" s="195" t="s">
        <v>1190</v>
      </c>
      <c r="E473" s="37">
        <v>41068</v>
      </c>
      <c r="F473" s="40" t="s">
        <v>976</v>
      </c>
      <c r="G473" s="40" t="s">
        <v>977</v>
      </c>
      <c r="H473" s="7" t="s">
        <v>564</v>
      </c>
      <c r="I473" s="277">
        <v>103</v>
      </c>
      <c r="J473" s="277">
        <v>23725</v>
      </c>
      <c r="K473" s="38">
        <v>2443675</v>
      </c>
      <c r="L473" s="39" t="s">
        <v>191</v>
      </c>
      <c r="M473" s="750" t="s">
        <v>8</v>
      </c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>x</v>
      </c>
      <c r="AC473" s="226" t="str">
        <f>IF(ISNA(VLOOKUP(F473,NXT!$C$18:$C$347,1,0)),x,"")</f>
        <v/>
      </c>
    </row>
    <row r="474" spans="1:29" s="226" customFormat="1" ht="15.75" customHeight="1">
      <c r="A474" s="219" t="str">
        <f>IF(B474&lt;&gt;"",IF(AND(B474&gt;=_TM1,B474&lt;=_TM2,OR(TH!L474="1111",TH!M474="1111")),TH!D474,""),"")</f>
        <v/>
      </c>
      <c r="B474" s="36">
        <f t="shared" si="11"/>
        <v>6</v>
      </c>
      <c r="C474" s="37">
        <v>41068</v>
      </c>
      <c r="D474" s="195" t="s">
        <v>1190</v>
      </c>
      <c r="E474" s="37">
        <v>41068</v>
      </c>
      <c r="F474" s="40" t="s">
        <v>978</v>
      </c>
      <c r="G474" s="40" t="s">
        <v>977</v>
      </c>
      <c r="H474" s="7" t="s">
        <v>564</v>
      </c>
      <c r="I474" s="277">
        <v>100</v>
      </c>
      <c r="J474" s="277">
        <v>29734</v>
      </c>
      <c r="K474" s="38">
        <v>2973400</v>
      </c>
      <c r="L474" s="39" t="s">
        <v>191</v>
      </c>
      <c r="M474" s="750" t="s">
        <v>8</v>
      </c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>x</v>
      </c>
      <c r="AC474" s="226" t="str">
        <f>IF(ISNA(VLOOKUP(F474,NXT!$C$18:$C$347,1,0)),x,"")</f>
        <v/>
      </c>
    </row>
    <row r="475" spans="1:29" s="226" customFormat="1" ht="15.75" customHeight="1">
      <c r="A475" s="219" t="str">
        <f>IF(B475&lt;&gt;"",IF(AND(B475&gt;=_TM1,B475&lt;=_TM2,OR(TH!L475="1111",TH!M475="1111")),TH!D475,""),"")</f>
        <v/>
      </c>
      <c r="B475" s="36">
        <f t="shared" si="11"/>
        <v>6</v>
      </c>
      <c r="C475" s="37">
        <v>41068</v>
      </c>
      <c r="D475" s="195" t="s">
        <v>1190</v>
      </c>
      <c r="E475" s="37">
        <v>41068</v>
      </c>
      <c r="F475" s="40" t="s">
        <v>979</v>
      </c>
      <c r="G475" s="40" t="s">
        <v>977</v>
      </c>
      <c r="H475" s="7" t="s">
        <v>564</v>
      </c>
      <c r="I475" s="277">
        <v>120</v>
      </c>
      <c r="J475" s="277">
        <v>26664</v>
      </c>
      <c r="K475" s="38">
        <v>3199680</v>
      </c>
      <c r="L475" s="39" t="s">
        <v>191</v>
      </c>
      <c r="M475" s="750" t="s">
        <v>8</v>
      </c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>x</v>
      </c>
      <c r="AC475" s="226" t="str">
        <f>IF(ISNA(VLOOKUP(F475,NXT!$C$18:$C$347,1,0)),x,"")</f>
        <v/>
      </c>
    </row>
    <row r="476" spans="1:29" s="226" customFormat="1" ht="15.75" customHeight="1">
      <c r="A476" s="219" t="str">
        <f>IF(B476&lt;&gt;"",IF(AND(B476&gt;=_TM1,B476&lt;=_TM2,OR(TH!L476="1111",TH!M476="1111")),TH!D476,""),"")</f>
        <v/>
      </c>
      <c r="B476" s="36">
        <f t="shared" si="11"/>
        <v>6</v>
      </c>
      <c r="C476" s="37">
        <v>41068</v>
      </c>
      <c r="D476" s="195" t="s">
        <v>1190</v>
      </c>
      <c r="E476" s="37">
        <v>41068</v>
      </c>
      <c r="F476" s="40" t="s">
        <v>980</v>
      </c>
      <c r="G476" s="40" t="s">
        <v>977</v>
      </c>
      <c r="H476" s="7" t="s">
        <v>564</v>
      </c>
      <c r="I476" s="277">
        <v>170</v>
      </c>
      <c r="J476" s="277">
        <v>30997</v>
      </c>
      <c r="K476" s="38">
        <v>5269490</v>
      </c>
      <c r="L476" s="39" t="s">
        <v>191</v>
      </c>
      <c r="M476" s="750" t="s">
        <v>8</v>
      </c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>x</v>
      </c>
      <c r="AC476" s="226" t="str">
        <f>IF(ISNA(VLOOKUP(F476,NXT!$C$18:$C$347,1,0)),x,"")</f>
        <v/>
      </c>
    </row>
    <row r="477" spans="1:29" s="226" customFormat="1" ht="15.75" customHeight="1">
      <c r="A477" s="219" t="str">
        <f>IF(B477&lt;&gt;"",IF(AND(B477&gt;=_TM1,B477&lt;=_TM2,OR(TH!L477="1111",TH!M477="1111")),TH!D477,""),"")</f>
        <v/>
      </c>
      <c r="B477" s="36">
        <f t="shared" si="11"/>
        <v>6</v>
      </c>
      <c r="C477" s="37">
        <v>41068</v>
      </c>
      <c r="D477" s="195" t="s">
        <v>1190</v>
      </c>
      <c r="E477" s="37">
        <v>41068</v>
      </c>
      <c r="F477" s="40" t="s">
        <v>981</v>
      </c>
      <c r="G477" s="40" t="s">
        <v>977</v>
      </c>
      <c r="H477" s="7" t="s">
        <v>564</v>
      </c>
      <c r="I477" s="277">
        <v>50</v>
      </c>
      <c r="J477" s="277">
        <v>38106</v>
      </c>
      <c r="K477" s="38">
        <v>1905300</v>
      </c>
      <c r="L477" s="39" t="s">
        <v>191</v>
      </c>
      <c r="M477" s="750" t="s">
        <v>8</v>
      </c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>x</v>
      </c>
      <c r="AC477" s="226" t="str">
        <f>IF(ISNA(VLOOKUP(F477,NXT!$C$18:$C$347,1,0)),x,"")</f>
        <v/>
      </c>
    </row>
    <row r="478" spans="1:29" s="226" customFormat="1" ht="15.75" customHeight="1">
      <c r="A478" s="219" t="str">
        <f>IF(B478&lt;&gt;"",IF(AND(B478&gt;=_TM1,B478&lt;=_TM2,OR(TH!L478="1111",TH!M478="1111")),TH!D478,""),"")</f>
        <v/>
      </c>
      <c r="B478" s="36">
        <f t="shared" si="11"/>
        <v>6</v>
      </c>
      <c r="C478" s="37">
        <v>41068</v>
      </c>
      <c r="D478" s="195" t="s">
        <v>1190</v>
      </c>
      <c r="E478" s="37">
        <v>41068</v>
      </c>
      <c r="F478" s="40" t="s">
        <v>650</v>
      </c>
      <c r="G478" s="40" t="s">
        <v>977</v>
      </c>
      <c r="H478" s="7" t="s">
        <v>564</v>
      </c>
      <c r="I478" s="277"/>
      <c r="J478" s="277"/>
      <c r="K478" s="38">
        <v>1579155</v>
      </c>
      <c r="L478" s="39" t="s">
        <v>9</v>
      </c>
      <c r="M478" s="750" t="s">
        <v>8</v>
      </c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>x</v>
      </c>
    </row>
    <row r="479" spans="1:29" s="226" customFormat="1" ht="15.75" customHeight="1">
      <c r="A479" s="219" t="str">
        <f>IF(B479&lt;&gt;"",IF(AND(B479&gt;=_TM1,B479&lt;=_TM2,OR(TH!L479="1111",TH!M479="1111")),TH!D479,""),"")</f>
        <v/>
      </c>
      <c r="B479" s="36">
        <f t="shared" si="11"/>
        <v>6</v>
      </c>
      <c r="C479" s="37">
        <v>41068</v>
      </c>
      <c r="D479" s="195" t="s">
        <v>1191</v>
      </c>
      <c r="E479" s="37">
        <v>41068</v>
      </c>
      <c r="F479" s="40" t="s">
        <v>982</v>
      </c>
      <c r="G479" s="40" t="s">
        <v>983</v>
      </c>
      <c r="H479" s="7" t="s">
        <v>564</v>
      </c>
      <c r="I479" s="277">
        <v>550</v>
      </c>
      <c r="J479" s="277">
        <v>9891</v>
      </c>
      <c r="K479" s="38">
        <v>5440050</v>
      </c>
      <c r="L479" s="39" t="s">
        <v>191</v>
      </c>
      <c r="M479" s="750" t="s">
        <v>8</v>
      </c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>x</v>
      </c>
      <c r="AC479" s="226" t="str">
        <f>IF(ISNA(VLOOKUP(F479,NXT!$C$18:$C$347,1,0)),x,"")</f>
        <v/>
      </c>
    </row>
    <row r="480" spans="1:29" s="226" customFormat="1" ht="15.75" customHeight="1">
      <c r="A480" s="219" t="str">
        <f>IF(B480&lt;&gt;"",IF(AND(B480&gt;=_TM1,B480&lt;=_TM2,OR(TH!L480="1111",TH!M480="1111")),TH!D480,""),"")</f>
        <v/>
      </c>
      <c r="B480" s="36">
        <f t="shared" si="11"/>
        <v>6</v>
      </c>
      <c r="C480" s="37">
        <v>41068</v>
      </c>
      <c r="D480" s="195" t="s">
        <v>1191</v>
      </c>
      <c r="E480" s="37">
        <v>41068</v>
      </c>
      <c r="F480" s="40" t="s">
        <v>821</v>
      </c>
      <c r="G480" s="40" t="s">
        <v>983</v>
      </c>
      <c r="H480" s="7" t="s">
        <v>564</v>
      </c>
      <c r="I480" s="277">
        <v>340</v>
      </c>
      <c r="J480" s="277">
        <v>14573</v>
      </c>
      <c r="K480" s="38">
        <v>4954820</v>
      </c>
      <c r="L480" s="39" t="s">
        <v>191</v>
      </c>
      <c r="M480" s="750" t="s">
        <v>8</v>
      </c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>x</v>
      </c>
      <c r="AC480" s="226" t="str">
        <f>IF(ISNA(VLOOKUP(F480,NXT!$C$18:$C$347,1,0)),x,"")</f>
        <v/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>
        <f t="shared" si="11"/>
        <v>6</v>
      </c>
      <c r="C481" s="37">
        <v>41068</v>
      </c>
      <c r="D481" s="195" t="s">
        <v>1191</v>
      </c>
      <c r="E481" s="37">
        <v>41068</v>
      </c>
      <c r="F481" s="40" t="s">
        <v>984</v>
      </c>
      <c r="G481" s="40" t="s">
        <v>983</v>
      </c>
      <c r="H481" s="7" t="s">
        <v>564</v>
      </c>
      <c r="I481" s="277">
        <v>40</v>
      </c>
      <c r="J481" s="277">
        <v>28207</v>
      </c>
      <c r="K481" s="38">
        <v>1128280</v>
      </c>
      <c r="L481" s="39" t="s">
        <v>191</v>
      </c>
      <c r="M481" s="750" t="s">
        <v>8</v>
      </c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>x</v>
      </c>
      <c r="AC481" s="226" t="str">
        <f>IF(ISNA(VLOOKUP(F481,NXT!$C$18:$C$347,1,0)),x,"")</f>
        <v/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>
        <f t="shared" si="11"/>
        <v>6</v>
      </c>
      <c r="C482" s="37">
        <v>41068</v>
      </c>
      <c r="D482" s="195" t="s">
        <v>1191</v>
      </c>
      <c r="E482" s="37">
        <v>41068</v>
      </c>
      <c r="F482" s="40" t="s">
        <v>985</v>
      </c>
      <c r="G482" s="40" t="s">
        <v>983</v>
      </c>
      <c r="H482" s="7" t="s">
        <v>564</v>
      </c>
      <c r="I482" s="277">
        <v>840</v>
      </c>
      <c r="J482" s="277">
        <v>27405</v>
      </c>
      <c r="K482" s="38">
        <v>23020200</v>
      </c>
      <c r="L482" s="39" t="s">
        <v>191</v>
      </c>
      <c r="M482" s="750" t="s">
        <v>8</v>
      </c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>x</v>
      </c>
      <c r="AC482" s="226" t="str">
        <f>IF(ISNA(VLOOKUP(F482,NXT!$C$18:$C$347,1,0)),x,"")</f>
        <v/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>
        <f t="shared" si="11"/>
        <v>6</v>
      </c>
      <c r="C483" s="37">
        <v>41068</v>
      </c>
      <c r="D483" s="195" t="s">
        <v>1191</v>
      </c>
      <c r="E483" s="37">
        <v>41068</v>
      </c>
      <c r="F483" s="40" t="s">
        <v>650</v>
      </c>
      <c r="G483" s="40" t="s">
        <v>983</v>
      </c>
      <c r="H483" s="7" t="s">
        <v>564</v>
      </c>
      <c r="I483" s="278"/>
      <c r="J483" s="278"/>
      <c r="K483" s="38">
        <v>3454335</v>
      </c>
      <c r="L483" s="39" t="s">
        <v>9</v>
      </c>
      <c r="M483" s="750" t="s">
        <v>8</v>
      </c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>x</v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>
        <f t="shared" si="11"/>
        <v>6</v>
      </c>
      <c r="C484" s="37">
        <v>41071</v>
      </c>
      <c r="D484" s="37" t="s">
        <v>567</v>
      </c>
      <c r="E484" s="205">
        <v>41071</v>
      </c>
      <c r="F484" s="206" t="s">
        <v>986</v>
      </c>
      <c r="G484" s="628" t="s">
        <v>987</v>
      </c>
      <c r="H484" s="207" t="s">
        <v>533</v>
      </c>
      <c r="I484" s="277"/>
      <c r="J484" s="277"/>
      <c r="K484" s="38">
        <v>1600000</v>
      </c>
      <c r="L484" s="208" t="s">
        <v>199</v>
      </c>
      <c r="M484" s="39" t="s">
        <v>49</v>
      </c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>x</v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>x</v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>
        <f t="shared" si="11"/>
        <v>6</v>
      </c>
      <c r="C485" s="37">
        <v>41071</v>
      </c>
      <c r="D485" s="37" t="s">
        <v>567</v>
      </c>
      <c r="E485" s="205">
        <v>41071</v>
      </c>
      <c r="F485" s="206" t="s">
        <v>459</v>
      </c>
      <c r="G485" s="628" t="s">
        <v>987</v>
      </c>
      <c r="H485" s="207" t="s">
        <v>533</v>
      </c>
      <c r="I485" s="277"/>
      <c r="J485" s="277"/>
      <c r="K485" s="38">
        <v>160000</v>
      </c>
      <c r="L485" s="208" t="s">
        <v>9</v>
      </c>
      <c r="M485" s="39" t="s">
        <v>49</v>
      </c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>x</v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>x</v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>
        <f t="shared" si="11"/>
        <v>6</v>
      </c>
      <c r="C486" s="37">
        <v>41071</v>
      </c>
      <c r="D486" s="195" t="s">
        <v>1192</v>
      </c>
      <c r="E486" s="205">
        <v>41071</v>
      </c>
      <c r="F486" s="40" t="s">
        <v>988</v>
      </c>
      <c r="G486" s="627" t="s">
        <v>989</v>
      </c>
      <c r="H486" s="7" t="s">
        <v>564</v>
      </c>
      <c r="I486" s="277">
        <v>630</v>
      </c>
      <c r="J486" s="277">
        <v>13042</v>
      </c>
      <c r="K486" s="38">
        <v>8216460</v>
      </c>
      <c r="L486" s="39" t="s">
        <v>191</v>
      </c>
      <c r="M486" s="750" t="s">
        <v>8</v>
      </c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>x</v>
      </c>
      <c r="AC486" s="226" t="str">
        <f>IF(ISNA(VLOOKUP(F486,NXT!$C$18:$C$347,1,0)),x,"")</f>
        <v/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>
        <f t="shared" si="11"/>
        <v>6</v>
      </c>
      <c r="C487" s="37">
        <v>41071</v>
      </c>
      <c r="D487" s="195" t="s">
        <v>1192</v>
      </c>
      <c r="E487" s="205">
        <v>41071</v>
      </c>
      <c r="F487" s="40" t="s">
        <v>827</v>
      </c>
      <c r="G487" s="627" t="s">
        <v>989</v>
      </c>
      <c r="H487" s="7" t="s">
        <v>564</v>
      </c>
      <c r="I487" s="277">
        <v>625</v>
      </c>
      <c r="J487" s="277">
        <v>19819</v>
      </c>
      <c r="K487" s="38">
        <v>12386875</v>
      </c>
      <c r="L487" s="39" t="s">
        <v>191</v>
      </c>
      <c r="M487" s="750" t="s">
        <v>8</v>
      </c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>x</v>
      </c>
      <c r="AC487" s="226" t="str">
        <f>IF(ISNA(VLOOKUP(F487,NXT!$C$18:$C$347,1,0)),x,"")</f>
        <v/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>
        <f t="shared" si="11"/>
        <v>6</v>
      </c>
      <c r="C488" s="37">
        <v>41071</v>
      </c>
      <c r="D488" s="195" t="s">
        <v>1192</v>
      </c>
      <c r="E488" s="205">
        <v>41071</v>
      </c>
      <c r="F488" s="40" t="s">
        <v>830</v>
      </c>
      <c r="G488" s="40" t="s">
        <v>989</v>
      </c>
      <c r="H488" s="7" t="s">
        <v>564</v>
      </c>
      <c r="I488" s="277">
        <v>315</v>
      </c>
      <c r="J488" s="277">
        <v>19041</v>
      </c>
      <c r="K488" s="38">
        <v>5997915</v>
      </c>
      <c r="L488" s="39" t="s">
        <v>191</v>
      </c>
      <c r="M488" s="750" t="s">
        <v>8</v>
      </c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>x</v>
      </c>
      <c r="AC488" s="226" t="str">
        <f>IF(ISNA(VLOOKUP(F488,NXT!$C$18:$C$347,1,0)),x,"")</f>
        <v/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>
        <f t="shared" si="11"/>
        <v>6</v>
      </c>
      <c r="C489" s="37">
        <v>41071</v>
      </c>
      <c r="D489" s="195" t="s">
        <v>1192</v>
      </c>
      <c r="E489" s="205">
        <v>41071</v>
      </c>
      <c r="F489" s="40" t="s">
        <v>990</v>
      </c>
      <c r="G489" s="40" t="s">
        <v>989</v>
      </c>
      <c r="H489" s="7" t="s">
        <v>564</v>
      </c>
      <c r="I489" s="277">
        <v>268</v>
      </c>
      <c r="J489" s="277">
        <v>21210</v>
      </c>
      <c r="K489" s="38">
        <v>5684280</v>
      </c>
      <c r="L489" s="39" t="s">
        <v>191</v>
      </c>
      <c r="M489" s="750" t="s">
        <v>8</v>
      </c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>x</v>
      </c>
      <c r="AC489" s="226" t="str">
        <f>IF(ISNA(VLOOKUP(F489,NXT!$C$18:$C$347,1,0)),x,"")</f>
        <v/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>
        <f t="shared" si="11"/>
        <v>6</v>
      </c>
      <c r="C490" s="37">
        <v>41071</v>
      </c>
      <c r="D490" s="195" t="s">
        <v>1192</v>
      </c>
      <c r="E490" s="205">
        <v>41071</v>
      </c>
      <c r="F490" s="40" t="s">
        <v>650</v>
      </c>
      <c r="G490" s="627" t="s">
        <v>989</v>
      </c>
      <c r="H490" s="7" t="s">
        <v>564</v>
      </c>
      <c r="I490" s="277"/>
      <c r="J490" s="277"/>
      <c r="K490" s="38">
        <v>3228553</v>
      </c>
      <c r="L490" s="39" t="s">
        <v>9</v>
      </c>
      <c r="M490" s="750" t="s">
        <v>8</v>
      </c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>x</v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>
        <f t="shared" si="11"/>
        <v>6</v>
      </c>
      <c r="C491" s="37">
        <v>41071</v>
      </c>
      <c r="D491" s="195" t="s">
        <v>1193</v>
      </c>
      <c r="E491" s="205">
        <v>41071</v>
      </c>
      <c r="F491" s="40" t="s">
        <v>897</v>
      </c>
      <c r="G491" s="627" t="s">
        <v>991</v>
      </c>
      <c r="H491" s="7" t="s">
        <v>564</v>
      </c>
      <c r="I491" s="277">
        <v>140</v>
      </c>
      <c r="J491" s="277">
        <v>12985</v>
      </c>
      <c r="K491" s="38">
        <v>1817900</v>
      </c>
      <c r="L491" s="39" t="s">
        <v>191</v>
      </c>
      <c r="M491" s="750" t="s">
        <v>8</v>
      </c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>x</v>
      </c>
      <c r="AC491" s="226" t="str">
        <f>IF(ISNA(VLOOKUP(F491,NXT!$C$18:$C$347,1,0)),x,"")</f>
        <v/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>
        <f t="shared" si="11"/>
        <v>6</v>
      </c>
      <c r="C492" s="37">
        <v>41071</v>
      </c>
      <c r="D492" s="195" t="s">
        <v>1193</v>
      </c>
      <c r="E492" s="205">
        <v>41071</v>
      </c>
      <c r="F492" s="40" t="s">
        <v>992</v>
      </c>
      <c r="G492" s="627" t="s">
        <v>991</v>
      </c>
      <c r="H492" s="7" t="s">
        <v>564</v>
      </c>
      <c r="I492" s="277">
        <v>105</v>
      </c>
      <c r="J492" s="277">
        <v>17259</v>
      </c>
      <c r="K492" s="38">
        <v>1812195</v>
      </c>
      <c r="L492" s="39" t="s">
        <v>191</v>
      </c>
      <c r="M492" s="750" t="s">
        <v>8</v>
      </c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>x</v>
      </c>
      <c r="AC492" s="226" t="str">
        <f>IF(ISNA(VLOOKUP(F492,NXT!$C$18:$C$347,1,0)),x,"")</f>
        <v/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>
        <f t="shared" si="11"/>
        <v>6</v>
      </c>
      <c r="C493" s="37">
        <v>41071</v>
      </c>
      <c r="D493" s="195" t="s">
        <v>1193</v>
      </c>
      <c r="E493" s="205">
        <v>41071</v>
      </c>
      <c r="F493" s="40" t="s">
        <v>993</v>
      </c>
      <c r="G493" s="627" t="s">
        <v>991</v>
      </c>
      <c r="H493" s="7" t="s">
        <v>564</v>
      </c>
      <c r="I493" s="277">
        <v>440</v>
      </c>
      <c r="J493" s="277">
        <v>23370</v>
      </c>
      <c r="K493" s="38">
        <v>10282800</v>
      </c>
      <c r="L493" s="39" t="s">
        <v>191</v>
      </c>
      <c r="M493" s="750" t="s">
        <v>8</v>
      </c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>x</v>
      </c>
      <c r="AC493" s="226" t="str">
        <f>IF(ISNA(VLOOKUP(F493,NXT!$C$18:$C$347,1,0)),x,"")</f>
        <v/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>
        <f t="shared" si="11"/>
        <v>6</v>
      </c>
      <c r="C494" s="37">
        <v>41071</v>
      </c>
      <c r="D494" s="195" t="s">
        <v>1193</v>
      </c>
      <c r="E494" s="205">
        <v>41071</v>
      </c>
      <c r="F494" s="40" t="s">
        <v>820</v>
      </c>
      <c r="G494" s="627" t="s">
        <v>991</v>
      </c>
      <c r="H494" s="7" t="s">
        <v>564</v>
      </c>
      <c r="I494" s="277">
        <v>205</v>
      </c>
      <c r="J494" s="277">
        <v>13099</v>
      </c>
      <c r="K494" s="38">
        <v>2685295</v>
      </c>
      <c r="L494" s="39" t="s">
        <v>191</v>
      </c>
      <c r="M494" s="750" t="s">
        <v>8</v>
      </c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>x</v>
      </c>
      <c r="AC494" s="226" t="str">
        <f>IF(ISNA(VLOOKUP(F494,NXT!$C$18:$C$347,1,0)),x,"")</f>
        <v/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>
        <f t="shared" si="11"/>
        <v>6</v>
      </c>
      <c r="C495" s="37">
        <v>41071</v>
      </c>
      <c r="D495" s="195" t="s">
        <v>1193</v>
      </c>
      <c r="E495" s="205">
        <v>41071</v>
      </c>
      <c r="F495" s="40" t="s">
        <v>830</v>
      </c>
      <c r="G495" s="627" t="s">
        <v>991</v>
      </c>
      <c r="H495" s="7" t="s">
        <v>564</v>
      </c>
      <c r="I495" s="277">
        <v>380</v>
      </c>
      <c r="J495" s="277">
        <v>19041</v>
      </c>
      <c r="K495" s="38">
        <v>7235580</v>
      </c>
      <c r="L495" s="39" t="s">
        <v>191</v>
      </c>
      <c r="M495" s="750" t="s">
        <v>8</v>
      </c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>x</v>
      </c>
      <c r="AC495" s="226" t="str">
        <f>IF(ISNA(VLOOKUP(F495,NXT!$C$18:$C$347,1,0)),x,"")</f>
        <v/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>
        <f t="shared" si="11"/>
        <v>6</v>
      </c>
      <c r="C496" s="37">
        <v>41071</v>
      </c>
      <c r="D496" s="195" t="s">
        <v>1193</v>
      </c>
      <c r="E496" s="205">
        <v>41071</v>
      </c>
      <c r="F496" s="206" t="s">
        <v>994</v>
      </c>
      <c r="G496" s="206" t="s">
        <v>991</v>
      </c>
      <c r="H496" s="7" t="s">
        <v>564</v>
      </c>
      <c r="I496" s="277">
        <v>282</v>
      </c>
      <c r="J496" s="277">
        <v>21210</v>
      </c>
      <c r="K496" s="38">
        <v>5981220</v>
      </c>
      <c r="L496" s="208" t="s">
        <v>191</v>
      </c>
      <c r="M496" s="750" t="s">
        <v>8</v>
      </c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>x</v>
      </c>
      <c r="AC496" s="226" t="str">
        <f>IF(ISNA(VLOOKUP(F496,NXT!$C$18:$C$347,1,0)),x,"")</f>
        <v/>
      </c>
    </row>
    <row r="497" spans="1:29" s="226" customFormat="1" ht="15.75" customHeight="1">
      <c r="A497" s="219" t="str">
        <f>IF(B497&lt;&gt;"",IF(AND(B497&gt;=_TM1,B497&lt;=_TM2,OR(TH!L497="1111",TH!M497="1111")),TH!D497,""),"")</f>
        <v/>
      </c>
      <c r="B497" s="36">
        <f t="shared" si="11"/>
        <v>6</v>
      </c>
      <c r="C497" s="37">
        <v>41071</v>
      </c>
      <c r="D497" s="195" t="s">
        <v>1193</v>
      </c>
      <c r="E497" s="205">
        <v>41071</v>
      </c>
      <c r="F497" s="206" t="s">
        <v>650</v>
      </c>
      <c r="G497" s="628" t="s">
        <v>991</v>
      </c>
      <c r="H497" s="7" t="s">
        <v>564</v>
      </c>
      <c r="I497" s="277"/>
      <c r="J497" s="277"/>
      <c r="K497" s="38">
        <v>2981499</v>
      </c>
      <c r="L497" s="208" t="s">
        <v>9</v>
      </c>
      <c r="M497" s="750" t="s">
        <v>8</v>
      </c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>x</v>
      </c>
    </row>
    <row r="498" spans="1:29" s="226" customFormat="1" ht="15.75" customHeight="1">
      <c r="A498" s="219" t="str">
        <f>IF(B498&lt;&gt;"",IF(AND(B498&gt;=_TM1,B498&lt;=_TM2,OR(TH!L498="1111",TH!M498="1111")),TH!D498,""),"")</f>
        <v/>
      </c>
      <c r="B498" s="36">
        <f t="shared" ref="B498:B500" si="12">IF(C498&lt;&gt;"",MONTH(C498),"")</f>
        <v>6</v>
      </c>
      <c r="C498" s="37">
        <v>41073</v>
      </c>
      <c r="D498" s="205" t="s">
        <v>451</v>
      </c>
      <c r="E498" s="205">
        <v>41073</v>
      </c>
      <c r="F498" s="206" t="s">
        <v>532</v>
      </c>
      <c r="G498" s="628" t="s">
        <v>447</v>
      </c>
      <c r="H498" s="207"/>
      <c r="I498" s="277"/>
      <c r="J498" s="277"/>
      <c r="K498" s="38">
        <v>70000000</v>
      </c>
      <c r="L498" s="208" t="s">
        <v>8</v>
      </c>
      <c r="M498" s="39" t="s">
        <v>24</v>
      </c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>x</v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>x</v>
      </c>
    </row>
    <row r="499" spans="1:29" s="226" customFormat="1" ht="15.75" customHeight="1">
      <c r="A499" s="219" t="str">
        <f>IF(B499&lt;&gt;"",IF(AND(B499&gt;=_TM1,B499&lt;=_TM2,OR(TH!L499="1111",TH!M499="1111")),TH!D499,""),"")</f>
        <v/>
      </c>
      <c r="B499" s="36">
        <f t="shared" si="12"/>
        <v>6</v>
      </c>
      <c r="C499" s="37">
        <v>41073</v>
      </c>
      <c r="D499" s="205" t="s">
        <v>451</v>
      </c>
      <c r="E499" s="205">
        <v>41073</v>
      </c>
      <c r="F499" s="206" t="s">
        <v>453</v>
      </c>
      <c r="G499" s="628" t="s">
        <v>447</v>
      </c>
      <c r="H499" s="207"/>
      <c r="I499" s="277"/>
      <c r="J499" s="277"/>
      <c r="K499" s="38">
        <v>35000</v>
      </c>
      <c r="L499" s="208" t="s">
        <v>87</v>
      </c>
      <c r="M499" s="39" t="s">
        <v>24</v>
      </c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>x</v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>x</v>
      </c>
    </row>
    <row r="500" spans="1:29" s="226" customFormat="1" ht="15.75" customHeight="1">
      <c r="A500" s="219" t="str">
        <f>IF(B500&lt;&gt;"",IF(AND(B500&gt;=_TM1,B500&lt;=_TM2,OR(TH!L500="1111",TH!M500="1111")),TH!D500,""),"")</f>
        <v/>
      </c>
      <c r="B500" s="36">
        <f t="shared" si="12"/>
        <v>6</v>
      </c>
      <c r="C500" s="37">
        <v>41073</v>
      </c>
      <c r="D500" s="205" t="s">
        <v>568</v>
      </c>
      <c r="E500" s="205">
        <v>41073</v>
      </c>
      <c r="F500" s="206" t="s">
        <v>995</v>
      </c>
      <c r="G500" s="628" t="s">
        <v>996</v>
      </c>
      <c r="H500" s="207" t="s">
        <v>533</v>
      </c>
      <c r="I500" s="277"/>
      <c r="J500" s="277"/>
      <c r="K500" s="38">
        <v>1560000</v>
      </c>
      <c r="L500" s="208" t="s">
        <v>199</v>
      </c>
      <c r="M500" s="39" t="s">
        <v>49</v>
      </c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>x</v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>x</v>
      </c>
    </row>
    <row r="501" spans="1:29" s="226" customFormat="1" ht="15.75" customHeight="1">
      <c r="A501" s="219" t="str">
        <f>IF(B501&lt;&gt;"",IF(AND(B501&gt;=_TM1,B501&lt;=_TM2,OR(TH!L501="1111",TH!M501="1111")),TH!D501,""),"")</f>
        <v/>
      </c>
      <c r="B501" s="36">
        <f t="shared" ref="B501:B532" si="13">IF(C501&lt;&gt;"",MONTH(C501),"")</f>
        <v>6</v>
      </c>
      <c r="C501" s="37">
        <v>41073</v>
      </c>
      <c r="D501" s="205" t="s">
        <v>568</v>
      </c>
      <c r="E501" s="37">
        <v>41073</v>
      </c>
      <c r="F501" s="40" t="s">
        <v>459</v>
      </c>
      <c r="G501" s="40" t="s">
        <v>996</v>
      </c>
      <c r="H501" s="225" t="s">
        <v>533</v>
      </c>
      <c r="I501" s="277"/>
      <c r="J501" s="277"/>
      <c r="K501" s="38">
        <v>156000</v>
      </c>
      <c r="L501" s="39" t="s">
        <v>9</v>
      </c>
      <c r="M501" s="39" t="s">
        <v>49</v>
      </c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>x</v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>x</v>
      </c>
    </row>
    <row r="502" spans="1:29" s="226" customFormat="1" ht="15.75" customHeight="1">
      <c r="A502" s="219" t="str">
        <f>IF(B502&lt;&gt;"",IF(AND(B502&gt;=_TM1,B502&lt;=_TM2,OR(TH!L502="1111",TH!M502="1111")),TH!D502,""),"")</f>
        <v/>
      </c>
      <c r="B502" s="36">
        <f t="shared" si="13"/>
        <v>6</v>
      </c>
      <c r="C502" s="37">
        <v>41073</v>
      </c>
      <c r="D502" s="195" t="s">
        <v>1194</v>
      </c>
      <c r="E502" s="37">
        <v>41073</v>
      </c>
      <c r="F502" s="40" t="s">
        <v>997</v>
      </c>
      <c r="G502" s="40" t="s">
        <v>998</v>
      </c>
      <c r="H502" s="7" t="s">
        <v>564</v>
      </c>
      <c r="I502" s="277">
        <v>100</v>
      </c>
      <c r="J502" s="277">
        <v>16140</v>
      </c>
      <c r="K502" s="38">
        <v>1614000</v>
      </c>
      <c r="L502" s="39" t="s">
        <v>191</v>
      </c>
      <c r="M502" s="750" t="s">
        <v>8</v>
      </c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>x</v>
      </c>
      <c r="AC502" s="226" t="str">
        <f>IF(ISNA(VLOOKUP(F502,NXT!$C$18:$C$347,1,0)),x,"")</f>
        <v/>
      </c>
    </row>
    <row r="503" spans="1:29" s="226" customFormat="1" ht="15.75" customHeight="1">
      <c r="A503" s="219" t="str">
        <f>IF(B503&lt;&gt;"",IF(AND(B503&gt;=_TM1,B503&lt;=_TM2,OR(TH!L503="1111",TH!M503="1111")),TH!D503,""),"")</f>
        <v/>
      </c>
      <c r="B503" s="36">
        <f t="shared" si="13"/>
        <v>6</v>
      </c>
      <c r="C503" s="37">
        <v>41073</v>
      </c>
      <c r="D503" s="195" t="s">
        <v>1194</v>
      </c>
      <c r="E503" s="37">
        <v>41073</v>
      </c>
      <c r="F503" s="40" t="s">
        <v>999</v>
      </c>
      <c r="G503" s="40" t="s">
        <v>998</v>
      </c>
      <c r="H503" s="7" t="s">
        <v>564</v>
      </c>
      <c r="I503" s="277">
        <v>250</v>
      </c>
      <c r="J503" s="277">
        <v>19843</v>
      </c>
      <c r="K503" s="38">
        <v>4960750</v>
      </c>
      <c r="L503" s="39" t="s">
        <v>191</v>
      </c>
      <c r="M503" s="750" t="s">
        <v>8</v>
      </c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>x</v>
      </c>
      <c r="AC503" s="226" t="str">
        <f>IF(ISNA(VLOOKUP(F503,NXT!$C$18:$C$347,1,0)),x,"")</f>
        <v/>
      </c>
    </row>
    <row r="504" spans="1:29" s="226" customFormat="1" ht="15.75" customHeight="1">
      <c r="A504" s="219" t="str">
        <f>IF(B504&lt;&gt;"",IF(AND(B504&gt;=_TM1,B504&lt;=_TM2,OR(TH!L504="1111",TH!M504="1111")),TH!D504,""),"")</f>
        <v/>
      </c>
      <c r="B504" s="36">
        <f t="shared" si="13"/>
        <v>6</v>
      </c>
      <c r="C504" s="37">
        <v>41073</v>
      </c>
      <c r="D504" s="195" t="s">
        <v>1194</v>
      </c>
      <c r="E504" s="205">
        <v>41073</v>
      </c>
      <c r="F504" s="206" t="s">
        <v>650</v>
      </c>
      <c r="G504" s="628" t="s">
        <v>998</v>
      </c>
      <c r="H504" s="7" t="s">
        <v>564</v>
      </c>
      <c r="I504" s="277"/>
      <c r="J504" s="277"/>
      <c r="K504" s="38">
        <v>657475</v>
      </c>
      <c r="L504" s="208" t="s">
        <v>9</v>
      </c>
      <c r="M504" s="750" t="s">
        <v>8</v>
      </c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>x</v>
      </c>
    </row>
    <row r="505" spans="1:29" s="226" customFormat="1" ht="15.75" customHeight="1">
      <c r="A505" s="219" t="str">
        <f>IF(B505&lt;&gt;"",IF(AND(B505&gt;=_TM1,B505&lt;=_TM2,OR(TH!L505="1111",TH!M505="1111")),TH!D505,""),"")</f>
        <v/>
      </c>
      <c r="B505" s="36">
        <f t="shared" si="13"/>
        <v>6</v>
      </c>
      <c r="C505" s="37">
        <v>41075</v>
      </c>
      <c r="D505" s="205" t="s">
        <v>450</v>
      </c>
      <c r="E505" s="205">
        <v>41075</v>
      </c>
      <c r="F505" s="40" t="s">
        <v>452</v>
      </c>
      <c r="G505" s="628" t="s">
        <v>447</v>
      </c>
      <c r="H505" s="45"/>
      <c r="I505" s="277"/>
      <c r="J505" s="277"/>
      <c r="K505" s="38">
        <v>20000000</v>
      </c>
      <c r="L505" s="208" t="s">
        <v>24</v>
      </c>
      <c r="M505" s="39" t="s">
        <v>352</v>
      </c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>x</v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>x</v>
      </c>
    </row>
    <row r="506" spans="1:29" s="226" customFormat="1" ht="15.75" customHeight="1">
      <c r="A506" s="219" t="str">
        <f>IF(B506&lt;&gt;"",IF(AND(B506&gt;=_TM1,B506&lt;=_TM2,OR(TH!L506="1111",TH!M506="1111")),TH!D506,""),"")</f>
        <v/>
      </c>
      <c r="B506" s="36">
        <f t="shared" si="13"/>
        <v>6</v>
      </c>
      <c r="C506" s="37">
        <v>41076</v>
      </c>
      <c r="D506" s="195" t="s">
        <v>1195</v>
      </c>
      <c r="E506" s="205">
        <v>41076</v>
      </c>
      <c r="F506" s="40" t="s">
        <v>870</v>
      </c>
      <c r="G506" s="628" t="s">
        <v>1000</v>
      </c>
      <c r="H506" s="7" t="s">
        <v>564</v>
      </c>
      <c r="I506" s="277">
        <v>500</v>
      </c>
      <c r="J506" s="277">
        <v>18306</v>
      </c>
      <c r="K506" s="38">
        <v>9153000</v>
      </c>
      <c r="L506" s="208" t="s">
        <v>191</v>
      </c>
      <c r="M506" s="750" t="s">
        <v>8</v>
      </c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>x</v>
      </c>
      <c r="AC506" s="226" t="str">
        <f>IF(ISNA(VLOOKUP(F506,NXT!$C$18:$C$347,1,0)),x,"")</f>
        <v/>
      </c>
    </row>
    <row r="507" spans="1:29" s="226" customFormat="1" ht="15.75" customHeight="1">
      <c r="A507" s="219" t="str">
        <f>IF(B507&lt;&gt;"",IF(AND(B507&gt;=_TM1,B507&lt;=_TM2,OR(TH!L507="1111",TH!M507="1111")),TH!D507,""),"")</f>
        <v/>
      </c>
      <c r="B507" s="36">
        <f t="shared" si="13"/>
        <v>6</v>
      </c>
      <c r="C507" s="37">
        <v>41076</v>
      </c>
      <c r="D507" s="195" t="s">
        <v>1195</v>
      </c>
      <c r="E507" s="205">
        <v>41076</v>
      </c>
      <c r="F507" s="40" t="s">
        <v>650</v>
      </c>
      <c r="G507" s="628" t="s">
        <v>1000</v>
      </c>
      <c r="H507" s="7" t="s">
        <v>564</v>
      </c>
      <c r="I507" s="277"/>
      <c r="J507" s="277"/>
      <c r="K507" s="38">
        <v>915300</v>
      </c>
      <c r="L507" s="208" t="s">
        <v>9</v>
      </c>
      <c r="M507" s="750" t="s">
        <v>8</v>
      </c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>x</v>
      </c>
    </row>
    <row r="508" spans="1:29" s="226" customFormat="1" ht="15.75" customHeight="1">
      <c r="A508" s="219" t="str">
        <f>IF(B508&lt;&gt;"",IF(AND(B508&gt;=_TM1,B508&lt;=_TM2,OR(TH!L508="1111",TH!M508="1111")),TH!D508,""),"")</f>
        <v/>
      </c>
      <c r="B508" s="36">
        <f t="shared" si="13"/>
        <v>6</v>
      </c>
      <c r="C508" s="37">
        <v>41078</v>
      </c>
      <c r="D508" s="205" t="s">
        <v>570</v>
      </c>
      <c r="E508" s="205">
        <v>41078</v>
      </c>
      <c r="F508" s="40" t="s">
        <v>528</v>
      </c>
      <c r="G508" s="628" t="s">
        <v>447</v>
      </c>
      <c r="H508" s="45" t="s">
        <v>783</v>
      </c>
      <c r="I508" s="277"/>
      <c r="J508" s="277"/>
      <c r="K508" s="38">
        <v>50000000</v>
      </c>
      <c r="L508" s="208" t="s">
        <v>24</v>
      </c>
      <c r="M508" s="39" t="s">
        <v>49</v>
      </c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>x</v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>x</v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>x</v>
      </c>
    </row>
    <row r="509" spans="1:29" s="226" customFormat="1" ht="15.75" customHeight="1">
      <c r="A509" s="219" t="str">
        <f>IF(B509&lt;&gt;"",IF(AND(B509&gt;=_TM1,B509&lt;=_TM2,OR(TH!L509="1111",TH!M509="1111")),TH!D509,""),"")</f>
        <v/>
      </c>
      <c r="B509" s="36">
        <f t="shared" si="13"/>
        <v>6</v>
      </c>
      <c r="C509" s="37">
        <v>41078</v>
      </c>
      <c r="D509" s="205" t="s">
        <v>451</v>
      </c>
      <c r="E509" s="205">
        <v>41078</v>
      </c>
      <c r="F509" s="40" t="s">
        <v>532</v>
      </c>
      <c r="G509" s="628" t="s">
        <v>447</v>
      </c>
      <c r="H509" s="45"/>
      <c r="I509" s="277"/>
      <c r="J509" s="277"/>
      <c r="K509" s="38">
        <v>73770000</v>
      </c>
      <c r="L509" s="208" t="s">
        <v>8</v>
      </c>
      <c r="M509" s="39" t="s">
        <v>24</v>
      </c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>x</v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>x</v>
      </c>
    </row>
    <row r="510" spans="1:29" s="226" customFormat="1" ht="15.75" customHeight="1">
      <c r="A510" s="219" t="str">
        <f>IF(B510&lt;&gt;"",IF(AND(B510&gt;=_TM1,B510&lt;=_TM2,OR(TH!L510="1111",TH!M510="1111")),TH!D510,""),"")</f>
        <v/>
      </c>
      <c r="B510" s="36">
        <f t="shared" si="13"/>
        <v>6</v>
      </c>
      <c r="C510" s="37">
        <v>41078</v>
      </c>
      <c r="D510" s="205" t="s">
        <v>451</v>
      </c>
      <c r="E510" s="205">
        <v>41078</v>
      </c>
      <c r="F510" s="40" t="s">
        <v>453</v>
      </c>
      <c r="G510" s="628" t="s">
        <v>447</v>
      </c>
      <c r="H510" s="45"/>
      <c r="I510" s="277"/>
      <c r="J510" s="277"/>
      <c r="K510" s="38">
        <v>36885</v>
      </c>
      <c r="L510" s="208" t="s">
        <v>87</v>
      </c>
      <c r="M510" s="39" t="s">
        <v>24</v>
      </c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>x</v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>x</v>
      </c>
    </row>
    <row r="511" spans="1:29" s="226" customFormat="1" ht="15.75" customHeight="1">
      <c r="A511" s="219" t="str">
        <f>IF(B511&lt;&gt;"",IF(AND(B511&gt;=_TM1,B511&lt;=_TM2,OR(TH!L511="1111",TH!M511="1111")),TH!D511,""),"")</f>
        <v/>
      </c>
      <c r="B511" s="36">
        <f t="shared" si="13"/>
        <v>6</v>
      </c>
      <c r="C511" s="37">
        <v>41078</v>
      </c>
      <c r="D511" s="205" t="s">
        <v>451</v>
      </c>
      <c r="E511" s="205">
        <v>41078</v>
      </c>
      <c r="F511" s="40" t="s">
        <v>942</v>
      </c>
      <c r="G511" s="628" t="s">
        <v>447</v>
      </c>
      <c r="H511" s="45"/>
      <c r="I511" s="277"/>
      <c r="J511" s="277"/>
      <c r="K511" s="38">
        <v>14729</v>
      </c>
      <c r="L511" s="208" t="s">
        <v>87</v>
      </c>
      <c r="M511" s="39" t="s">
        <v>24</v>
      </c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>x</v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>x</v>
      </c>
    </row>
    <row r="512" spans="1:29" s="226" customFormat="1" ht="15.75" customHeight="1">
      <c r="A512" s="219" t="str">
        <f>IF(B512&lt;&gt;"",IF(AND(B512&gt;=_TM1,B512&lt;=_TM2,OR(TH!L512="1111",TH!M512="1111")),TH!D512,""),"")</f>
        <v/>
      </c>
      <c r="B512" s="36">
        <f t="shared" si="13"/>
        <v>6</v>
      </c>
      <c r="C512" s="37">
        <v>41080</v>
      </c>
      <c r="D512" s="205" t="s">
        <v>571</v>
      </c>
      <c r="E512" s="205">
        <v>41080</v>
      </c>
      <c r="F512" s="206" t="s">
        <v>1001</v>
      </c>
      <c r="G512" s="628" t="s">
        <v>1002</v>
      </c>
      <c r="H512" s="207" t="s">
        <v>533</v>
      </c>
      <c r="I512" s="278"/>
      <c r="J512" s="278"/>
      <c r="K512" s="38">
        <v>2920000</v>
      </c>
      <c r="L512" s="208" t="s">
        <v>199</v>
      </c>
      <c r="M512" s="39" t="s">
        <v>49</v>
      </c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>x</v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>x</v>
      </c>
    </row>
    <row r="513" spans="1:29" s="226" customFormat="1" ht="15.75" customHeight="1">
      <c r="A513" s="219" t="str">
        <f>IF(B513&lt;&gt;"",IF(AND(B513&gt;=_TM1,B513&lt;=_TM2,OR(TH!L513="1111",TH!M513="1111")),TH!D513,""),"")</f>
        <v/>
      </c>
      <c r="B513" s="36">
        <f t="shared" si="13"/>
        <v>6</v>
      </c>
      <c r="C513" s="37">
        <v>41080</v>
      </c>
      <c r="D513" s="205" t="s">
        <v>571</v>
      </c>
      <c r="E513" s="205">
        <v>41080</v>
      </c>
      <c r="F513" s="206" t="s">
        <v>459</v>
      </c>
      <c r="G513" s="628" t="s">
        <v>1002</v>
      </c>
      <c r="H513" s="207" t="s">
        <v>533</v>
      </c>
      <c r="I513" s="277"/>
      <c r="J513" s="277"/>
      <c r="K513" s="38">
        <v>292000</v>
      </c>
      <c r="L513" s="208" t="s">
        <v>9</v>
      </c>
      <c r="M513" s="39" t="s">
        <v>49</v>
      </c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>x</v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>x</v>
      </c>
    </row>
    <row r="514" spans="1:29" s="226" customFormat="1" ht="15.75" customHeight="1">
      <c r="A514" s="219" t="str">
        <f>IF(B514&lt;&gt;"",IF(AND(B514&gt;=_TM1,B514&lt;=_TM2,OR(TH!L514="1111",TH!M514="1111")),TH!D514,""),"")</f>
        <v/>
      </c>
      <c r="B514" s="36">
        <f t="shared" si="13"/>
        <v>6</v>
      </c>
      <c r="C514" s="37">
        <v>41081</v>
      </c>
      <c r="D514" s="195" t="s">
        <v>1196</v>
      </c>
      <c r="E514" s="205">
        <v>41081</v>
      </c>
      <c r="F514" s="206" t="s">
        <v>1003</v>
      </c>
      <c r="G514" s="628" t="s">
        <v>1004</v>
      </c>
      <c r="H514" s="7" t="s">
        <v>564</v>
      </c>
      <c r="I514" s="277">
        <v>60</v>
      </c>
      <c r="J514" s="277">
        <v>25149</v>
      </c>
      <c r="K514" s="38">
        <v>1508940</v>
      </c>
      <c r="L514" s="208" t="s">
        <v>191</v>
      </c>
      <c r="M514" s="750" t="s">
        <v>8</v>
      </c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>x</v>
      </c>
      <c r="AC514" s="226" t="str">
        <f>IF(ISNA(VLOOKUP(F514,NXT!$C$18:$C$347,1,0)),x,"")</f>
        <v/>
      </c>
    </row>
    <row r="515" spans="1:29" s="226" customFormat="1" ht="15.75" customHeight="1">
      <c r="A515" s="219" t="str">
        <f>IF(B515&lt;&gt;"",IF(AND(B515&gt;=_TM1,B515&lt;=_TM2,OR(TH!L515="1111",TH!M515="1111")),TH!D515,""),"")</f>
        <v/>
      </c>
      <c r="B515" s="36">
        <f t="shared" si="13"/>
        <v>6</v>
      </c>
      <c r="C515" s="37">
        <v>41081</v>
      </c>
      <c r="D515" s="195" t="s">
        <v>1196</v>
      </c>
      <c r="E515" s="205">
        <v>41081</v>
      </c>
      <c r="F515" s="40" t="s">
        <v>903</v>
      </c>
      <c r="G515" s="628" t="s">
        <v>1004</v>
      </c>
      <c r="H515" s="7" t="s">
        <v>564</v>
      </c>
      <c r="I515" s="277">
        <v>1050</v>
      </c>
      <c r="J515" s="277">
        <v>22301</v>
      </c>
      <c r="K515" s="38">
        <v>23416050</v>
      </c>
      <c r="L515" s="208" t="s">
        <v>191</v>
      </c>
      <c r="M515" s="750" t="s">
        <v>8</v>
      </c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>x</v>
      </c>
      <c r="AC515" s="226" t="str">
        <f>IF(ISNA(VLOOKUP(F515,NXT!$C$18:$C$347,1,0)),x,"")</f>
        <v/>
      </c>
    </row>
    <row r="516" spans="1:29" s="226" customFormat="1" ht="15.75" customHeight="1">
      <c r="A516" s="219" t="str">
        <f>IF(B516&lt;&gt;"",IF(AND(B516&gt;=_TM1,B516&lt;=_TM2,OR(TH!L516="1111",TH!M516="1111")),TH!D516,""),"")</f>
        <v/>
      </c>
      <c r="B516" s="36">
        <f t="shared" si="13"/>
        <v>6</v>
      </c>
      <c r="C516" s="37">
        <v>41081</v>
      </c>
      <c r="D516" s="195" t="s">
        <v>1196</v>
      </c>
      <c r="E516" s="205">
        <v>41081</v>
      </c>
      <c r="F516" s="206" t="s">
        <v>1005</v>
      </c>
      <c r="G516" s="628" t="s">
        <v>1004</v>
      </c>
      <c r="H516" s="7" t="s">
        <v>564</v>
      </c>
      <c r="I516" s="277">
        <v>500</v>
      </c>
      <c r="J516" s="277">
        <v>23028</v>
      </c>
      <c r="K516" s="38">
        <v>11514000</v>
      </c>
      <c r="L516" s="208" t="s">
        <v>191</v>
      </c>
      <c r="M516" s="750" t="s">
        <v>8</v>
      </c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>x</v>
      </c>
      <c r="AC516" s="226" t="str">
        <f>IF(ISNA(VLOOKUP(F516,NXT!$C$18:$C$347,1,0)),x,"")</f>
        <v/>
      </c>
    </row>
    <row r="517" spans="1:29" s="226" customFormat="1" ht="15.75" customHeight="1">
      <c r="A517" s="219" t="str">
        <f>IF(B517&lt;&gt;"",IF(AND(B517&gt;=_TM1,B517&lt;=_TM2,OR(TH!L517="1111",TH!M517="1111")),TH!D517,""),"")</f>
        <v/>
      </c>
      <c r="B517" s="36">
        <f t="shared" si="13"/>
        <v>6</v>
      </c>
      <c r="C517" s="37">
        <v>41081</v>
      </c>
      <c r="D517" s="195" t="s">
        <v>1196</v>
      </c>
      <c r="E517" s="205">
        <v>41081</v>
      </c>
      <c r="F517" s="206" t="s">
        <v>650</v>
      </c>
      <c r="G517" s="628" t="s">
        <v>1004</v>
      </c>
      <c r="H517" s="7" t="s">
        <v>564</v>
      </c>
      <c r="I517" s="277"/>
      <c r="J517" s="277"/>
      <c r="K517" s="38">
        <v>3643899</v>
      </c>
      <c r="L517" s="208" t="s">
        <v>9</v>
      </c>
      <c r="M517" s="750" t="s">
        <v>8</v>
      </c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>x</v>
      </c>
    </row>
    <row r="518" spans="1:29" s="226" customFormat="1" ht="15.75" customHeight="1">
      <c r="A518" s="219" t="str">
        <f>IF(B518&lt;&gt;"",IF(AND(B518&gt;=_TM1,B518&lt;=_TM2,OR(TH!L518="1111",TH!M518="1111")),TH!D518,""),"")</f>
        <v/>
      </c>
      <c r="B518" s="36">
        <f t="shared" si="13"/>
        <v>6</v>
      </c>
      <c r="C518" s="37">
        <v>41082</v>
      </c>
      <c r="D518" s="205" t="s">
        <v>450</v>
      </c>
      <c r="E518" s="205">
        <v>41082</v>
      </c>
      <c r="F518" s="206" t="s">
        <v>452</v>
      </c>
      <c r="G518" s="628" t="s">
        <v>447</v>
      </c>
      <c r="H518" s="207"/>
      <c r="I518" s="278"/>
      <c r="J518" s="278"/>
      <c r="K518" s="38">
        <v>24783880</v>
      </c>
      <c r="L518" s="208" t="s">
        <v>24</v>
      </c>
      <c r="M518" s="39" t="s">
        <v>352</v>
      </c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>x</v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>x</v>
      </c>
    </row>
    <row r="519" spans="1:29" s="226" customFormat="1" ht="15.75" customHeight="1">
      <c r="A519" s="219" t="str">
        <f>IF(B519&lt;&gt;"",IF(AND(B519&gt;=_TM1,B519&lt;=_TM2,OR(TH!L519="1111",TH!M519="1111")),TH!D519,""),"")</f>
        <v/>
      </c>
      <c r="B519" s="36">
        <f t="shared" si="13"/>
        <v>6</v>
      </c>
      <c r="C519" s="37">
        <v>41082</v>
      </c>
      <c r="D519" s="205" t="s">
        <v>450</v>
      </c>
      <c r="E519" s="205">
        <v>41082</v>
      </c>
      <c r="F519" s="206" t="s">
        <v>452</v>
      </c>
      <c r="G519" s="628" t="s">
        <v>447</v>
      </c>
      <c r="H519" s="207"/>
      <c r="I519" s="277"/>
      <c r="J519" s="277"/>
      <c r="K519" s="38">
        <v>7681674</v>
      </c>
      <c r="L519" s="208" t="s">
        <v>24</v>
      </c>
      <c r="M519" s="39" t="s">
        <v>352</v>
      </c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>x</v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>x</v>
      </c>
    </row>
    <row r="520" spans="1:29" s="226" customFormat="1" ht="15.75" customHeight="1">
      <c r="A520" s="219" t="str">
        <f>IF(B520&lt;&gt;"",IF(AND(B520&gt;=_TM1,B520&lt;=_TM2,OR(TH!L520="1111",TH!M520="1111")),TH!D520,""),"")</f>
        <v/>
      </c>
      <c r="B520" s="36">
        <f t="shared" si="13"/>
        <v>6</v>
      </c>
      <c r="C520" s="37">
        <v>41082</v>
      </c>
      <c r="D520" s="195" t="s">
        <v>1197</v>
      </c>
      <c r="E520" s="37">
        <v>41082</v>
      </c>
      <c r="F520" s="206" t="s">
        <v>1006</v>
      </c>
      <c r="G520" s="206" t="s">
        <v>1007</v>
      </c>
      <c r="H520" s="7" t="s">
        <v>564</v>
      </c>
      <c r="I520" s="277">
        <v>250</v>
      </c>
      <c r="J520" s="277">
        <v>10290</v>
      </c>
      <c r="K520" s="38">
        <v>2572500</v>
      </c>
      <c r="L520" s="208" t="s">
        <v>191</v>
      </c>
      <c r="M520" s="750" t="s">
        <v>8</v>
      </c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>x</v>
      </c>
      <c r="AC520" s="226" t="str">
        <f>IF(ISNA(VLOOKUP(F520,NXT!$C$18:$C$347,1,0)),x,"")</f>
        <v/>
      </c>
    </row>
    <row r="521" spans="1:29" s="226" customFormat="1" ht="15.75" customHeight="1">
      <c r="A521" s="219" t="str">
        <f>IF(B521&lt;&gt;"",IF(AND(B521&gt;=_TM1,B521&lt;=_TM2,OR(TH!L521="1111",TH!M521="1111")),TH!D521,""),"")</f>
        <v/>
      </c>
      <c r="B521" s="36">
        <f t="shared" si="13"/>
        <v>6</v>
      </c>
      <c r="C521" s="37">
        <v>41082</v>
      </c>
      <c r="D521" s="195" t="s">
        <v>1197</v>
      </c>
      <c r="E521" s="205">
        <v>41082</v>
      </c>
      <c r="F521" s="206" t="s">
        <v>1008</v>
      </c>
      <c r="G521" s="206" t="s">
        <v>1007</v>
      </c>
      <c r="H521" s="7" t="s">
        <v>564</v>
      </c>
      <c r="I521" s="277">
        <v>250</v>
      </c>
      <c r="J521" s="277">
        <v>18673</v>
      </c>
      <c r="K521" s="38">
        <v>4668250</v>
      </c>
      <c r="L521" s="208" t="s">
        <v>191</v>
      </c>
      <c r="M521" s="750" t="s">
        <v>8</v>
      </c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>x</v>
      </c>
      <c r="AC521" s="226" t="str">
        <f>IF(ISNA(VLOOKUP(F521,NXT!$C$18:$C$347,1,0)),x,"")</f>
        <v/>
      </c>
    </row>
    <row r="522" spans="1:29" s="226" customFormat="1" ht="15.75" customHeight="1">
      <c r="A522" s="219" t="str">
        <f>IF(B522&lt;&gt;"",IF(AND(B522&gt;=_TM1,B522&lt;=_TM2,OR(TH!L522="1111",TH!M522="1111")),TH!D522,""),"")</f>
        <v/>
      </c>
      <c r="B522" s="36">
        <f t="shared" si="13"/>
        <v>6</v>
      </c>
      <c r="C522" s="37">
        <v>41082</v>
      </c>
      <c r="D522" s="195" t="s">
        <v>1197</v>
      </c>
      <c r="E522" s="205">
        <v>41082</v>
      </c>
      <c r="F522" s="40" t="s">
        <v>1009</v>
      </c>
      <c r="G522" s="206" t="s">
        <v>1007</v>
      </c>
      <c r="H522" s="7" t="s">
        <v>564</v>
      </c>
      <c r="I522" s="277">
        <v>100</v>
      </c>
      <c r="J522" s="277">
        <v>18443</v>
      </c>
      <c r="K522" s="38">
        <v>1844300</v>
      </c>
      <c r="L522" s="208" t="s">
        <v>191</v>
      </c>
      <c r="M522" s="750" t="s">
        <v>8</v>
      </c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>x</v>
      </c>
      <c r="AC522" s="226" t="str">
        <f>IF(ISNA(VLOOKUP(F522,NXT!$C$18:$C$347,1,0)),x,"")</f>
        <v/>
      </c>
    </row>
    <row r="523" spans="1:29" s="226" customFormat="1" ht="15.75" customHeight="1">
      <c r="A523" s="219" t="str">
        <f>IF(B523&lt;&gt;"",IF(AND(B523&gt;=_TM1,B523&lt;=_TM2,OR(TH!L523="1111",TH!M523="1111")),TH!D523,""),"")</f>
        <v/>
      </c>
      <c r="B523" s="36">
        <f t="shared" si="13"/>
        <v>6</v>
      </c>
      <c r="C523" s="37">
        <v>41082</v>
      </c>
      <c r="D523" s="195" t="s">
        <v>1197</v>
      </c>
      <c r="E523" s="205">
        <v>41082</v>
      </c>
      <c r="F523" s="206" t="s">
        <v>650</v>
      </c>
      <c r="G523" s="206" t="s">
        <v>1007</v>
      </c>
      <c r="H523" s="7" t="s">
        <v>564</v>
      </c>
      <c r="I523" s="277"/>
      <c r="J523" s="277"/>
      <c r="K523" s="38">
        <v>908505</v>
      </c>
      <c r="L523" s="208" t="s">
        <v>9</v>
      </c>
      <c r="M523" s="750" t="s">
        <v>8</v>
      </c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>x</v>
      </c>
    </row>
    <row r="524" spans="1:29" s="226" customFormat="1" ht="15.75" customHeight="1">
      <c r="A524" s="219" t="str">
        <f>IF(B524&lt;&gt;"",IF(AND(B524&gt;=_TM1,B524&lt;=_TM2,OR(TH!L524="1111",TH!M524="1111")),TH!D524,""),"")</f>
        <v/>
      </c>
      <c r="B524" s="36">
        <f t="shared" si="13"/>
        <v>6</v>
      </c>
      <c r="C524" s="37">
        <v>41085</v>
      </c>
      <c r="D524" s="205" t="s">
        <v>450</v>
      </c>
      <c r="E524" s="205">
        <v>41085</v>
      </c>
      <c r="F524" s="206" t="s">
        <v>452</v>
      </c>
      <c r="G524" s="206" t="s">
        <v>447</v>
      </c>
      <c r="H524" s="225"/>
      <c r="I524" s="277"/>
      <c r="J524" s="277"/>
      <c r="K524" s="38">
        <v>43545</v>
      </c>
      <c r="L524" s="208" t="s">
        <v>24</v>
      </c>
      <c r="M524" s="208" t="s">
        <v>352</v>
      </c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>x</v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>x</v>
      </c>
    </row>
    <row r="525" spans="1:29" s="226" customFormat="1" ht="15.75" customHeight="1">
      <c r="A525" s="219" t="str">
        <f>IF(B525&lt;&gt;"",IF(AND(B525&gt;=_TM1,B525&lt;=_TM2,OR(TH!L525="1111",TH!M525="1111")),TH!D525,""),"")</f>
        <v/>
      </c>
      <c r="B525" s="36">
        <f t="shared" si="13"/>
        <v>6</v>
      </c>
      <c r="C525" s="37">
        <v>41085</v>
      </c>
      <c r="D525" s="195" t="s">
        <v>1198</v>
      </c>
      <c r="E525" s="205">
        <v>41085</v>
      </c>
      <c r="F525" s="40" t="s">
        <v>1010</v>
      </c>
      <c r="G525" s="206" t="s">
        <v>1011</v>
      </c>
      <c r="H525" s="207" t="s">
        <v>773</v>
      </c>
      <c r="I525" s="277">
        <v>250</v>
      </c>
      <c r="J525" s="277">
        <v>14469.12</v>
      </c>
      <c r="K525" s="38">
        <v>3617280</v>
      </c>
      <c r="L525" s="208" t="s">
        <v>191</v>
      </c>
      <c r="M525" s="750" t="s">
        <v>8</v>
      </c>
      <c r="N525" s="55" t="str">
        <f>IF(AND('331-CT'!$E$7=TH!H525,OR(L525="331",M525="331")),"x","")</f>
        <v>x</v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>x</v>
      </c>
      <c r="AC525" s="226" t="str">
        <f>IF(ISNA(VLOOKUP(F525,NXT!$C$18:$C$347,1,0)),x,"")</f>
        <v/>
      </c>
    </row>
    <row r="526" spans="1:29" s="226" customFormat="1" ht="15.75" customHeight="1">
      <c r="A526" s="219" t="str">
        <f>IF(B526&lt;&gt;"",IF(AND(B526&gt;=_TM1,B526&lt;=_TM2,OR(TH!L526="1111",TH!M526="1111")),TH!D526,""),"")</f>
        <v/>
      </c>
      <c r="B526" s="36">
        <f t="shared" si="13"/>
        <v>6</v>
      </c>
      <c r="C526" s="37">
        <v>41085</v>
      </c>
      <c r="D526" s="195" t="s">
        <v>1198</v>
      </c>
      <c r="E526" s="37">
        <v>41085</v>
      </c>
      <c r="F526" s="40" t="s">
        <v>1012</v>
      </c>
      <c r="G526" s="40" t="s">
        <v>1011</v>
      </c>
      <c r="H526" s="225" t="s">
        <v>773</v>
      </c>
      <c r="I526" s="277">
        <v>100</v>
      </c>
      <c r="J526" s="277">
        <v>21081.599999999999</v>
      </c>
      <c r="K526" s="38">
        <v>2108160</v>
      </c>
      <c r="L526" s="39" t="s">
        <v>191</v>
      </c>
      <c r="M526" s="750" t="s">
        <v>8</v>
      </c>
      <c r="N526" s="55" t="str">
        <f>IF(AND('331-CT'!$E$7=TH!H526,OR(L526="331",M526="331")),"x","")</f>
        <v>x</v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>x</v>
      </c>
      <c r="AC526" s="226" t="str">
        <f>IF(ISNA(VLOOKUP(F526,NXT!$C$18:$C$347,1,0)),x,"")</f>
        <v/>
      </c>
    </row>
    <row r="527" spans="1:29" s="226" customFormat="1" ht="15.75" customHeight="1">
      <c r="A527" s="219" t="str">
        <f>IF(B527&lt;&gt;"",IF(AND(B527&gt;=_TM1,B527&lt;=_TM2,OR(TH!L527="1111",TH!M527="1111")),TH!D527,""),"")</f>
        <v/>
      </c>
      <c r="B527" s="36">
        <f t="shared" si="13"/>
        <v>6</v>
      </c>
      <c r="C527" s="37">
        <v>41085</v>
      </c>
      <c r="D527" s="195" t="s">
        <v>1198</v>
      </c>
      <c r="E527" s="37">
        <v>41085</v>
      </c>
      <c r="F527" s="40" t="s">
        <v>1013</v>
      </c>
      <c r="G527" s="40" t="s">
        <v>1011</v>
      </c>
      <c r="H527" s="225" t="s">
        <v>773</v>
      </c>
      <c r="I527" s="277">
        <v>150</v>
      </c>
      <c r="J527" s="277">
        <v>11904</v>
      </c>
      <c r="K527" s="38">
        <v>1785600</v>
      </c>
      <c r="L527" s="39" t="s">
        <v>191</v>
      </c>
      <c r="M527" s="750" t="s">
        <v>8</v>
      </c>
      <c r="N527" s="55" t="str">
        <f>IF(AND('331-CT'!$E$7=TH!H527,OR(L527="331",M527="331")),"x","")</f>
        <v>x</v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>x</v>
      </c>
      <c r="AC527" s="226" t="str">
        <f>IF(ISNA(VLOOKUP(F527,NXT!$C$18:$C$347,1,0)),x,"")</f>
        <v/>
      </c>
    </row>
    <row r="528" spans="1:29" s="226" customFormat="1" ht="15.75" customHeight="1">
      <c r="A528" s="219" t="str">
        <f>IF(B528&lt;&gt;"",IF(AND(B528&gt;=_TM1,B528&lt;=_TM2,OR(TH!L528="1111",TH!M528="1111")),TH!D528,""),"")</f>
        <v/>
      </c>
      <c r="B528" s="36">
        <f t="shared" si="13"/>
        <v>6</v>
      </c>
      <c r="C528" s="37">
        <v>41085</v>
      </c>
      <c r="D528" s="195" t="s">
        <v>1198</v>
      </c>
      <c r="E528" s="37">
        <v>41085</v>
      </c>
      <c r="F528" s="40" t="s">
        <v>1014</v>
      </c>
      <c r="G528" s="40" t="s">
        <v>1011</v>
      </c>
      <c r="H528" s="225" t="s">
        <v>773</v>
      </c>
      <c r="I528" s="277">
        <v>550</v>
      </c>
      <c r="J528" s="277">
        <v>10448.9</v>
      </c>
      <c r="K528" s="38">
        <v>5746895</v>
      </c>
      <c r="L528" s="39" t="s">
        <v>191</v>
      </c>
      <c r="M528" s="750" t="s">
        <v>8</v>
      </c>
      <c r="N528" s="55" t="str">
        <f>IF(AND('331-CT'!$E$7=TH!H528,OR(L528="331",M528="331")),"x","")</f>
        <v>x</v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>x</v>
      </c>
      <c r="AC528" s="226" t="str">
        <f>IF(ISNA(VLOOKUP(F528,NXT!$C$18:$C$347,1,0)),x,"")</f>
        <v/>
      </c>
    </row>
    <row r="529" spans="1:29" s="226" customFormat="1" ht="15.75" customHeight="1">
      <c r="A529" s="219" t="str">
        <f>IF(B529&lt;&gt;"",IF(AND(B529&gt;=_TM1,B529&lt;=_TM2,OR(TH!L529="1111",TH!M529="1111")),TH!D529,""),"")</f>
        <v/>
      </c>
      <c r="B529" s="36">
        <f t="shared" si="13"/>
        <v>6</v>
      </c>
      <c r="C529" s="37">
        <v>41085</v>
      </c>
      <c r="D529" s="195" t="s">
        <v>1198</v>
      </c>
      <c r="E529" s="37">
        <v>41085</v>
      </c>
      <c r="F529" s="40" t="s">
        <v>966</v>
      </c>
      <c r="G529" s="40" t="s">
        <v>1011</v>
      </c>
      <c r="H529" s="225" t="s">
        <v>773</v>
      </c>
      <c r="I529" s="277"/>
      <c r="J529" s="277"/>
      <c r="K529" s="38">
        <v>1325794</v>
      </c>
      <c r="L529" s="39" t="s">
        <v>9</v>
      </c>
      <c r="M529" s="750" t="s">
        <v>8</v>
      </c>
      <c r="N529" s="55" t="str">
        <f>IF(AND('331-CT'!$E$7=TH!H529,OR(L529="331",M529="331")),"x","")</f>
        <v>x</v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>x</v>
      </c>
    </row>
    <row r="530" spans="1:29" s="226" customFormat="1" ht="15.75" customHeight="1">
      <c r="A530" s="219" t="str">
        <f>IF(B530&lt;&gt;"",IF(AND(B530&gt;=_TM1,B530&lt;=_TM2,OR(TH!L530="1111",TH!M530="1111")),TH!D530,""),"")</f>
        <v/>
      </c>
      <c r="B530" s="36">
        <f t="shared" si="13"/>
        <v>6</v>
      </c>
      <c r="C530" s="37">
        <v>41086</v>
      </c>
      <c r="D530" s="205" t="s">
        <v>450</v>
      </c>
      <c r="E530" s="37">
        <v>41086</v>
      </c>
      <c r="F530" s="40" t="s">
        <v>452</v>
      </c>
      <c r="G530" s="40" t="s">
        <v>447</v>
      </c>
      <c r="H530" s="225"/>
      <c r="I530" s="277"/>
      <c r="J530" s="277"/>
      <c r="K530" s="38">
        <v>14608550</v>
      </c>
      <c r="L530" s="39" t="s">
        <v>24</v>
      </c>
      <c r="M530" s="39" t="s">
        <v>352</v>
      </c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>x</v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>x</v>
      </c>
    </row>
    <row r="531" spans="1:29" s="226" customFormat="1" ht="15.75" customHeight="1">
      <c r="A531" s="219" t="str">
        <f>IF(B531&lt;&gt;"",IF(AND(B531&gt;=_TM1,B531&lt;=_TM2,OR(TH!L531="1111",TH!M531="1111")),TH!D531,""),"")</f>
        <v/>
      </c>
      <c r="B531" s="36">
        <f t="shared" si="13"/>
        <v>6</v>
      </c>
      <c r="C531" s="37">
        <v>41086</v>
      </c>
      <c r="D531" s="205" t="s">
        <v>572</v>
      </c>
      <c r="E531" s="37">
        <v>41086</v>
      </c>
      <c r="F531" s="40" t="s">
        <v>1015</v>
      </c>
      <c r="G531" s="40" t="s">
        <v>1016</v>
      </c>
      <c r="H531" s="225" t="s">
        <v>533</v>
      </c>
      <c r="I531" s="277"/>
      <c r="J531" s="277"/>
      <c r="K531" s="38">
        <v>1360000</v>
      </c>
      <c r="L531" s="39" t="s">
        <v>199</v>
      </c>
      <c r="M531" s="39" t="s">
        <v>49</v>
      </c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>x</v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>x</v>
      </c>
    </row>
    <row r="532" spans="1:29" s="226" customFormat="1" ht="15.75" customHeight="1">
      <c r="A532" s="219" t="str">
        <f>IF(B532&lt;&gt;"",IF(AND(B532&gt;=_TM1,B532&lt;=_TM2,OR(TH!L532="1111",TH!M532="1111")),TH!D532,""),"")</f>
        <v/>
      </c>
      <c r="B532" s="36">
        <f t="shared" si="13"/>
        <v>6</v>
      </c>
      <c r="C532" s="37">
        <v>41086</v>
      </c>
      <c r="D532" s="205" t="s">
        <v>572</v>
      </c>
      <c r="E532" s="37">
        <v>41086</v>
      </c>
      <c r="F532" s="40" t="s">
        <v>459</v>
      </c>
      <c r="G532" s="40" t="s">
        <v>1016</v>
      </c>
      <c r="H532" s="225" t="s">
        <v>533</v>
      </c>
      <c r="I532" s="277"/>
      <c r="J532" s="277"/>
      <c r="K532" s="38">
        <v>136000</v>
      </c>
      <c r="L532" s="39" t="s">
        <v>9</v>
      </c>
      <c r="M532" s="39" t="s">
        <v>49</v>
      </c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>x</v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>x</v>
      </c>
    </row>
    <row r="533" spans="1:29" s="226" customFormat="1" ht="15.75" customHeight="1">
      <c r="A533" s="219" t="str">
        <f>IF(B533&lt;&gt;"",IF(AND(B533&gt;=_TM1,B533&lt;=_TM2,OR(TH!L533="1111",TH!M533="1111")),TH!D533,""),"")</f>
        <v/>
      </c>
      <c r="B533" s="36">
        <f t="shared" ref="B533:B602" si="14">IF(C533&lt;&gt;"",MONTH(C533),"")</f>
        <v>6</v>
      </c>
      <c r="C533" s="37">
        <v>41086</v>
      </c>
      <c r="D533" s="195" t="s">
        <v>1199</v>
      </c>
      <c r="E533" s="37">
        <v>41086</v>
      </c>
      <c r="F533" s="206" t="s">
        <v>1017</v>
      </c>
      <c r="G533" s="40" t="s">
        <v>1018</v>
      </c>
      <c r="H533" s="7" t="s">
        <v>564</v>
      </c>
      <c r="I533" s="277">
        <v>500</v>
      </c>
      <c r="J533" s="277">
        <v>20579</v>
      </c>
      <c r="K533" s="38">
        <v>10289500</v>
      </c>
      <c r="L533" s="208" t="s">
        <v>191</v>
      </c>
      <c r="M533" s="750" t="s">
        <v>8</v>
      </c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>x</v>
      </c>
      <c r="AC533" s="226" t="str">
        <f>IF(ISNA(VLOOKUP(F533,NXT!$C$18:$C$347,1,0)),x,"")</f>
        <v/>
      </c>
    </row>
    <row r="534" spans="1:29" s="226" customFormat="1" ht="15.75" customHeight="1">
      <c r="A534" s="219" t="str">
        <f>IF(B534&lt;&gt;"",IF(AND(B534&gt;=_TM1,B534&lt;=_TM2,OR(TH!L534="1111",TH!M534="1111")),TH!D534,""),"")</f>
        <v/>
      </c>
      <c r="B534" s="36">
        <f t="shared" si="14"/>
        <v>6</v>
      </c>
      <c r="C534" s="37">
        <v>41086</v>
      </c>
      <c r="D534" s="195" t="s">
        <v>1199</v>
      </c>
      <c r="E534" s="205">
        <v>41086</v>
      </c>
      <c r="F534" s="206" t="s">
        <v>941</v>
      </c>
      <c r="G534" s="206" t="s">
        <v>1018</v>
      </c>
      <c r="H534" s="7" t="s">
        <v>564</v>
      </c>
      <c r="I534" s="277">
        <v>140</v>
      </c>
      <c r="J534" s="277">
        <v>11817</v>
      </c>
      <c r="K534" s="38">
        <v>1654380</v>
      </c>
      <c r="L534" s="208" t="s">
        <v>191</v>
      </c>
      <c r="M534" s="750" t="s">
        <v>8</v>
      </c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>x</v>
      </c>
      <c r="AC534" s="226" t="str">
        <f>IF(ISNA(VLOOKUP(F534,NXT!$C$18:$C$347,1,0)),x,"")</f>
        <v/>
      </c>
    </row>
    <row r="535" spans="1:29" s="226" customFormat="1" ht="15.75" customHeight="1">
      <c r="A535" s="219" t="str">
        <f>IF(B535&lt;&gt;"",IF(AND(B535&gt;=_TM1,B535&lt;=_TM2,OR(TH!L535="1111",TH!M535="1111")),TH!D535,""),"")</f>
        <v/>
      </c>
      <c r="B535" s="36">
        <f t="shared" si="14"/>
        <v>6</v>
      </c>
      <c r="C535" s="37">
        <v>41086</v>
      </c>
      <c r="D535" s="195" t="s">
        <v>1199</v>
      </c>
      <c r="E535" s="205">
        <v>41086</v>
      </c>
      <c r="F535" s="206" t="s">
        <v>650</v>
      </c>
      <c r="G535" s="628" t="s">
        <v>1018</v>
      </c>
      <c r="H535" s="7" t="s">
        <v>564</v>
      </c>
      <c r="I535" s="277"/>
      <c r="J535" s="277"/>
      <c r="K535" s="38">
        <v>1194388</v>
      </c>
      <c r="L535" s="208" t="s">
        <v>9</v>
      </c>
      <c r="M535" s="750" t="s">
        <v>8</v>
      </c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>x</v>
      </c>
    </row>
    <row r="536" spans="1:29" s="226" customFormat="1" ht="15.75" customHeight="1">
      <c r="A536" s="219" t="str">
        <f>IF(B536&lt;&gt;"",IF(AND(B536&gt;=_TM1,B536&lt;=_TM2,OR(TH!L536="1111",TH!M536="1111")),TH!D536,""),"")</f>
        <v/>
      </c>
      <c r="B536" s="36">
        <f t="shared" si="14"/>
        <v>6</v>
      </c>
      <c r="C536" s="37">
        <v>41086</v>
      </c>
      <c r="D536" s="195" t="s">
        <v>1200</v>
      </c>
      <c r="E536" s="205">
        <v>41086</v>
      </c>
      <c r="F536" s="206" t="s">
        <v>645</v>
      </c>
      <c r="G536" s="628" t="s">
        <v>1019</v>
      </c>
      <c r="H536" s="7" t="s">
        <v>564</v>
      </c>
      <c r="I536" s="277">
        <v>500</v>
      </c>
      <c r="J536" s="277">
        <v>11227</v>
      </c>
      <c r="K536" s="38">
        <v>5613500</v>
      </c>
      <c r="L536" s="208" t="s">
        <v>191</v>
      </c>
      <c r="M536" s="750" t="s">
        <v>8</v>
      </c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>x</v>
      </c>
      <c r="AC536" s="226" t="str">
        <f>IF(ISNA(VLOOKUP(F536,NXT!$C$18:$C$347,1,0)),x,"")</f>
        <v/>
      </c>
    </row>
    <row r="537" spans="1:29" s="226" customFormat="1" ht="15.75" customHeight="1">
      <c r="A537" s="219" t="str">
        <f>IF(B537&lt;&gt;"",IF(AND(B537&gt;=_TM1,B537&lt;=_TM2,OR(TH!L537="1111",TH!M537="1111")),TH!D537,""),"")</f>
        <v/>
      </c>
      <c r="B537" s="36">
        <f t="shared" si="14"/>
        <v>6</v>
      </c>
      <c r="C537" s="37">
        <v>41086</v>
      </c>
      <c r="D537" s="195" t="s">
        <v>1200</v>
      </c>
      <c r="E537" s="37">
        <v>41086</v>
      </c>
      <c r="F537" s="206" t="s">
        <v>1020</v>
      </c>
      <c r="G537" s="206" t="s">
        <v>1019</v>
      </c>
      <c r="H537" s="7" t="s">
        <v>564</v>
      </c>
      <c r="I537" s="277">
        <v>350</v>
      </c>
      <c r="J537" s="277">
        <v>16748</v>
      </c>
      <c r="K537" s="38">
        <v>5861800</v>
      </c>
      <c r="L537" s="208" t="s">
        <v>191</v>
      </c>
      <c r="M537" s="750" t="s">
        <v>8</v>
      </c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>x</v>
      </c>
      <c r="AC537" s="226" t="str">
        <f>IF(ISNA(VLOOKUP(F537,NXT!$C$18:$C$347,1,0)),x,"")</f>
        <v/>
      </c>
    </row>
    <row r="538" spans="1:29" s="226" customFormat="1" ht="15.75" customHeight="1">
      <c r="A538" s="219" t="str">
        <f>IF(B538&lt;&gt;"",IF(AND(B538&gt;=_TM1,B538&lt;=_TM2,OR(TH!L538="1111",TH!M538="1111")),TH!D538,""),"")</f>
        <v/>
      </c>
      <c r="B538" s="36">
        <f t="shared" si="14"/>
        <v>6</v>
      </c>
      <c r="C538" s="37">
        <v>41086</v>
      </c>
      <c r="D538" s="195" t="s">
        <v>1200</v>
      </c>
      <c r="E538" s="205">
        <v>41086</v>
      </c>
      <c r="F538" s="206" t="s">
        <v>1020</v>
      </c>
      <c r="G538" s="206" t="s">
        <v>1019</v>
      </c>
      <c r="H538" s="7" t="s">
        <v>564</v>
      </c>
      <c r="I538" s="277">
        <v>330</v>
      </c>
      <c r="J538" s="277">
        <v>16748</v>
      </c>
      <c r="K538" s="38">
        <v>5526840</v>
      </c>
      <c r="L538" s="208" t="s">
        <v>191</v>
      </c>
      <c r="M538" s="750" t="s">
        <v>8</v>
      </c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>x</v>
      </c>
      <c r="AC538" s="226" t="str">
        <f>IF(ISNA(VLOOKUP(F538,NXT!$C$18:$C$347,1,0)),x,"")</f>
        <v/>
      </c>
    </row>
    <row r="539" spans="1:29" s="226" customFormat="1" ht="15.75" customHeight="1">
      <c r="A539" s="219" t="str">
        <f>IF(B539&lt;&gt;"",IF(AND(B539&gt;=_TM1,B539&lt;=_TM2,OR(TH!L539="1111",TH!M539="1111")),TH!D539,""),"")</f>
        <v/>
      </c>
      <c r="B539" s="36">
        <f t="shared" si="14"/>
        <v>6</v>
      </c>
      <c r="C539" s="37">
        <v>41086</v>
      </c>
      <c r="D539" s="195" t="s">
        <v>1200</v>
      </c>
      <c r="E539" s="205">
        <v>41086</v>
      </c>
      <c r="F539" s="40" t="s">
        <v>1021</v>
      </c>
      <c r="G539" s="206" t="s">
        <v>1019</v>
      </c>
      <c r="H539" s="7" t="s">
        <v>564</v>
      </c>
      <c r="I539" s="277">
        <v>1030</v>
      </c>
      <c r="J539" s="277">
        <v>10374</v>
      </c>
      <c r="K539" s="38">
        <v>10685220</v>
      </c>
      <c r="L539" s="208" t="s">
        <v>191</v>
      </c>
      <c r="M539" s="750" t="s">
        <v>8</v>
      </c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>x</v>
      </c>
      <c r="AC539" s="226" t="str">
        <f>IF(ISNA(VLOOKUP(F539,NXT!$C$18:$C$347,1,0)),x,"")</f>
        <v/>
      </c>
    </row>
    <row r="540" spans="1:29" s="226" customFormat="1" ht="15.75" customHeight="1">
      <c r="A540" s="219" t="str">
        <f>IF(B540&lt;&gt;"",IF(AND(B540&gt;=_TM1,B540&lt;=_TM2,OR(TH!L540="1111",TH!M540="1111")),TH!D540,""),"")</f>
        <v/>
      </c>
      <c r="B540" s="36">
        <f t="shared" si="14"/>
        <v>6</v>
      </c>
      <c r="C540" s="37">
        <v>41086</v>
      </c>
      <c r="D540" s="195" t="s">
        <v>1200</v>
      </c>
      <c r="E540" s="205">
        <v>41086</v>
      </c>
      <c r="F540" s="206" t="s">
        <v>1022</v>
      </c>
      <c r="G540" s="206" t="s">
        <v>1019</v>
      </c>
      <c r="H540" s="7" t="s">
        <v>564</v>
      </c>
      <c r="I540" s="277">
        <v>150</v>
      </c>
      <c r="J540" s="277">
        <v>25376</v>
      </c>
      <c r="K540" s="38">
        <v>3806400</v>
      </c>
      <c r="L540" s="208" t="s">
        <v>191</v>
      </c>
      <c r="M540" s="750" t="s">
        <v>8</v>
      </c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>x</v>
      </c>
      <c r="AC540" s="226" t="str">
        <f>IF(ISNA(VLOOKUP(F540,NXT!$C$18:$C$347,1,0)),x,"")</f>
        <v/>
      </c>
    </row>
    <row r="541" spans="1:29" s="226" customFormat="1" ht="15.75" customHeight="1">
      <c r="A541" s="219" t="str">
        <f>IF(B541&lt;&gt;"",IF(AND(B541&gt;=_TM1,B541&lt;=_TM2,OR(TH!L541="1111",TH!M541="1111")),TH!D541,""),"")</f>
        <v/>
      </c>
      <c r="B541" s="36">
        <f t="shared" si="14"/>
        <v>6</v>
      </c>
      <c r="C541" s="37">
        <v>41086</v>
      </c>
      <c r="D541" s="195" t="s">
        <v>1200</v>
      </c>
      <c r="E541" s="205">
        <v>41086</v>
      </c>
      <c r="F541" s="206" t="s">
        <v>1023</v>
      </c>
      <c r="G541" s="206" t="s">
        <v>1019</v>
      </c>
      <c r="H541" s="7" t="s">
        <v>564</v>
      </c>
      <c r="I541" s="277">
        <v>860</v>
      </c>
      <c r="J541" s="277">
        <v>14403</v>
      </c>
      <c r="K541" s="278">
        <v>12386580</v>
      </c>
      <c r="L541" s="208" t="s">
        <v>191</v>
      </c>
      <c r="M541" s="750" t="s">
        <v>8</v>
      </c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>x</v>
      </c>
      <c r="AC541" s="226" t="str">
        <f>IF(ISNA(VLOOKUP(F541,NXT!$C$18:$C$347,1,0)),x,"")</f>
        <v/>
      </c>
    </row>
    <row r="542" spans="1:29" s="226" customFormat="1" ht="15.75" customHeight="1">
      <c r="A542" s="219" t="str">
        <f>IF(B542&lt;&gt;"",IF(AND(B542&gt;=_TM1,B542&lt;=_TM2,OR(TH!L542="1111",TH!M542="1111")),TH!D542,""),"")</f>
        <v/>
      </c>
      <c r="B542" s="36">
        <f t="shared" si="14"/>
        <v>6</v>
      </c>
      <c r="C542" s="37">
        <v>41086</v>
      </c>
      <c r="D542" s="195" t="s">
        <v>1200</v>
      </c>
      <c r="E542" s="205">
        <v>41086</v>
      </c>
      <c r="F542" s="206" t="s">
        <v>1023</v>
      </c>
      <c r="G542" s="206" t="s">
        <v>1019</v>
      </c>
      <c r="H542" s="7" t="s">
        <v>564</v>
      </c>
      <c r="I542" s="277">
        <v>100</v>
      </c>
      <c r="J542" s="277">
        <v>14403</v>
      </c>
      <c r="K542" s="38">
        <v>1440300</v>
      </c>
      <c r="L542" s="208" t="s">
        <v>191</v>
      </c>
      <c r="M542" s="750" t="s">
        <v>8</v>
      </c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>x</v>
      </c>
      <c r="AC542" s="226" t="str">
        <f>IF(ISNA(VLOOKUP(F542,NXT!$C$18:$C$347,1,0)),x,"")</f>
        <v/>
      </c>
    </row>
    <row r="543" spans="1:29" s="226" customFormat="1" ht="15.75" customHeight="1">
      <c r="A543" s="219" t="str">
        <f>IF(B543&lt;&gt;"",IF(AND(B543&gt;=_TM1,B543&lt;=_TM2,OR(TH!L543="1111",TH!M543="1111")),TH!D543,""),"")</f>
        <v/>
      </c>
      <c r="B543" s="36">
        <f t="shared" si="14"/>
        <v>6</v>
      </c>
      <c r="C543" s="37">
        <v>41086</v>
      </c>
      <c r="D543" s="195" t="s">
        <v>1200</v>
      </c>
      <c r="E543" s="205">
        <v>41086</v>
      </c>
      <c r="F543" s="206" t="s">
        <v>1024</v>
      </c>
      <c r="G543" s="206" t="s">
        <v>1019</v>
      </c>
      <c r="H543" s="7" t="s">
        <v>564</v>
      </c>
      <c r="I543" s="277">
        <v>220</v>
      </c>
      <c r="J543" s="277">
        <v>16029</v>
      </c>
      <c r="K543" s="38">
        <v>3526380</v>
      </c>
      <c r="L543" s="208" t="s">
        <v>191</v>
      </c>
      <c r="M543" s="750" t="s">
        <v>8</v>
      </c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>x</v>
      </c>
      <c r="AC543" s="226" t="str">
        <f>IF(ISNA(VLOOKUP(F543,NXT!$C$18:$C$347,1,0)),x,"")</f>
        <v/>
      </c>
    </row>
    <row r="544" spans="1:29" s="226" customFormat="1" ht="15.75" customHeight="1">
      <c r="A544" s="219" t="str">
        <f>IF(B544&lt;&gt;"",IF(AND(B544&gt;=_TM1,B544&lt;=_TM2,OR(TH!L544="1111",TH!M544="1111")),TH!D544,""),"")</f>
        <v/>
      </c>
      <c r="B544" s="36">
        <f t="shared" si="14"/>
        <v>6</v>
      </c>
      <c r="C544" s="37">
        <v>41086</v>
      </c>
      <c r="D544" s="195" t="s">
        <v>1200</v>
      </c>
      <c r="E544" s="205">
        <v>41086</v>
      </c>
      <c r="F544" s="40" t="s">
        <v>650</v>
      </c>
      <c r="G544" s="206" t="s">
        <v>1019</v>
      </c>
      <c r="H544" s="7" t="s">
        <v>564</v>
      </c>
      <c r="I544" s="277"/>
      <c r="J544" s="277"/>
      <c r="K544" s="38">
        <v>4884702</v>
      </c>
      <c r="L544" s="208" t="s">
        <v>9</v>
      </c>
      <c r="M544" s="750" t="s">
        <v>8</v>
      </c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>x</v>
      </c>
    </row>
    <row r="545" spans="1:29" s="226" customFormat="1" ht="15.75" customHeight="1">
      <c r="A545" s="219" t="str">
        <f>IF(B545&lt;&gt;"",IF(AND(B545&gt;=_TM1,B545&lt;=_TM2,OR(TH!L545="1111",TH!M545="1111")),TH!D545,""),"")</f>
        <v/>
      </c>
      <c r="B545" s="36">
        <f t="shared" si="14"/>
        <v>6</v>
      </c>
      <c r="C545" s="37">
        <v>41087</v>
      </c>
      <c r="D545" s="205" t="s">
        <v>450</v>
      </c>
      <c r="E545" s="37">
        <v>41087</v>
      </c>
      <c r="F545" s="40" t="s">
        <v>452</v>
      </c>
      <c r="G545" s="40" t="s">
        <v>447</v>
      </c>
      <c r="H545" s="45"/>
      <c r="I545" s="277"/>
      <c r="J545" s="277"/>
      <c r="K545" s="38">
        <v>19893440</v>
      </c>
      <c r="L545" s="39" t="s">
        <v>24</v>
      </c>
      <c r="M545" s="39" t="s">
        <v>352</v>
      </c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>x</v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>x</v>
      </c>
    </row>
    <row r="546" spans="1:29" s="226" customFormat="1" ht="15.75" customHeight="1">
      <c r="A546" s="219" t="str">
        <f>IF(B546&lt;&gt;"",IF(AND(B546&gt;=_TM1,B546&lt;=_TM2,OR(TH!L546="1111",TH!M546="1111")),TH!D546,""),"")</f>
        <v/>
      </c>
      <c r="B546" s="36">
        <f t="shared" si="14"/>
        <v>6</v>
      </c>
      <c r="C546" s="37">
        <v>41087</v>
      </c>
      <c r="D546" s="195" t="s">
        <v>1201</v>
      </c>
      <c r="E546" s="37">
        <v>41087</v>
      </c>
      <c r="F546" s="40" t="s">
        <v>1025</v>
      </c>
      <c r="G546" s="40" t="s">
        <v>1026</v>
      </c>
      <c r="H546" s="7" t="s">
        <v>564</v>
      </c>
      <c r="I546" s="277">
        <v>500</v>
      </c>
      <c r="J546" s="277">
        <v>11447</v>
      </c>
      <c r="K546" s="38">
        <v>5723500</v>
      </c>
      <c r="L546" s="39" t="s">
        <v>191</v>
      </c>
      <c r="M546" s="750" t="s">
        <v>8</v>
      </c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>x</v>
      </c>
      <c r="AC546" s="226" t="str">
        <f>IF(ISNA(VLOOKUP(F546,NXT!$C$18:$C$347,1,0)),x,"")</f>
        <v/>
      </c>
    </row>
    <row r="547" spans="1:29" s="226" customFormat="1" ht="15.75" customHeight="1">
      <c r="A547" s="219" t="str">
        <f>IF(B547&lt;&gt;"",IF(AND(B547&gt;=_TM1,B547&lt;=_TM2,OR(TH!L547="1111",TH!M547="1111")),TH!D547,""),"")</f>
        <v/>
      </c>
      <c r="B547" s="36">
        <f t="shared" si="14"/>
        <v>6</v>
      </c>
      <c r="C547" s="37">
        <v>41087</v>
      </c>
      <c r="D547" s="195" t="s">
        <v>1201</v>
      </c>
      <c r="E547" s="37">
        <v>41087</v>
      </c>
      <c r="F547" s="206" t="s">
        <v>1027</v>
      </c>
      <c r="G547" s="40" t="s">
        <v>1026</v>
      </c>
      <c r="H547" s="7" t="s">
        <v>564</v>
      </c>
      <c r="I547" s="277">
        <v>500</v>
      </c>
      <c r="J547" s="277">
        <v>12903</v>
      </c>
      <c r="K547" s="38">
        <v>6451500</v>
      </c>
      <c r="L547" s="208" t="s">
        <v>191</v>
      </c>
      <c r="M547" s="750" t="s">
        <v>8</v>
      </c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>x</v>
      </c>
      <c r="AC547" s="226" t="str">
        <f>IF(ISNA(VLOOKUP(F547,NXT!$C$18:$C$347,1,0)),x,"")</f>
        <v/>
      </c>
    </row>
    <row r="548" spans="1:29" s="226" customFormat="1" ht="15.75" customHeight="1">
      <c r="A548" s="219" t="str">
        <f>IF(B548&lt;&gt;"",IF(AND(B548&gt;=_TM1,B548&lt;=_TM2,OR(TH!L548="1111",TH!M548="1111")),TH!D548,""),"")</f>
        <v/>
      </c>
      <c r="B548" s="36">
        <f t="shared" si="14"/>
        <v>6</v>
      </c>
      <c r="C548" s="37">
        <v>41087</v>
      </c>
      <c r="D548" s="195" t="s">
        <v>1201</v>
      </c>
      <c r="E548" s="37">
        <v>41087</v>
      </c>
      <c r="F548" s="40" t="s">
        <v>650</v>
      </c>
      <c r="G548" s="627" t="s">
        <v>1026</v>
      </c>
      <c r="H548" s="7" t="s">
        <v>564</v>
      </c>
      <c r="I548" s="277"/>
      <c r="J548" s="277"/>
      <c r="K548" s="38">
        <v>1217500</v>
      </c>
      <c r="L548" s="39" t="s">
        <v>9</v>
      </c>
      <c r="M548" s="750" t="s">
        <v>8</v>
      </c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>x</v>
      </c>
    </row>
    <row r="549" spans="1:29" s="226" customFormat="1" ht="15.75" customHeight="1">
      <c r="A549" s="219" t="str">
        <f>IF(B549&lt;&gt;"",IF(AND(B549&gt;=_TM1,B549&lt;=_TM2,OR(TH!L549="1111",TH!M549="1111")),TH!D549,""),"")</f>
        <v/>
      </c>
      <c r="B549" s="36">
        <f t="shared" si="14"/>
        <v>6</v>
      </c>
      <c r="C549" s="37">
        <v>41090</v>
      </c>
      <c r="D549" s="205" t="s">
        <v>450</v>
      </c>
      <c r="E549" s="205">
        <v>41090</v>
      </c>
      <c r="F549" s="206" t="s">
        <v>530</v>
      </c>
      <c r="G549" s="628" t="s">
        <v>447</v>
      </c>
      <c r="H549" s="207"/>
      <c r="I549" s="277"/>
      <c r="J549" s="277"/>
      <c r="K549" s="38">
        <v>13431000</v>
      </c>
      <c r="L549" s="208" t="s">
        <v>24</v>
      </c>
      <c r="M549" s="208" t="s">
        <v>41</v>
      </c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>x</v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>x</v>
      </c>
    </row>
    <row r="550" spans="1:29" s="226" customFormat="1" ht="15.75" customHeight="1">
      <c r="A550" s="219" t="str">
        <f>IF(B550&lt;&gt;"",IF(AND(B550&gt;=_TM1,B550&lt;=_TM2,OR(TH!L550="1111",TH!M550="1111")),TH!D550,""),"")</f>
        <v/>
      </c>
      <c r="B550" s="36">
        <f t="shared" si="14"/>
        <v>6</v>
      </c>
      <c r="C550" s="37">
        <v>41090</v>
      </c>
      <c r="D550" s="205" t="s">
        <v>573</v>
      </c>
      <c r="E550" s="205">
        <v>41090</v>
      </c>
      <c r="F550" s="206" t="s">
        <v>528</v>
      </c>
      <c r="G550" s="628" t="s">
        <v>447</v>
      </c>
      <c r="H550" s="207" t="s">
        <v>783</v>
      </c>
      <c r="I550" s="277"/>
      <c r="J550" s="277"/>
      <c r="K550" s="38">
        <v>9000000</v>
      </c>
      <c r="L550" s="208" t="s">
        <v>24</v>
      </c>
      <c r="M550" s="208" t="s">
        <v>49</v>
      </c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>x</v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>x</v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>x</v>
      </c>
    </row>
    <row r="551" spans="1:29" s="226" customFormat="1" ht="15.75" customHeight="1">
      <c r="A551" s="219" t="str">
        <f>IF(B551&lt;&gt;"",IF(AND(B551&gt;=_TM1,B551&lt;=_TM2,OR(TH!L551="1111",TH!M551="1111")),TH!D551,""),"")</f>
        <v/>
      </c>
      <c r="B551" s="36">
        <f t="shared" si="14"/>
        <v>6</v>
      </c>
      <c r="C551" s="37">
        <v>41090</v>
      </c>
      <c r="D551" s="195" t="s">
        <v>1202</v>
      </c>
      <c r="E551" s="205">
        <v>41090</v>
      </c>
      <c r="F551" s="206" t="s">
        <v>1028</v>
      </c>
      <c r="G551" s="628" t="s">
        <v>1029</v>
      </c>
      <c r="H551" s="7" t="s">
        <v>564</v>
      </c>
      <c r="I551" s="277">
        <v>200</v>
      </c>
      <c r="J551" s="277">
        <v>8165</v>
      </c>
      <c r="K551" s="38">
        <v>1633000</v>
      </c>
      <c r="L551" s="208" t="s">
        <v>191</v>
      </c>
      <c r="M551" s="750" t="s">
        <v>8</v>
      </c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>x</v>
      </c>
      <c r="AC551" s="226" t="str">
        <f>IF(ISNA(VLOOKUP(F551,NXT!$C$18:$C$347,1,0)),x,"")</f>
        <v/>
      </c>
    </row>
    <row r="552" spans="1:29" s="226" customFormat="1" ht="15.75" customHeight="1">
      <c r="A552" s="219" t="str">
        <f>IF(B552&lt;&gt;"",IF(AND(B552&gt;=_TM1,B552&lt;=_TM2,OR(TH!L552="1111",TH!M552="1111")),TH!D552,""),"")</f>
        <v/>
      </c>
      <c r="B552" s="36">
        <f t="shared" si="14"/>
        <v>6</v>
      </c>
      <c r="C552" s="37">
        <v>41090</v>
      </c>
      <c r="D552" s="195" t="s">
        <v>1202</v>
      </c>
      <c r="E552" s="205">
        <v>41090</v>
      </c>
      <c r="F552" s="206" t="s">
        <v>921</v>
      </c>
      <c r="G552" s="628" t="s">
        <v>1029</v>
      </c>
      <c r="H552" s="7" t="s">
        <v>564</v>
      </c>
      <c r="I552" s="277">
        <v>250</v>
      </c>
      <c r="J552" s="277">
        <v>10653</v>
      </c>
      <c r="K552" s="38">
        <v>2663250</v>
      </c>
      <c r="L552" s="208" t="s">
        <v>191</v>
      </c>
      <c r="M552" s="750" t="s">
        <v>8</v>
      </c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>x</v>
      </c>
      <c r="AC552" s="226" t="str">
        <f>IF(ISNA(VLOOKUP(F552,NXT!$C$18:$C$347,1,0)),x,"")</f>
        <v/>
      </c>
    </row>
    <row r="553" spans="1:29" s="226" customFormat="1" ht="15.75" customHeight="1">
      <c r="A553" s="219" t="str">
        <f>IF(B553&lt;&gt;"",IF(AND(B553&gt;=_TM1,B553&lt;=_TM2,OR(TH!L553="1111",TH!M553="1111")),TH!D553,""),"")</f>
        <v/>
      </c>
      <c r="B553" s="36">
        <f t="shared" si="14"/>
        <v>6</v>
      </c>
      <c r="C553" s="37">
        <v>41090</v>
      </c>
      <c r="D553" s="195" t="s">
        <v>1202</v>
      </c>
      <c r="E553" s="205">
        <v>41090</v>
      </c>
      <c r="F553" s="206" t="s">
        <v>1030</v>
      </c>
      <c r="G553" s="628" t="s">
        <v>1029</v>
      </c>
      <c r="H553" s="7" t="s">
        <v>564</v>
      </c>
      <c r="I553" s="277">
        <v>350</v>
      </c>
      <c r="J553" s="277">
        <v>16128</v>
      </c>
      <c r="K553" s="38">
        <v>5644800</v>
      </c>
      <c r="L553" s="208" t="s">
        <v>191</v>
      </c>
      <c r="M553" s="750" t="s">
        <v>8</v>
      </c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>x</v>
      </c>
      <c r="AC553" s="226" t="str">
        <f>IF(ISNA(VLOOKUP(F553,NXT!$C$18:$C$347,1,0)),x,"")</f>
        <v/>
      </c>
    </row>
    <row r="554" spans="1:29" s="226" customFormat="1" ht="15.75" customHeight="1">
      <c r="A554" s="219" t="str">
        <f>IF(B554&lt;&gt;"",IF(AND(B554&gt;=_TM1,B554&lt;=_TM2,OR(TH!L554="1111",TH!M554="1111")),TH!D554,""),"")</f>
        <v/>
      </c>
      <c r="B554" s="36">
        <f t="shared" si="14"/>
        <v>6</v>
      </c>
      <c r="C554" s="37">
        <v>41090</v>
      </c>
      <c r="D554" s="195" t="s">
        <v>1202</v>
      </c>
      <c r="E554" s="205">
        <v>41090</v>
      </c>
      <c r="F554" s="206" t="s">
        <v>861</v>
      </c>
      <c r="G554" s="628" t="s">
        <v>1029</v>
      </c>
      <c r="H554" s="7" t="s">
        <v>564</v>
      </c>
      <c r="I554" s="277">
        <v>250</v>
      </c>
      <c r="J554" s="277">
        <v>17722</v>
      </c>
      <c r="K554" s="38">
        <v>4430500</v>
      </c>
      <c r="L554" s="208" t="s">
        <v>191</v>
      </c>
      <c r="M554" s="750" t="s">
        <v>8</v>
      </c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>x</v>
      </c>
      <c r="AC554" s="226" t="str">
        <f>IF(ISNA(VLOOKUP(F554,NXT!$C$18:$C$347,1,0)),x,"")</f>
        <v/>
      </c>
    </row>
    <row r="555" spans="1:29" s="226" customFormat="1" ht="15.75" customHeight="1">
      <c r="A555" s="219" t="str">
        <f>IF(B555&lt;&gt;"",IF(AND(B555&gt;=_TM1,B555&lt;=_TM2,OR(TH!L555="1111",TH!M555="1111")),TH!D555,""),"")</f>
        <v/>
      </c>
      <c r="B555" s="36">
        <f t="shared" si="14"/>
        <v>6</v>
      </c>
      <c r="C555" s="37">
        <v>41090</v>
      </c>
      <c r="D555" s="195" t="s">
        <v>1202</v>
      </c>
      <c r="E555" s="205">
        <v>41090</v>
      </c>
      <c r="F555" s="206" t="s">
        <v>1031</v>
      </c>
      <c r="G555" s="628" t="s">
        <v>1029</v>
      </c>
      <c r="H555" s="7" t="s">
        <v>564</v>
      </c>
      <c r="I555" s="277">
        <v>170</v>
      </c>
      <c r="J555" s="277">
        <v>14221</v>
      </c>
      <c r="K555" s="38">
        <v>2417570</v>
      </c>
      <c r="L555" s="208" t="s">
        <v>191</v>
      </c>
      <c r="M555" s="750" t="s">
        <v>8</v>
      </c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>x</v>
      </c>
      <c r="AC555" s="226" t="str">
        <f>IF(ISNA(VLOOKUP(F555,NXT!$C$18:$C$347,1,0)),x,"")</f>
        <v/>
      </c>
    </row>
    <row r="556" spans="1:29" s="226" customFormat="1" ht="15.75" customHeight="1">
      <c r="A556" s="219" t="str">
        <f>IF(B556&lt;&gt;"",IF(AND(B556&gt;=_TM1,B556&lt;=_TM2,OR(TH!L556="1111",TH!M556="1111")),TH!D556,""),"")</f>
        <v/>
      </c>
      <c r="B556" s="36">
        <f t="shared" si="14"/>
        <v>6</v>
      </c>
      <c r="C556" s="37">
        <v>41090</v>
      </c>
      <c r="D556" s="195" t="s">
        <v>1202</v>
      </c>
      <c r="E556" s="205">
        <v>41090</v>
      </c>
      <c r="F556" s="206" t="s">
        <v>650</v>
      </c>
      <c r="G556" s="628" t="s">
        <v>1029</v>
      </c>
      <c r="H556" s="7" t="s">
        <v>564</v>
      </c>
      <c r="I556" s="277"/>
      <c r="J556" s="277"/>
      <c r="K556" s="38">
        <v>1678912</v>
      </c>
      <c r="L556" s="208" t="s">
        <v>9</v>
      </c>
      <c r="M556" s="750" t="s">
        <v>8</v>
      </c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>x</v>
      </c>
    </row>
    <row r="557" spans="1:29" s="226" customFormat="1" ht="15.75" customHeight="1">
      <c r="A557" s="219" t="str">
        <f>IF(B557&lt;&gt;"",IF(AND(B557&gt;=_TM1,B557&lt;=_TM2,OR(TH!L557="1111",TH!M557="1111")),TH!D557,""),"")</f>
        <v/>
      </c>
      <c r="B557" s="36">
        <f t="shared" si="14"/>
        <v>7</v>
      </c>
      <c r="C557" s="37">
        <v>41092</v>
      </c>
      <c r="D557" s="205" t="s">
        <v>451</v>
      </c>
      <c r="E557" s="205">
        <v>41092</v>
      </c>
      <c r="F557" s="206" t="s">
        <v>532</v>
      </c>
      <c r="G557" s="628" t="s">
        <v>447</v>
      </c>
      <c r="H557" s="207"/>
      <c r="I557" s="277"/>
      <c r="J557" s="277"/>
      <c r="K557" s="38">
        <v>9592000</v>
      </c>
      <c r="L557" s="208" t="s">
        <v>8</v>
      </c>
      <c r="M557" s="208" t="s">
        <v>24</v>
      </c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>x</v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29" s="226" customFormat="1" ht="15.75" customHeight="1">
      <c r="A558" s="219" t="str">
        <f>IF(B558&lt;&gt;"",IF(AND(B558&gt;=_TM1,B558&lt;=_TM2,OR(TH!L558="1111",TH!M558="1111")),TH!D558,""),"")</f>
        <v/>
      </c>
      <c r="B558" s="36">
        <f t="shared" si="14"/>
        <v>7</v>
      </c>
      <c r="C558" s="37">
        <v>41092</v>
      </c>
      <c r="D558" s="205" t="s">
        <v>451</v>
      </c>
      <c r="E558" s="205">
        <v>41092</v>
      </c>
      <c r="F558" s="206" t="s">
        <v>532</v>
      </c>
      <c r="G558" s="628" t="s">
        <v>447</v>
      </c>
      <c r="H558" s="207"/>
      <c r="I558" s="277"/>
      <c r="J558" s="277"/>
      <c r="K558" s="38">
        <v>75924100</v>
      </c>
      <c r="L558" s="208" t="s">
        <v>8</v>
      </c>
      <c r="M558" s="208" t="s">
        <v>24</v>
      </c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>x</v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29" s="226" customFormat="1" ht="15.75" customHeight="1">
      <c r="A559" s="219" t="str">
        <f>IF(B559&lt;&gt;"",IF(AND(B559&gt;=_TM1,B559&lt;=_TM2,OR(TH!L559="1111",TH!M559="1111")),TH!D559,""),"")</f>
        <v/>
      </c>
      <c r="B559" s="36">
        <f t="shared" si="14"/>
        <v>7</v>
      </c>
      <c r="C559" s="37">
        <v>41092</v>
      </c>
      <c r="D559" s="205" t="s">
        <v>451</v>
      </c>
      <c r="E559" s="205">
        <v>41092</v>
      </c>
      <c r="F559" s="206" t="s">
        <v>453</v>
      </c>
      <c r="G559" s="628" t="s">
        <v>447</v>
      </c>
      <c r="H559" s="207"/>
      <c r="I559" s="277"/>
      <c r="J559" s="277"/>
      <c r="K559" s="38">
        <v>37962</v>
      </c>
      <c r="L559" s="208" t="s">
        <v>87</v>
      </c>
      <c r="M559" s="208" t="s">
        <v>24</v>
      </c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>x</v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29" s="226" customFormat="1" ht="15.75" customHeight="1">
      <c r="A560" s="219" t="str">
        <f>IF(B560&lt;&gt;"",IF(AND(B560&gt;=_TM1,B560&lt;=_TM2,OR(TH!L560="1111",TH!M560="1111")),TH!D560,""),"")</f>
        <v/>
      </c>
      <c r="B560" s="36">
        <f t="shared" si="14"/>
        <v>7</v>
      </c>
      <c r="C560" s="37">
        <v>41092</v>
      </c>
      <c r="D560" s="205" t="s">
        <v>451</v>
      </c>
      <c r="E560" s="205">
        <v>41092</v>
      </c>
      <c r="F560" s="206" t="s">
        <v>942</v>
      </c>
      <c r="G560" s="628" t="s">
        <v>447</v>
      </c>
      <c r="H560" s="207"/>
      <c r="I560" s="277"/>
      <c r="J560" s="277"/>
      <c r="K560" s="38">
        <v>10000</v>
      </c>
      <c r="L560" s="208" t="s">
        <v>87</v>
      </c>
      <c r="M560" s="208" t="s">
        <v>24</v>
      </c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>x</v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29" s="226" customFormat="1" ht="15.75" customHeight="1">
      <c r="A561" s="219" t="str">
        <f>IF(B561&lt;&gt;"",IF(AND(B561&gt;=_TM1,B561&lt;=_TM2,OR(TH!L561="1111",TH!M561="1111")),TH!D561,""),"")</f>
        <v/>
      </c>
      <c r="B561" s="36">
        <f t="shared" si="14"/>
        <v>7</v>
      </c>
      <c r="C561" s="37">
        <v>41092</v>
      </c>
      <c r="D561" s="205" t="s">
        <v>590</v>
      </c>
      <c r="E561" s="37">
        <v>41092</v>
      </c>
      <c r="F561" s="40" t="s">
        <v>645</v>
      </c>
      <c r="G561" s="628" t="s">
        <v>1032</v>
      </c>
      <c r="H561" s="7" t="s">
        <v>564</v>
      </c>
      <c r="I561" s="277">
        <v>150</v>
      </c>
      <c r="J561" s="277">
        <v>11227</v>
      </c>
      <c r="K561" s="38">
        <v>1684050</v>
      </c>
      <c r="L561" s="39" t="s">
        <v>191</v>
      </c>
      <c r="M561" s="750" t="s">
        <v>8</v>
      </c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  <c r="AC561" s="226" t="str">
        <f>IF(ISNA(VLOOKUP(F561,NXT!$C$18:$C$347,1,0)),x,"")</f>
        <v/>
      </c>
    </row>
    <row r="562" spans="1:29" s="226" customFormat="1" ht="15.75" customHeight="1">
      <c r="A562" s="219" t="str">
        <f>IF(B562&lt;&gt;"",IF(AND(B562&gt;=_TM1,B562&lt;=_TM2,OR(TH!L562="1111",TH!M562="1111")),TH!D562,""),"")</f>
        <v/>
      </c>
      <c r="B562" s="36">
        <f t="shared" ref="B562:B567" si="15">IF(C562&lt;&gt;"",MONTH(C562),"")</f>
        <v>7</v>
      </c>
      <c r="C562" s="37">
        <v>41092</v>
      </c>
      <c r="D562" s="205" t="s">
        <v>590</v>
      </c>
      <c r="E562" s="37">
        <v>41092</v>
      </c>
      <c r="F562" s="40" t="s">
        <v>1033</v>
      </c>
      <c r="G562" s="628" t="s">
        <v>1032</v>
      </c>
      <c r="H562" s="7" t="s">
        <v>564</v>
      </c>
      <c r="I562" s="277">
        <v>500</v>
      </c>
      <c r="J562" s="277">
        <v>9377</v>
      </c>
      <c r="K562" s="38">
        <v>4688500</v>
      </c>
      <c r="L562" s="39" t="s">
        <v>191</v>
      </c>
      <c r="M562" s="750" t="s">
        <v>8</v>
      </c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  <c r="AC562" s="226" t="str">
        <f>IF(ISNA(VLOOKUP(F562,NXT!$C$18:$C$347,1,0)),x,"")</f>
        <v/>
      </c>
    </row>
    <row r="563" spans="1:29" s="226" customFormat="1" ht="15.75" customHeight="1">
      <c r="A563" s="219" t="str">
        <f>IF(B563&lt;&gt;"",IF(AND(B563&gt;=_TM1,B563&lt;=_TM2,OR(TH!L563="1111",TH!M563="1111")),TH!D563,""),"")</f>
        <v/>
      </c>
      <c r="B563" s="36">
        <f t="shared" si="15"/>
        <v>7</v>
      </c>
      <c r="C563" s="37">
        <v>41092</v>
      </c>
      <c r="D563" s="205" t="s">
        <v>590</v>
      </c>
      <c r="E563" s="37">
        <v>41092</v>
      </c>
      <c r="F563" s="40" t="s">
        <v>1034</v>
      </c>
      <c r="G563" s="628" t="s">
        <v>1032</v>
      </c>
      <c r="H563" s="7" t="s">
        <v>564</v>
      </c>
      <c r="I563" s="277">
        <v>110</v>
      </c>
      <c r="J563" s="277">
        <v>13590</v>
      </c>
      <c r="K563" s="38">
        <v>1494900</v>
      </c>
      <c r="L563" s="39" t="s">
        <v>191</v>
      </c>
      <c r="M563" s="750" t="s">
        <v>8</v>
      </c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  <c r="AC563" s="226" t="str">
        <f>IF(ISNA(VLOOKUP(F563,NXT!$C$18:$C$347,1,0)),x,"")</f>
        <v/>
      </c>
    </row>
    <row r="564" spans="1:29" s="226" customFormat="1" ht="15.75" customHeight="1">
      <c r="A564" s="219" t="str">
        <f>IF(B564&lt;&gt;"",IF(AND(B564&gt;=_TM1,B564&lt;=_TM2,OR(TH!L564="1111",TH!M564="1111")),TH!D564,""),"")</f>
        <v/>
      </c>
      <c r="B564" s="36">
        <f t="shared" si="15"/>
        <v>7</v>
      </c>
      <c r="C564" s="37">
        <v>41092</v>
      </c>
      <c r="D564" s="205" t="s">
        <v>590</v>
      </c>
      <c r="E564" s="37">
        <v>41092</v>
      </c>
      <c r="F564" s="40" t="s">
        <v>1035</v>
      </c>
      <c r="G564" s="628" t="s">
        <v>1032</v>
      </c>
      <c r="H564" s="7" t="s">
        <v>564</v>
      </c>
      <c r="I564" s="277">
        <v>150</v>
      </c>
      <c r="J564" s="277">
        <v>20776</v>
      </c>
      <c r="K564" s="38">
        <v>3116400</v>
      </c>
      <c r="L564" s="39" t="s">
        <v>191</v>
      </c>
      <c r="M564" s="750" t="s">
        <v>8</v>
      </c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  <c r="AC564" s="226" t="str">
        <f>IF(ISNA(VLOOKUP(F564,NXT!$C$18:$C$347,1,0)),x,"")</f>
        <v/>
      </c>
    </row>
    <row r="565" spans="1:29" s="226" customFormat="1" ht="15.75" customHeight="1">
      <c r="A565" s="219" t="str">
        <f>IF(B565&lt;&gt;"",IF(AND(B565&gt;=_TM1,B565&lt;=_TM2,OR(TH!L565="1111",TH!M565="1111")),TH!D565,""),"")</f>
        <v/>
      </c>
      <c r="B565" s="36">
        <f t="shared" si="15"/>
        <v>7</v>
      </c>
      <c r="C565" s="37">
        <v>41092</v>
      </c>
      <c r="D565" s="205" t="s">
        <v>590</v>
      </c>
      <c r="E565" s="37">
        <v>41092</v>
      </c>
      <c r="F565" s="40" t="s">
        <v>929</v>
      </c>
      <c r="G565" s="628" t="s">
        <v>1032</v>
      </c>
      <c r="H565" s="7" t="s">
        <v>564</v>
      </c>
      <c r="I565" s="277">
        <v>205</v>
      </c>
      <c r="J565" s="277">
        <v>21119</v>
      </c>
      <c r="K565" s="38">
        <v>4329395</v>
      </c>
      <c r="L565" s="39" t="s">
        <v>191</v>
      </c>
      <c r="M565" s="750" t="s">
        <v>8</v>
      </c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  <c r="AC565" s="226" t="str">
        <f>IF(ISNA(VLOOKUP(F565,NXT!$C$18:$C$347,1,0)),x,"")</f>
        <v/>
      </c>
    </row>
    <row r="566" spans="1:29" s="226" customFormat="1" ht="15.75" customHeight="1">
      <c r="A566" s="219" t="str">
        <f>IF(B566&lt;&gt;"",IF(AND(B566&gt;=_TM1,B566&lt;=_TM2,OR(TH!L566="1111",TH!M566="1111")),TH!D566,""),"")</f>
        <v/>
      </c>
      <c r="B566" s="36">
        <f t="shared" si="15"/>
        <v>7</v>
      </c>
      <c r="C566" s="37">
        <v>41092</v>
      </c>
      <c r="D566" s="205" t="s">
        <v>590</v>
      </c>
      <c r="E566" s="37">
        <v>41092</v>
      </c>
      <c r="F566" s="40" t="s">
        <v>650</v>
      </c>
      <c r="G566" s="628" t="s">
        <v>1032</v>
      </c>
      <c r="H566" s="7" t="s">
        <v>564</v>
      </c>
      <c r="I566" s="277"/>
      <c r="J566" s="277"/>
      <c r="K566" s="38">
        <v>1531325</v>
      </c>
      <c r="L566" s="39" t="s">
        <v>9</v>
      </c>
      <c r="M566" s="750" t="s">
        <v>8</v>
      </c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29" s="226" customFormat="1" ht="15.75" customHeight="1">
      <c r="A567" s="219" t="str">
        <f>IF(B567&lt;&gt;"",IF(AND(B567&gt;=_TM1,B567&lt;=_TM2,OR(TH!L567="1111",TH!M567="1111")),TH!D567,""),"")</f>
        <v/>
      </c>
      <c r="B567" s="36">
        <f t="shared" si="15"/>
        <v>7</v>
      </c>
      <c r="C567" s="37">
        <v>41093</v>
      </c>
      <c r="D567" s="205" t="s">
        <v>542</v>
      </c>
      <c r="E567" s="37">
        <v>41093</v>
      </c>
      <c r="F567" s="40" t="s">
        <v>804</v>
      </c>
      <c r="G567" s="628" t="s">
        <v>1036</v>
      </c>
      <c r="H567" s="45" t="s">
        <v>533</v>
      </c>
      <c r="I567" s="277"/>
      <c r="J567" s="277"/>
      <c r="K567" s="38">
        <v>2600000</v>
      </c>
      <c r="L567" s="39" t="s">
        <v>199</v>
      </c>
      <c r="M567" s="39" t="s">
        <v>49</v>
      </c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>x</v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29" s="226" customFormat="1" ht="15.75" customHeight="1">
      <c r="A568" s="219" t="str">
        <f>IF(B568&lt;&gt;"",IF(AND(B568&gt;=_TM1,B568&lt;=_TM2,OR(TH!L568="1111",TH!M568="1111")),TH!D568,""),"")</f>
        <v/>
      </c>
      <c r="B568" s="36">
        <f t="shared" si="14"/>
        <v>7</v>
      </c>
      <c r="C568" s="37">
        <v>41093</v>
      </c>
      <c r="D568" s="205" t="s">
        <v>542</v>
      </c>
      <c r="E568" s="37">
        <v>41093</v>
      </c>
      <c r="F568" s="40" t="s">
        <v>459</v>
      </c>
      <c r="G568" s="628" t="s">
        <v>1036</v>
      </c>
      <c r="H568" s="45" t="s">
        <v>533</v>
      </c>
      <c r="I568" s="277"/>
      <c r="J568" s="277"/>
      <c r="K568" s="38">
        <v>260000</v>
      </c>
      <c r="L568" s="39" t="s">
        <v>9</v>
      </c>
      <c r="M568" s="39" t="s">
        <v>49</v>
      </c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>x</v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29" s="226" customFormat="1" ht="15.75" customHeight="1">
      <c r="A569" s="219" t="str">
        <f>IF(B569&lt;&gt;"",IF(AND(B569&gt;=_TM1,B569&lt;=_TM2,OR(TH!L569="1111",TH!M569="1111")),TH!D569,""),"")</f>
        <v/>
      </c>
      <c r="B569" s="36">
        <f t="shared" si="14"/>
        <v>7</v>
      </c>
      <c r="C569" s="37">
        <v>41093</v>
      </c>
      <c r="D569" s="205" t="s">
        <v>591</v>
      </c>
      <c r="E569" s="205">
        <v>41093</v>
      </c>
      <c r="F569" s="206" t="s">
        <v>1037</v>
      </c>
      <c r="G569" s="206" t="s">
        <v>1038</v>
      </c>
      <c r="H569" s="7" t="s">
        <v>564</v>
      </c>
      <c r="I569" s="277">
        <v>350</v>
      </c>
      <c r="J569" s="277">
        <v>14456</v>
      </c>
      <c r="K569" s="38">
        <v>5059600</v>
      </c>
      <c r="L569" s="208" t="s">
        <v>191</v>
      </c>
      <c r="M569" s="750" t="s">
        <v>8</v>
      </c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  <c r="AC569" s="226" t="str">
        <f>IF(ISNA(VLOOKUP(F569,NXT!$C$18:$C$347,1,0)),x,"")</f>
        <v/>
      </c>
    </row>
    <row r="570" spans="1:29" s="226" customFormat="1" ht="15.75" customHeight="1">
      <c r="A570" s="219" t="str">
        <f>IF(B570&lt;&gt;"",IF(AND(B570&gt;=_TM1,B570&lt;=_TM2,OR(TH!L570="1111",TH!M570="1111")),TH!D570,""),"")</f>
        <v/>
      </c>
      <c r="B570" s="36">
        <f t="shared" si="14"/>
        <v>7</v>
      </c>
      <c r="C570" s="37">
        <v>41093</v>
      </c>
      <c r="D570" s="205" t="s">
        <v>591</v>
      </c>
      <c r="E570" s="205">
        <v>41093</v>
      </c>
      <c r="F570" s="40" t="s">
        <v>1039</v>
      </c>
      <c r="G570" s="40" t="s">
        <v>1038</v>
      </c>
      <c r="H570" s="7" t="s">
        <v>564</v>
      </c>
      <c r="I570" s="277">
        <v>250</v>
      </c>
      <c r="J570" s="277">
        <v>13999</v>
      </c>
      <c r="K570" s="38">
        <v>3499750</v>
      </c>
      <c r="L570" s="39" t="s">
        <v>191</v>
      </c>
      <c r="M570" s="750" t="s">
        <v>8</v>
      </c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  <c r="AC570" s="226" t="str">
        <f>IF(ISNA(VLOOKUP(F570,NXT!$C$18:$C$347,1,0)),x,"")</f>
        <v/>
      </c>
    </row>
    <row r="571" spans="1:29" s="226" customFormat="1" ht="15.75" customHeight="1">
      <c r="A571" s="219" t="str">
        <f>IF(B571&lt;&gt;"",IF(AND(B571&gt;=_TM1,B571&lt;=_TM2,OR(TH!L571="1111",TH!M571="1111")),TH!D571,""),"")</f>
        <v/>
      </c>
      <c r="B571" s="36">
        <f t="shared" si="14"/>
        <v>7</v>
      </c>
      <c r="C571" s="37">
        <v>41093</v>
      </c>
      <c r="D571" s="205" t="s">
        <v>591</v>
      </c>
      <c r="E571" s="205">
        <v>41093</v>
      </c>
      <c r="F571" s="40" t="s">
        <v>1040</v>
      </c>
      <c r="G571" s="628" t="s">
        <v>1038</v>
      </c>
      <c r="H571" s="7" t="s">
        <v>564</v>
      </c>
      <c r="I571" s="277">
        <v>250</v>
      </c>
      <c r="J571" s="277">
        <v>13619</v>
      </c>
      <c r="K571" s="38">
        <v>3404750</v>
      </c>
      <c r="L571" s="208" t="s">
        <v>191</v>
      </c>
      <c r="M571" s="750" t="s">
        <v>8</v>
      </c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  <c r="AC571" s="226" t="str">
        <f>IF(ISNA(VLOOKUP(F571,NXT!$C$18:$C$347,1,0)),x,"")</f>
        <v/>
      </c>
    </row>
    <row r="572" spans="1:29" s="226" customFormat="1" ht="15.75" customHeight="1">
      <c r="A572" s="219" t="str">
        <f>IF(B572&lt;&gt;"",IF(AND(B572&gt;=_TM1,B572&lt;=_TM2,OR(TH!L572="1111",TH!M572="1111")),TH!D572,""),"")</f>
        <v/>
      </c>
      <c r="B572" s="36">
        <f t="shared" si="14"/>
        <v>7</v>
      </c>
      <c r="C572" s="37">
        <v>41093</v>
      </c>
      <c r="D572" s="205" t="s">
        <v>591</v>
      </c>
      <c r="E572" s="205">
        <v>41093</v>
      </c>
      <c r="F572" s="40" t="s">
        <v>650</v>
      </c>
      <c r="G572" s="628" t="s">
        <v>1038</v>
      </c>
      <c r="H572" s="7" t="s">
        <v>564</v>
      </c>
      <c r="I572" s="277"/>
      <c r="J572" s="277"/>
      <c r="K572" s="38">
        <v>1196410</v>
      </c>
      <c r="L572" s="208" t="s">
        <v>9</v>
      </c>
      <c r="M572" s="750" t="s">
        <v>8</v>
      </c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29" s="226" customFormat="1" ht="15.75" customHeight="1">
      <c r="A573" s="219" t="str">
        <f>IF(B573&lt;&gt;"",IF(AND(B573&gt;=_TM1,B573&lt;=_TM2,OR(TH!L573="1111",TH!M573="1111")),TH!D573,""),"")</f>
        <v/>
      </c>
      <c r="B573" s="36">
        <f t="shared" si="14"/>
        <v>7</v>
      </c>
      <c r="C573" s="37">
        <v>41095</v>
      </c>
      <c r="D573" s="205" t="s">
        <v>450</v>
      </c>
      <c r="E573" s="205">
        <v>41095</v>
      </c>
      <c r="F573" s="40" t="s">
        <v>452</v>
      </c>
      <c r="G573" s="628" t="s">
        <v>447</v>
      </c>
      <c r="H573" s="207"/>
      <c r="I573" s="277"/>
      <c r="J573" s="277"/>
      <c r="K573" s="38">
        <v>5000000</v>
      </c>
      <c r="L573" s="208" t="s">
        <v>24</v>
      </c>
      <c r="M573" s="39" t="s">
        <v>352</v>
      </c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>x</v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</row>
    <row r="574" spans="1:29" s="226" customFormat="1" ht="15.75" customHeight="1">
      <c r="A574" s="219" t="str">
        <f>IF(B574&lt;&gt;"",IF(AND(B574&gt;=_TM1,B574&lt;=_TM2,OR(TH!L574="1111",TH!M574="1111")),TH!D574,""),"")</f>
        <v/>
      </c>
      <c r="B574" s="36">
        <f t="shared" si="14"/>
        <v>7</v>
      </c>
      <c r="C574" s="37">
        <v>41095</v>
      </c>
      <c r="D574" s="205" t="s">
        <v>592</v>
      </c>
      <c r="E574" s="205">
        <v>41095</v>
      </c>
      <c r="F574" s="40" t="s">
        <v>1041</v>
      </c>
      <c r="G574" s="628" t="s">
        <v>1042</v>
      </c>
      <c r="H574" s="7" t="s">
        <v>564</v>
      </c>
      <c r="I574" s="277">
        <v>340</v>
      </c>
      <c r="J574" s="277">
        <v>13507</v>
      </c>
      <c r="K574" s="38">
        <v>4592380</v>
      </c>
      <c r="L574" s="208" t="s">
        <v>191</v>
      </c>
      <c r="M574" s="750" t="s">
        <v>8</v>
      </c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  <c r="AC574" s="226" t="str">
        <f>IF(ISNA(VLOOKUP(F574,NXT!$C$18:$C$347,1,0)),x,"")</f>
        <v/>
      </c>
    </row>
    <row r="575" spans="1:29" s="226" customFormat="1" ht="15.75" customHeight="1">
      <c r="A575" s="219" t="str">
        <f>IF(B575&lt;&gt;"",IF(AND(B575&gt;=_TM1,B575&lt;=_TM2,OR(TH!L575="1111",TH!M575="1111")),TH!D575,""),"")</f>
        <v/>
      </c>
      <c r="B575" s="36">
        <f t="shared" si="14"/>
        <v>7</v>
      </c>
      <c r="C575" s="37">
        <v>41095</v>
      </c>
      <c r="D575" s="205" t="s">
        <v>592</v>
      </c>
      <c r="E575" s="205">
        <v>41095</v>
      </c>
      <c r="F575" s="40" t="s">
        <v>857</v>
      </c>
      <c r="G575" s="628" t="s">
        <v>1042</v>
      </c>
      <c r="H575" s="7" t="s">
        <v>564</v>
      </c>
      <c r="I575" s="277">
        <v>510</v>
      </c>
      <c r="J575" s="277">
        <v>23149</v>
      </c>
      <c r="K575" s="38">
        <v>11805990</v>
      </c>
      <c r="L575" s="208" t="s">
        <v>191</v>
      </c>
      <c r="M575" s="750" t="s">
        <v>8</v>
      </c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  <c r="AC575" s="226" t="str">
        <f>IF(ISNA(VLOOKUP(F575,NXT!$C$18:$C$347,1,0)),x,"")</f>
        <v/>
      </c>
    </row>
    <row r="576" spans="1:29" s="226" customFormat="1" ht="15.75" customHeight="1">
      <c r="A576" s="219" t="str">
        <f>IF(B576&lt;&gt;"",IF(AND(B576&gt;=_TM1,B576&lt;=_TM2,OR(TH!L576="1111",TH!M576="1111")),TH!D576,""),"")</f>
        <v/>
      </c>
      <c r="B576" s="36">
        <f t="shared" si="14"/>
        <v>7</v>
      </c>
      <c r="C576" s="37">
        <v>41095</v>
      </c>
      <c r="D576" s="205" t="s">
        <v>592</v>
      </c>
      <c r="E576" s="205">
        <v>41095</v>
      </c>
      <c r="F576" s="40" t="s">
        <v>650</v>
      </c>
      <c r="G576" s="628" t="s">
        <v>1042</v>
      </c>
      <c r="H576" s="7" t="s">
        <v>564</v>
      </c>
      <c r="I576" s="277"/>
      <c r="J576" s="277"/>
      <c r="K576" s="38">
        <v>1639837</v>
      </c>
      <c r="L576" s="208" t="s">
        <v>9</v>
      </c>
      <c r="M576" s="750" t="s">
        <v>8</v>
      </c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29" s="226" customFormat="1" ht="15.75" customHeight="1">
      <c r="A577" s="219" t="str">
        <f>IF(B577&lt;&gt;"",IF(AND(B577&gt;=_TM1,B577&lt;=_TM2,OR(TH!L577="1111",TH!M577="1111")),TH!D577,""),"")</f>
        <v/>
      </c>
      <c r="B577" s="36">
        <f t="shared" si="14"/>
        <v>7</v>
      </c>
      <c r="C577" s="37">
        <v>41099</v>
      </c>
      <c r="D577" s="205" t="s">
        <v>450</v>
      </c>
      <c r="E577" s="205">
        <v>41099</v>
      </c>
      <c r="F577" s="206" t="s">
        <v>452</v>
      </c>
      <c r="G577" s="628" t="s">
        <v>447</v>
      </c>
      <c r="H577" s="207"/>
      <c r="I577" s="277"/>
      <c r="J577" s="277"/>
      <c r="K577" s="38">
        <v>100000000</v>
      </c>
      <c r="L577" s="208" t="s">
        <v>24</v>
      </c>
      <c r="M577" s="39" t="s">
        <v>352</v>
      </c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>x</v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</row>
    <row r="578" spans="1:29" s="226" customFormat="1" ht="15.75" customHeight="1">
      <c r="A578" s="219" t="str">
        <f>IF(B578&lt;&gt;"",IF(AND(B578&gt;=_TM1,B578&lt;=_TM2,OR(TH!L578="1111",TH!M578="1111")),TH!D578,""),"")</f>
        <v/>
      </c>
      <c r="B578" s="36">
        <f t="shared" si="14"/>
        <v>7</v>
      </c>
      <c r="C578" s="37">
        <v>41099</v>
      </c>
      <c r="D578" s="205" t="s">
        <v>587</v>
      </c>
      <c r="E578" s="37">
        <v>41099</v>
      </c>
      <c r="F578" s="40" t="s">
        <v>535</v>
      </c>
      <c r="G578" s="628" t="s">
        <v>1043</v>
      </c>
      <c r="H578" s="45" t="s">
        <v>537</v>
      </c>
      <c r="I578" s="277">
        <v>100</v>
      </c>
      <c r="J578" s="277">
        <v>25000</v>
      </c>
      <c r="K578" s="38">
        <v>2500000</v>
      </c>
      <c r="L578" s="39" t="s">
        <v>193</v>
      </c>
      <c r="M578" s="750" t="s">
        <v>8</v>
      </c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>x</v>
      </c>
      <c r="Z578" s="55" t="str">
        <f>IF(AND(OR(LEFT(TH!L578,2)="15",LEFT(TH!M578,2)="15"),TK!$E$7=TH!F578),"x","")</f>
        <v>x</v>
      </c>
      <c r="AA578" s="55" t="str">
        <f>IF(AND(B578&lt;=NKC!$N$8,B578&gt;=NKC!$M$8),"x","")</f>
        <v/>
      </c>
    </row>
    <row r="579" spans="1:29" s="226" customFormat="1" ht="15.75" customHeight="1">
      <c r="A579" s="219" t="str">
        <f>IF(B579&lt;&gt;"",IF(AND(B579&gt;=_TM1,B579&lt;=_TM2,OR(TH!L579="1111",TH!M579="1111")),TH!D579,""),"")</f>
        <v/>
      </c>
      <c r="B579" s="36">
        <f t="shared" si="14"/>
        <v>7</v>
      </c>
      <c r="C579" s="37">
        <v>41099</v>
      </c>
      <c r="D579" s="205" t="s">
        <v>587</v>
      </c>
      <c r="E579" s="37">
        <v>41099</v>
      </c>
      <c r="F579" s="40" t="s">
        <v>536</v>
      </c>
      <c r="G579" s="628" t="s">
        <v>1043</v>
      </c>
      <c r="H579" s="45" t="s">
        <v>537</v>
      </c>
      <c r="I579" s="277"/>
      <c r="J579" s="277"/>
      <c r="K579" s="38">
        <v>250000</v>
      </c>
      <c r="L579" s="39" t="s">
        <v>9</v>
      </c>
      <c r="M579" s="750" t="s">
        <v>8</v>
      </c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29" s="226" customFormat="1" ht="15.75" customHeight="1">
      <c r="A580" s="219" t="str">
        <f>IF(B580&lt;&gt;"",IF(AND(B580&gt;=_TM1,B580&lt;=_TM2,OR(TH!L580="1111",TH!M580="1111")),TH!D580,""),"")</f>
        <v/>
      </c>
      <c r="B580" s="36">
        <f t="shared" si="14"/>
        <v>7</v>
      </c>
      <c r="C580" s="37">
        <v>41099</v>
      </c>
      <c r="D580" s="205" t="s">
        <v>543</v>
      </c>
      <c r="E580" s="37">
        <v>41099</v>
      </c>
      <c r="F580" s="40" t="s">
        <v>532</v>
      </c>
      <c r="G580" s="40" t="s">
        <v>1043</v>
      </c>
      <c r="H580" s="225" t="s">
        <v>537</v>
      </c>
      <c r="I580" s="277"/>
      <c r="J580" s="277"/>
      <c r="K580" s="38">
        <v>2750000</v>
      </c>
      <c r="L580" s="39" t="s">
        <v>8</v>
      </c>
      <c r="M580" s="39" t="s">
        <v>49</v>
      </c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>x</v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29" s="226" customFormat="1" ht="15.75" customHeight="1">
      <c r="A581" s="219" t="str">
        <f>IF(B581&lt;&gt;"",IF(AND(B581&gt;=_TM1,B581&lt;=_TM2,OR(TH!L581="1111",TH!M581="1111")),TH!D581,""),"")</f>
        <v/>
      </c>
      <c r="B581" s="36">
        <f t="shared" si="14"/>
        <v>7</v>
      </c>
      <c r="C581" s="37">
        <v>41099</v>
      </c>
      <c r="D581" s="205" t="s">
        <v>544</v>
      </c>
      <c r="E581" s="37">
        <v>41099</v>
      </c>
      <c r="F581" s="40" t="s">
        <v>1044</v>
      </c>
      <c r="G581" s="40" t="s">
        <v>1045</v>
      </c>
      <c r="H581" s="45" t="s">
        <v>533</v>
      </c>
      <c r="I581" s="277"/>
      <c r="J581" s="277"/>
      <c r="K581" s="38">
        <v>2560000</v>
      </c>
      <c r="L581" s="39" t="s">
        <v>199</v>
      </c>
      <c r="M581" s="39" t="s">
        <v>49</v>
      </c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>x</v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29" s="226" customFormat="1" ht="15.75" customHeight="1">
      <c r="A582" s="219" t="str">
        <f>IF(B582&lt;&gt;"",IF(AND(B582&gt;=_TM1,B582&lt;=_TM2,OR(TH!L582="1111",TH!M582="1111")),TH!D582,""),"")</f>
        <v/>
      </c>
      <c r="B582" s="36">
        <f t="shared" si="14"/>
        <v>7</v>
      </c>
      <c r="C582" s="37">
        <v>41099</v>
      </c>
      <c r="D582" s="205" t="s">
        <v>544</v>
      </c>
      <c r="E582" s="37">
        <v>41099</v>
      </c>
      <c r="F582" s="40" t="s">
        <v>459</v>
      </c>
      <c r="G582" s="40" t="s">
        <v>1045</v>
      </c>
      <c r="H582" s="45" t="s">
        <v>533</v>
      </c>
      <c r="I582" s="277"/>
      <c r="J582" s="277"/>
      <c r="K582" s="38">
        <v>256000</v>
      </c>
      <c r="L582" s="39" t="s">
        <v>9</v>
      </c>
      <c r="M582" s="39" t="s">
        <v>49</v>
      </c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>x</v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29" s="226" customFormat="1" ht="15.75" customHeight="1">
      <c r="A583" s="219" t="str">
        <f>IF(B583&lt;&gt;"",IF(AND(B583&gt;=_TM1,B583&lt;=_TM2,OR(TH!L583="1111",TH!M583="1111")),TH!D583,""),"")</f>
        <v/>
      </c>
      <c r="B583" s="36">
        <f t="shared" si="14"/>
        <v>7</v>
      </c>
      <c r="C583" s="37">
        <v>41099</v>
      </c>
      <c r="D583" s="205" t="s">
        <v>593</v>
      </c>
      <c r="E583" s="37">
        <v>41099</v>
      </c>
      <c r="F583" s="40" t="s">
        <v>903</v>
      </c>
      <c r="G583" s="40" t="s">
        <v>1046</v>
      </c>
      <c r="H583" s="7" t="s">
        <v>564</v>
      </c>
      <c r="I583" s="277">
        <v>1000</v>
      </c>
      <c r="J583" s="277">
        <v>22301</v>
      </c>
      <c r="K583" s="38">
        <v>22301000</v>
      </c>
      <c r="L583" s="39" t="s">
        <v>191</v>
      </c>
      <c r="M583" s="750" t="s">
        <v>8</v>
      </c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  <c r="AC583" s="226" t="str">
        <f>IF(ISNA(VLOOKUP(F583,NXT!$C$18:$C$347,1,0)),x,"")</f>
        <v/>
      </c>
    </row>
    <row r="584" spans="1:29" s="226" customFormat="1" ht="15.75" customHeight="1">
      <c r="A584" s="219" t="str">
        <f>IF(B584&lt;&gt;"",IF(AND(B584&gt;=_TM1,B584&lt;=_TM2,OR(TH!L584="1111",TH!M584="1111")),TH!D584,""),"")</f>
        <v/>
      </c>
      <c r="B584" s="36">
        <f t="shared" si="14"/>
        <v>7</v>
      </c>
      <c r="C584" s="37">
        <v>41099</v>
      </c>
      <c r="D584" s="205" t="s">
        <v>593</v>
      </c>
      <c r="E584" s="37">
        <v>41099</v>
      </c>
      <c r="F584" s="40" t="s">
        <v>1047</v>
      </c>
      <c r="G584" s="40" t="s">
        <v>1046</v>
      </c>
      <c r="H584" s="7" t="s">
        <v>564</v>
      </c>
      <c r="I584" s="277">
        <v>270</v>
      </c>
      <c r="J584" s="277">
        <v>13971</v>
      </c>
      <c r="K584" s="38">
        <v>3772170</v>
      </c>
      <c r="L584" s="39" t="s">
        <v>191</v>
      </c>
      <c r="M584" s="750" t="s">
        <v>8</v>
      </c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  <c r="AC584" s="226" t="str">
        <f>IF(ISNA(VLOOKUP(F584,NXT!$C$18:$C$347,1,0)),x,"")</f>
        <v/>
      </c>
    </row>
    <row r="585" spans="1:29" s="226" customFormat="1" ht="15.75" customHeight="1">
      <c r="A585" s="219" t="str">
        <f>IF(B585&lt;&gt;"",IF(AND(B585&gt;=_TM1,B585&lt;=_TM2,OR(TH!L585="1111",TH!M585="1111")),TH!D585,""),"")</f>
        <v/>
      </c>
      <c r="B585" s="36">
        <f t="shared" si="14"/>
        <v>7</v>
      </c>
      <c r="C585" s="37">
        <v>41099</v>
      </c>
      <c r="D585" s="205" t="s">
        <v>593</v>
      </c>
      <c r="E585" s="37">
        <v>41099</v>
      </c>
      <c r="F585" s="40" t="s">
        <v>1048</v>
      </c>
      <c r="G585" s="40" t="s">
        <v>1046</v>
      </c>
      <c r="H585" s="7" t="s">
        <v>564</v>
      </c>
      <c r="I585" s="277">
        <v>100</v>
      </c>
      <c r="J585" s="277">
        <v>8989</v>
      </c>
      <c r="K585" s="38">
        <v>898900</v>
      </c>
      <c r="L585" s="39" t="s">
        <v>191</v>
      </c>
      <c r="M585" s="750" t="s">
        <v>8</v>
      </c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  <c r="AC585" s="226" t="str">
        <f>IF(ISNA(VLOOKUP(F585,NXT!$C$18:$C$347,1,0)),x,"")</f>
        <v/>
      </c>
    </row>
    <row r="586" spans="1:29" s="226" customFormat="1" ht="15.75" customHeight="1">
      <c r="A586" s="219" t="str">
        <f>IF(B586&lt;&gt;"",IF(AND(B586&gt;=_TM1,B586&lt;=_TM2,OR(TH!L586="1111",TH!M586="1111")),TH!D586,""),"")</f>
        <v/>
      </c>
      <c r="B586" s="36">
        <f t="shared" si="14"/>
        <v>7</v>
      </c>
      <c r="C586" s="37">
        <v>41099</v>
      </c>
      <c r="D586" s="205" t="s">
        <v>593</v>
      </c>
      <c r="E586" s="37">
        <v>41099</v>
      </c>
      <c r="F586" s="40" t="s">
        <v>650</v>
      </c>
      <c r="G586" s="40" t="s">
        <v>1046</v>
      </c>
      <c r="H586" s="7" t="s">
        <v>564</v>
      </c>
      <c r="I586" s="277"/>
      <c r="J586" s="277"/>
      <c r="K586" s="38">
        <v>2697207</v>
      </c>
      <c r="L586" s="39" t="s">
        <v>9</v>
      </c>
      <c r="M586" s="750" t="s">
        <v>8</v>
      </c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29" s="226" customFormat="1" ht="15.75" customHeight="1">
      <c r="A587" s="219" t="str">
        <f>IF(B587&lt;&gt;"",IF(AND(B587&gt;=_TM1,B587&lt;=_TM2,OR(TH!L587="1111",TH!M587="1111")),TH!D587,""),"")</f>
        <v/>
      </c>
      <c r="B587" s="36">
        <f t="shared" si="14"/>
        <v>7</v>
      </c>
      <c r="C587" s="37">
        <v>41100</v>
      </c>
      <c r="D587" s="205" t="s">
        <v>450</v>
      </c>
      <c r="E587" s="37">
        <v>41100</v>
      </c>
      <c r="F587" s="40" t="s">
        <v>452</v>
      </c>
      <c r="G587" s="40" t="s">
        <v>447</v>
      </c>
      <c r="H587" s="45"/>
      <c r="I587" s="277"/>
      <c r="J587" s="277"/>
      <c r="K587" s="38">
        <v>36590400</v>
      </c>
      <c r="L587" s="39" t="s">
        <v>24</v>
      </c>
      <c r="M587" s="39" t="s">
        <v>352</v>
      </c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>x</v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</row>
    <row r="588" spans="1:29" s="226" customFormat="1" ht="15.75" customHeight="1">
      <c r="A588" s="219" t="str">
        <f>IF(B588&lt;&gt;"",IF(AND(B588&gt;=_TM1,B588&lt;=_TM2,OR(TH!L588="1111",TH!M588="1111")),TH!D588,""),"")</f>
        <v/>
      </c>
      <c r="B588" s="36">
        <f t="shared" si="14"/>
        <v>7</v>
      </c>
      <c r="C588" s="37">
        <v>41100</v>
      </c>
      <c r="D588" s="205" t="s">
        <v>451</v>
      </c>
      <c r="E588" s="37">
        <v>41100</v>
      </c>
      <c r="F588" s="40" t="s">
        <v>532</v>
      </c>
      <c r="G588" s="40" t="s">
        <v>447</v>
      </c>
      <c r="H588" s="45"/>
      <c r="I588" s="277"/>
      <c r="J588" s="277"/>
      <c r="K588" s="38">
        <v>17000000</v>
      </c>
      <c r="L588" s="39" t="s">
        <v>8</v>
      </c>
      <c r="M588" s="39" t="s">
        <v>24</v>
      </c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>x</v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29" s="226" customFormat="1" ht="15.75" customHeight="1">
      <c r="A589" s="219" t="str">
        <f>IF(B589&lt;&gt;"",IF(AND(B589&gt;=_TM1,B589&lt;=_TM2,OR(TH!L589="1111",TH!M589="1111")),TH!D589,""),"")</f>
        <v/>
      </c>
      <c r="B589" s="36">
        <f t="shared" si="14"/>
        <v>7</v>
      </c>
      <c r="C589" s="37">
        <v>41100</v>
      </c>
      <c r="D589" s="205" t="s">
        <v>451</v>
      </c>
      <c r="E589" s="37">
        <v>41100</v>
      </c>
      <c r="F589" s="40" t="s">
        <v>532</v>
      </c>
      <c r="G589" s="40" t="s">
        <v>447</v>
      </c>
      <c r="H589" s="225"/>
      <c r="I589" s="277"/>
      <c r="J589" s="277"/>
      <c r="K589" s="38">
        <v>7000000</v>
      </c>
      <c r="L589" s="39" t="s">
        <v>8</v>
      </c>
      <c r="M589" s="39" t="s">
        <v>24</v>
      </c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>x</v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29" s="226" customFormat="1" ht="15.75" customHeight="1">
      <c r="A590" s="219" t="str">
        <f>IF(B590&lt;&gt;"",IF(AND(B590&gt;=_TM1,B590&lt;=_TM2,OR(TH!L590="1111",TH!M590="1111")),TH!D590,""),"")</f>
        <v/>
      </c>
      <c r="B590" s="36">
        <f t="shared" si="14"/>
        <v>7</v>
      </c>
      <c r="C590" s="37">
        <v>41100</v>
      </c>
      <c r="D590" s="205" t="s">
        <v>451</v>
      </c>
      <c r="E590" s="37">
        <v>41100</v>
      </c>
      <c r="F590" s="40" t="s">
        <v>532</v>
      </c>
      <c r="G590" s="40" t="s">
        <v>447</v>
      </c>
      <c r="H590" s="45"/>
      <c r="I590" s="277"/>
      <c r="J590" s="277"/>
      <c r="K590" s="38">
        <v>85000000</v>
      </c>
      <c r="L590" s="39" t="s">
        <v>8</v>
      </c>
      <c r="M590" s="39" t="s">
        <v>24</v>
      </c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>x</v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29" s="226" customFormat="1" ht="15.75" customHeight="1">
      <c r="A591" s="219" t="str">
        <f>IF(B591&lt;&gt;"",IF(AND(B591&gt;=_TM1,B591&lt;=_TM2,OR(TH!L591="1111",TH!M591="1111")),TH!D591,""),"")</f>
        <v/>
      </c>
      <c r="B591" s="36">
        <f t="shared" si="14"/>
        <v>7</v>
      </c>
      <c r="C591" s="37">
        <v>41100</v>
      </c>
      <c r="D591" s="205" t="s">
        <v>451</v>
      </c>
      <c r="E591" s="37">
        <v>41100</v>
      </c>
      <c r="F591" s="40" t="s">
        <v>453</v>
      </c>
      <c r="G591" s="40" t="s">
        <v>447</v>
      </c>
      <c r="H591" s="45"/>
      <c r="I591" s="277"/>
      <c r="J591" s="277"/>
      <c r="K591" s="38">
        <v>42500</v>
      </c>
      <c r="L591" s="39" t="s">
        <v>87</v>
      </c>
      <c r="M591" s="39" t="s">
        <v>24</v>
      </c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>x</v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29" s="226" customFormat="1" ht="15.75" customHeight="1">
      <c r="A592" s="219" t="str">
        <f>IF(B592&lt;&gt;"",IF(AND(B592&gt;=_TM1,B592&lt;=_TM2,OR(TH!L592="1111",TH!M592="1111")),TH!D592,""),"")</f>
        <v/>
      </c>
      <c r="B592" s="36">
        <f t="shared" si="14"/>
        <v>7</v>
      </c>
      <c r="C592" s="37">
        <v>41100</v>
      </c>
      <c r="D592" s="205" t="s">
        <v>451</v>
      </c>
      <c r="E592" s="37">
        <v>41100</v>
      </c>
      <c r="F592" s="40" t="s">
        <v>453</v>
      </c>
      <c r="G592" s="40" t="s">
        <v>447</v>
      </c>
      <c r="H592" s="225"/>
      <c r="I592" s="277"/>
      <c r="J592" s="277"/>
      <c r="K592" s="38">
        <v>10000</v>
      </c>
      <c r="L592" s="39" t="s">
        <v>87</v>
      </c>
      <c r="M592" s="39" t="s">
        <v>24</v>
      </c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>x</v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9" s="226" customFormat="1" ht="15.75" customHeight="1">
      <c r="A593" s="219" t="str">
        <f>IF(B593&lt;&gt;"",IF(AND(B593&gt;=_TM1,B593&lt;=_TM2,OR(TH!L593="1111",TH!M593="1111")),TH!D593,""),"")</f>
        <v/>
      </c>
      <c r="B593" s="36">
        <f t="shared" si="14"/>
        <v>7</v>
      </c>
      <c r="C593" s="37">
        <v>41100</v>
      </c>
      <c r="D593" s="205" t="s">
        <v>451</v>
      </c>
      <c r="E593" s="37">
        <v>41100</v>
      </c>
      <c r="F593" s="40" t="s">
        <v>453</v>
      </c>
      <c r="G593" s="40" t="s">
        <v>447</v>
      </c>
      <c r="H593" s="225"/>
      <c r="I593" s="277"/>
      <c r="J593" s="277"/>
      <c r="K593" s="38">
        <v>10000</v>
      </c>
      <c r="L593" s="39" t="s">
        <v>87</v>
      </c>
      <c r="M593" s="39" t="s">
        <v>24</v>
      </c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>x</v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9" s="226" customFormat="1" ht="15.75" customHeight="1">
      <c r="A594" s="219" t="str">
        <f>IF(B594&lt;&gt;"",IF(AND(B594&gt;=_TM1,B594&lt;=_TM2,OR(TH!L594="1111",TH!M594="1111")),TH!D594,""),"")</f>
        <v/>
      </c>
      <c r="B594" s="36">
        <f t="shared" si="14"/>
        <v>7</v>
      </c>
      <c r="C594" s="37">
        <v>41101</v>
      </c>
      <c r="D594" s="205" t="s">
        <v>594</v>
      </c>
      <c r="E594" s="37">
        <v>41101</v>
      </c>
      <c r="F594" s="40" t="s">
        <v>1049</v>
      </c>
      <c r="G594" s="40" t="s">
        <v>1050</v>
      </c>
      <c r="H594" s="7" t="s">
        <v>564</v>
      </c>
      <c r="I594" s="277">
        <v>1500</v>
      </c>
      <c r="J594" s="277">
        <v>15665</v>
      </c>
      <c r="K594" s="38">
        <v>23497500</v>
      </c>
      <c r="L594" s="39" t="s">
        <v>191</v>
      </c>
      <c r="M594" s="750" t="s">
        <v>8</v>
      </c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str">
        <f>IF(ISNA(VLOOKUP(F594,NXT!$C$18:$C$347,1,0)),x,"")</f>
        <v/>
      </c>
    </row>
    <row r="595" spans="1:29" s="226" customFormat="1" ht="15.75" customHeight="1">
      <c r="A595" s="219" t="str">
        <f>IF(B595&lt;&gt;"",IF(AND(B595&gt;=_TM1,B595&lt;=_TM2,OR(TH!L595="1111",TH!M595="1111")),TH!D595,""),"")</f>
        <v/>
      </c>
      <c r="B595" s="36">
        <f t="shared" si="14"/>
        <v>7</v>
      </c>
      <c r="C595" s="37">
        <v>41101</v>
      </c>
      <c r="D595" s="205" t="s">
        <v>594</v>
      </c>
      <c r="E595" s="37">
        <v>41101</v>
      </c>
      <c r="F595" s="40" t="s">
        <v>650</v>
      </c>
      <c r="G595" s="40" t="s">
        <v>1050</v>
      </c>
      <c r="H595" s="7" t="s">
        <v>564</v>
      </c>
      <c r="I595" s="277"/>
      <c r="J595" s="277"/>
      <c r="K595" s="38">
        <v>2349750</v>
      </c>
      <c r="L595" s="39" t="s">
        <v>9</v>
      </c>
      <c r="M595" s="750" t="s">
        <v>8</v>
      </c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9" s="226" customFormat="1" ht="15.75" customHeight="1">
      <c r="A596" s="219" t="str">
        <f>IF(B596&lt;&gt;"",IF(AND(B596&gt;=_TM1,B596&lt;=_TM2,OR(TH!L596="1111",TH!M596="1111")),TH!D596,""),"")</f>
        <v/>
      </c>
      <c r="B596" s="36">
        <f t="shared" si="14"/>
        <v>7</v>
      </c>
      <c r="C596" s="37">
        <v>41103</v>
      </c>
      <c r="D596" s="205" t="s">
        <v>595</v>
      </c>
      <c r="E596" s="37">
        <v>41103</v>
      </c>
      <c r="F596" s="40" t="s">
        <v>973</v>
      </c>
      <c r="G596" s="40" t="s">
        <v>1051</v>
      </c>
      <c r="H596" s="7" t="s">
        <v>564</v>
      </c>
      <c r="I596" s="277">
        <v>100</v>
      </c>
      <c r="J596" s="277">
        <v>13789</v>
      </c>
      <c r="K596" s="38">
        <v>1378900</v>
      </c>
      <c r="L596" s="39" t="s">
        <v>191</v>
      </c>
      <c r="M596" s="750" t="s">
        <v>8</v>
      </c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str">
        <f>IF(ISNA(VLOOKUP(F596,NXT!$C$18:$C$347,1,0)),x,"")</f>
        <v/>
      </c>
    </row>
    <row r="597" spans="1:29" s="226" customFormat="1" ht="15.75" customHeight="1">
      <c r="A597" s="219" t="str">
        <f>IF(B597&lt;&gt;"",IF(AND(B597&gt;=_TM1,B597&lt;=_TM2,OR(TH!L597="1111",TH!M597="1111")),TH!D597,""),"")</f>
        <v/>
      </c>
      <c r="B597" s="36">
        <f t="shared" si="14"/>
        <v>7</v>
      </c>
      <c r="C597" s="37">
        <v>41103</v>
      </c>
      <c r="D597" s="205" t="s">
        <v>595</v>
      </c>
      <c r="E597" s="37">
        <v>41103</v>
      </c>
      <c r="F597" s="40" t="s">
        <v>1052</v>
      </c>
      <c r="G597" s="40" t="s">
        <v>1051</v>
      </c>
      <c r="H597" s="7" t="s">
        <v>564</v>
      </c>
      <c r="I597" s="277">
        <v>100</v>
      </c>
      <c r="J597" s="277">
        <v>11889</v>
      </c>
      <c r="K597" s="38">
        <v>1188900</v>
      </c>
      <c r="L597" s="39" t="s">
        <v>191</v>
      </c>
      <c r="M597" s="750" t="s">
        <v>8</v>
      </c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str">
        <f>IF(ISNA(VLOOKUP(F597,NXT!$C$18:$C$347,1,0)),x,"")</f>
        <v/>
      </c>
    </row>
    <row r="598" spans="1:29" s="226" customFormat="1" ht="15.75" customHeight="1">
      <c r="A598" s="219" t="str">
        <f>IF(B598&lt;&gt;"",IF(AND(B598&gt;=_TM1,B598&lt;=_TM2,OR(TH!L598="1111",TH!M598="1111")),TH!D598,""),"")</f>
        <v/>
      </c>
      <c r="B598" s="36">
        <f t="shared" si="14"/>
        <v>7</v>
      </c>
      <c r="C598" s="37">
        <v>41103</v>
      </c>
      <c r="D598" s="205" t="s">
        <v>595</v>
      </c>
      <c r="E598" s="37">
        <v>41103</v>
      </c>
      <c r="F598" s="40" t="s">
        <v>1053</v>
      </c>
      <c r="G598" s="40" t="s">
        <v>1051</v>
      </c>
      <c r="H598" s="7" t="s">
        <v>564</v>
      </c>
      <c r="I598" s="277">
        <v>340</v>
      </c>
      <c r="J598" s="277">
        <v>15120</v>
      </c>
      <c r="K598" s="38">
        <v>5140800</v>
      </c>
      <c r="L598" s="39" t="s">
        <v>191</v>
      </c>
      <c r="M598" s="750" t="s">
        <v>8</v>
      </c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  <c r="AC598" s="226" t="str">
        <f>IF(ISNA(VLOOKUP(F598,NXT!$C$18:$C$347,1,0)),x,"")</f>
        <v/>
      </c>
    </row>
    <row r="599" spans="1:29" s="226" customFormat="1" ht="15.75" customHeight="1">
      <c r="A599" s="219" t="str">
        <f>IF(B599&lt;&gt;"",IF(AND(B599&gt;=_TM1,B599&lt;=_TM2,OR(TH!L599="1111",TH!M599="1111")),TH!D599,""),"")</f>
        <v/>
      </c>
      <c r="B599" s="36">
        <f t="shared" si="14"/>
        <v>7</v>
      </c>
      <c r="C599" s="37">
        <v>41103</v>
      </c>
      <c r="D599" s="205" t="s">
        <v>595</v>
      </c>
      <c r="E599" s="37">
        <v>41103</v>
      </c>
      <c r="F599" s="40" t="s">
        <v>1054</v>
      </c>
      <c r="G599" s="40" t="s">
        <v>1051</v>
      </c>
      <c r="H599" s="7" t="s">
        <v>564</v>
      </c>
      <c r="I599" s="277">
        <v>670</v>
      </c>
      <c r="J599" s="277">
        <v>7300</v>
      </c>
      <c r="K599" s="38">
        <v>4891000</v>
      </c>
      <c r="L599" s="39" t="s">
        <v>191</v>
      </c>
      <c r="M599" s="750" t="s">
        <v>8</v>
      </c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  <c r="AC599" s="226" t="str">
        <f>IF(ISNA(VLOOKUP(F599,NXT!$C$18:$C$347,1,0)),x,"")</f>
        <v/>
      </c>
    </row>
    <row r="600" spans="1:29" s="226" customFormat="1" ht="15.75" customHeight="1">
      <c r="A600" s="219" t="str">
        <f>IF(B600&lt;&gt;"",IF(AND(B600&gt;=_TM1,B600&lt;=_TM2,OR(TH!L600="1111",TH!M600="1111")),TH!D600,""),"")</f>
        <v/>
      </c>
      <c r="B600" s="36">
        <f t="shared" si="14"/>
        <v>7</v>
      </c>
      <c r="C600" s="37">
        <v>41103</v>
      </c>
      <c r="D600" s="205" t="s">
        <v>595</v>
      </c>
      <c r="E600" s="37">
        <v>41103</v>
      </c>
      <c r="F600" s="40" t="s">
        <v>650</v>
      </c>
      <c r="G600" s="40" t="s">
        <v>1051</v>
      </c>
      <c r="H600" s="7" t="s">
        <v>564</v>
      </c>
      <c r="I600" s="277"/>
      <c r="J600" s="277"/>
      <c r="K600" s="38">
        <v>1259960</v>
      </c>
      <c r="L600" s="39" t="s">
        <v>9</v>
      </c>
      <c r="M600" s="750" t="s">
        <v>8</v>
      </c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9" s="226" customFormat="1" ht="15.75" customHeight="1">
      <c r="A601" s="219" t="str">
        <f>IF(B601&lt;&gt;"",IF(AND(B601&gt;=_TM1,B601&lt;=_TM2,OR(TH!L601="1111",TH!M601="1111")),TH!D601,""),"")</f>
        <v/>
      </c>
      <c r="B601" s="36">
        <f t="shared" si="14"/>
        <v>7</v>
      </c>
      <c r="C601" s="37">
        <v>41104</v>
      </c>
      <c r="D601" s="205" t="s">
        <v>450</v>
      </c>
      <c r="E601" s="37">
        <v>41104</v>
      </c>
      <c r="F601" s="40" t="s">
        <v>528</v>
      </c>
      <c r="G601" s="40" t="s">
        <v>447</v>
      </c>
      <c r="H601" s="45" t="s">
        <v>1055</v>
      </c>
      <c r="I601" s="277"/>
      <c r="J601" s="277"/>
      <c r="K601" s="38">
        <v>15000000</v>
      </c>
      <c r="L601" s="39" t="s">
        <v>24</v>
      </c>
      <c r="M601" s="39" t="s">
        <v>49</v>
      </c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>x</v>
      </c>
      <c r="R601" s="55" t="str">
        <f>IF(ISERROR(FIND('112'!$M$9,G601,1)),"",IF((AND(FIND('112'!$M$9,G601,1)&gt;=1,$B601&gt;='112'!$N$8,$B601&lt;='112'!$O$8,OR($L601='112'!$I$6,$M601='112'!$I$6))),"x",""))</f>
        <v>x</v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9" s="226" customFormat="1" ht="15.75" customHeight="1">
      <c r="A602" s="219" t="str">
        <f>IF(B602&lt;&gt;"",IF(AND(B602&gt;=_TM1,B602&lt;=_TM2,OR(TH!L602="1111",TH!M602="1111")),TH!D602,""),"")</f>
        <v/>
      </c>
      <c r="B602" s="36">
        <f t="shared" si="14"/>
        <v>7</v>
      </c>
      <c r="C602" s="37">
        <v>41104</v>
      </c>
      <c r="D602" s="205" t="s">
        <v>545</v>
      </c>
      <c r="E602" s="37">
        <v>41104</v>
      </c>
      <c r="F602" s="40" t="s">
        <v>1056</v>
      </c>
      <c r="G602" s="40" t="s">
        <v>1057</v>
      </c>
      <c r="H602" s="45" t="s">
        <v>533</v>
      </c>
      <c r="I602" s="277"/>
      <c r="J602" s="277"/>
      <c r="K602" s="38">
        <v>1360000</v>
      </c>
      <c r="L602" s="39" t="s">
        <v>199</v>
      </c>
      <c r="M602" s="39" t="s">
        <v>49</v>
      </c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>x</v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9" s="226" customFormat="1" ht="15.75" customHeight="1">
      <c r="A603" s="219" t="str">
        <f>IF(B603&lt;&gt;"",IF(AND(B603&gt;=_TM1,B603&lt;=_TM2,OR(TH!L603="1111",TH!M603="1111")),TH!D603,""),"")</f>
        <v/>
      </c>
      <c r="B603" s="36">
        <f t="shared" ref="B603:B666" si="16">IF(C603&lt;&gt;"",MONTH(C603),"")</f>
        <v>7</v>
      </c>
      <c r="C603" s="37">
        <v>41104</v>
      </c>
      <c r="D603" s="205" t="s">
        <v>545</v>
      </c>
      <c r="E603" s="37">
        <v>41104</v>
      </c>
      <c r="F603" s="40" t="s">
        <v>459</v>
      </c>
      <c r="G603" s="40" t="s">
        <v>1057</v>
      </c>
      <c r="H603" s="225" t="s">
        <v>533</v>
      </c>
      <c r="I603" s="277"/>
      <c r="J603" s="277"/>
      <c r="K603" s="38">
        <v>136000</v>
      </c>
      <c r="L603" s="39" t="s">
        <v>9</v>
      </c>
      <c r="M603" s="39" t="s">
        <v>49</v>
      </c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>x</v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9" s="226" customFormat="1" ht="15.75" customHeight="1">
      <c r="A604" s="219" t="str">
        <f>IF(B604&lt;&gt;"",IF(AND(B604&gt;=_TM1,B604&lt;=_TM2,OR(TH!L604="1111",TH!M604="1111")),TH!D604,""),"")</f>
        <v/>
      </c>
      <c r="B604" s="36">
        <f t="shared" si="16"/>
        <v>7</v>
      </c>
      <c r="C604" s="37">
        <v>41104</v>
      </c>
      <c r="D604" s="205" t="s">
        <v>596</v>
      </c>
      <c r="E604" s="37">
        <v>41104</v>
      </c>
      <c r="F604" s="40" t="s">
        <v>1058</v>
      </c>
      <c r="G604" s="40" t="s">
        <v>1059</v>
      </c>
      <c r="H604" s="7" t="s">
        <v>564</v>
      </c>
      <c r="I604" s="277">
        <v>680</v>
      </c>
      <c r="J604" s="277">
        <v>7204</v>
      </c>
      <c r="K604" s="38">
        <v>4898720</v>
      </c>
      <c r="L604" s="39" t="s">
        <v>191</v>
      </c>
      <c r="M604" s="750" t="s">
        <v>8</v>
      </c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  <c r="AC604" s="226" t="str">
        <f>IF(ISNA(VLOOKUP(F604,NXT!$C$18:$C$347,1,0)),x,"")</f>
        <v/>
      </c>
    </row>
    <row r="605" spans="1:29" s="226" customFormat="1" ht="15.75" customHeight="1">
      <c r="A605" s="219" t="str">
        <f>IF(B605&lt;&gt;"",IF(AND(B605&gt;=_TM1,B605&lt;=_TM2,OR(TH!L605="1111",TH!M605="1111")),TH!D605,""),"")</f>
        <v/>
      </c>
      <c r="B605" s="36">
        <f t="shared" si="16"/>
        <v>7</v>
      </c>
      <c r="C605" s="37">
        <v>41104</v>
      </c>
      <c r="D605" s="205" t="s">
        <v>596</v>
      </c>
      <c r="E605" s="37">
        <v>41104</v>
      </c>
      <c r="F605" s="40" t="s">
        <v>1060</v>
      </c>
      <c r="G605" s="40" t="s">
        <v>1059</v>
      </c>
      <c r="H605" s="7" t="s">
        <v>564</v>
      </c>
      <c r="I605" s="277">
        <v>100</v>
      </c>
      <c r="J605" s="277">
        <v>24922</v>
      </c>
      <c r="K605" s="38">
        <v>2492200</v>
      </c>
      <c r="L605" s="39" t="s">
        <v>191</v>
      </c>
      <c r="M605" s="750" t="s">
        <v>8</v>
      </c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C605" s="226" t="str">
        <f>IF(ISNA(VLOOKUP(F605,NXT!$C$18:$C$347,1,0)),x,"")</f>
        <v/>
      </c>
    </row>
    <row r="606" spans="1:29" s="226" customFormat="1" ht="15.75" customHeight="1">
      <c r="A606" s="219" t="str">
        <f>IF(B606&lt;&gt;"",IF(AND(B606&gt;=_TM1,B606&lt;=_TM2,OR(TH!L606="1111",TH!M606="1111")),TH!D606,""),"")</f>
        <v/>
      </c>
      <c r="B606" s="36">
        <f t="shared" si="16"/>
        <v>7</v>
      </c>
      <c r="C606" s="37">
        <v>41104</v>
      </c>
      <c r="D606" s="205" t="s">
        <v>596</v>
      </c>
      <c r="E606" s="205">
        <v>41104</v>
      </c>
      <c r="F606" s="40" t="s">
        <v>650</v>
      </c>
      <c r="G606" s="627" t="s">
        <v>1059</v>
      </c>
      <c r="H606" s="7" t="s">
        <v>564</v>
      </c>
      <c r="I606" s="277"/>
      <c r="J606" s="277"/>
      <c r="K606" s="38">
        <v>739092</v>
      </c>
      <c r="L606" s="39" t="s">
        <v>9</v>
      </c>
      <c r="M606" s="750" t="s">
        <v>8</v>
      </c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9" s="226" customFormat="1" ht="15.75" customHeight="1">
      <c r="A607" s="219" t="str">
        <f>IF(B607&lt;&gt;"",IF(AND(B607&gt;=_TM1,B607&lt;=_TM2,OR(TH!L607="1111",TH!M607="1111")),TH!D607,""),"")</f>
        <v/>
      </c>
      <c r="B607" s="36">
        <f t="shared" si="16"/>
        <v>7</v>
      </c>
      <c r="C607" s="37">
        <v>41106</v>
      </c>
      <c r="D607" s="205" t="s">
        <v>451</v>
      </c>
      <c r="E607" s="205">
        <v>41106</v>
      </c>
      <c r="F607" s="206" t="s">
        <v>532</v>
      </c>
      <c r="G607" s="628" t="s">
        <v>447</v>
      </c>
      <c r="H607" s="225"/>
      <c r="I607" s="277"/>
      <c r="J607" s="277"/>
      <c r="K607" s="38">
        <v>20000000</v>
      </c>
      <c r="L607" s="208" t="s">
        <v>8</v>
      </c>
      <c r="M607" s="208" t="s">
        <v>24</v>
      </c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>x</v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9" s="226" customFormat="1" ht="15.75" customHeight="1">
      <c r="A608" s="219" t="str">
        <f>IF(B608&lt;&gt;"",IF(AND(B608&gt;=_TM1,B608&lt;=_TM2,OR(TH!L608="1111",TH!M608="1111")),TH!D608,""),"")</f>
        <v/>
      </c>
      <c r="B608" s="36">
        <f t="shared" si="16"/>
        <v>7</v>
      </c>
      <c r="C608" s="37">
        <v>41106</v>
      </c>
      <c r="D608" s="205" t="s">
        <v>451</v>
      </c>
      <c r="E608" s="205">
        <v>41106</v>
      </c>
      <c r="F608" s="206" t="s">
        <v>453</v>
      </c>
      <c r="G608" s="628" t="s">
        <v>447</v>
      </c>
      <c r="H608" s="207"/>
      <c r="I608" s="277"/>
      <c r="J608" s="277"/>
      <c r="K608" s="38">
        <v>20000</v>
      </c>
      <c r="L608" s="208" t="s">
        <v>87</v>
      </c>
      <c r="M608" s="39" t="s">
        <v>24</v>
      </c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>x</v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9" s="226" customFormat="1" ht="15.75" customHeight="1">
      <c r="A609" s="219" t="str">
        <f>IF(B609&lt;&gt;"",IF(AND(B609&gt;=_TM1,B609&lt;=_TM2,OR(TH!L609="1111",TH!M609="1111")),TH!D609,""),"")</f>
        <v/>
      </c>
      <c r="B609" s="36">
        <f t="shared" si="16"/>
        <v>7</v>
      </c>
      <c r="C609" s="37">
        <v>41106</v>
      </c>
      <c r="D609" s="205" t="s">
        <v>451</v>
      </c>
      <c r="E609" s="205">
        <v>41106</v>
      </c>
      <c r="F609" s="206" t="s">
        <v>532</v>
      </c>
      <c r="G609" s="628" t="s">
        <v>447</v>
      </c>
      <c r="H609" s="207"/>
      <c r="I609" s="277"/>
      <c r="J609" s="277"/>
      <c r="K609" s="38">
        <v>5518000</v>
      </c>
      <c r="L609" s="208" t="s">
        <v>8</v>
      </c>
      <c r="M609" s="39" t="s">
        <v>24</v>
      </c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>x</v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9" s="226" customFormat="1" ht="15.75" customHeight="1">
      <c r="A610" s="219" t="str">
        <f>IF(B610&lt;&gt;"",IF(AND(B610&gt;=_TM1,B610&lt;=_TM2,OR(TH!L610="1111",TH!M610="1111")),TH!D610,""),"")</f>
        <v/>
      </c>
      <c r="B610" s="36">
        <f t="shared" si="16"/>
        <v>7</v>
      </c>
      <c r="C610" s="37">
        <v>41106</v>
      </c>
      <c r="D610" s="205" t="s">
        <v>451</v>
      </c>
      <c r="E610" s="205">
        <v>41106</v>
      </c>
      <c r="F610" s="206" t="s">
        <v>453</v>
      </c>
      <c r="G610" s="628" t="s">
        <v>447</v>
      </c>
      <c r="H610" s="225"/>
      <c r="I610" s="277"/>
      <c r="J610" s="277"/>
      <c r="K610" s="38">
        <v>10000</v>
      </c>
      <c r="L610" s="208" t="s">
        <v>87</v>
      </c>
      <c r="M610" s="39" t="s">
        <v>24</v>
      </c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>x</v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9" s="226" customFormat="1" ht="15.75" customHeight="1">
      <c r="A611" s="219" t="str">
        <f>IF(B611&lt;&gt;"",IF(AND(B611&gt;=_TM1,B611&lt;=_TM2,OR(TH!L611="1111",TH!M611="1111")),TH!D611,""),"")</f>
        <v/>
      </c>
      <c r="B611" s="36">
        <f t="shared" si="16"/>
        <v>7</v>
      </c>
      <c r="C611" s="37">
        <v>41106</v>
      </c>
      <c r="D611" s="205" t="s">
        <v>451</v>
      </c>
      <c r="E611" s="37">
        <v>41106</v>
      </c>
      <c r="F611" s="40" t="s">
        <v>532</v>
      </c>
      <c r="G611" s="628" t="s">
        <v>447</v>
      </c>
      <c r="H611" s="45"/>
      <c r="I611" s="277"/>
      <c r="J611" s="277"/>
      <c r="K611" s="38">
        <v>11633275</v>
      </c>
      <c r="L611" s="39" t="s">
        <v>8</v>
      </c>
      <c r="M611" s="39" t="s">
        <v>24</v>
      </c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>x</v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9" s="226" customFormat="1" ht="15.75" customHeight="1">
      <c r="A612" s="219" t="str">
        <f>IF(B612&lt;&gt;"",IF(AND(B612&gt;=_TM1,B612&lt;=_TM2,OR(TH!L612="1111",TH!M612="1111")),TH!D612,""),"")</f>
        <v/>
      </c>
      <c r="B612" s="36">
        <f t="shared" si="16"/>
        <v>7</v>
      </c>
      <c r="C612" s="37">
        <v>41106</v>
      </c>
      <c r="D612" s="205" t="s">
        <v>451</v>
      </c>
      <c r="E612" s="37">
        <v>41106</v>
      </c>
      <c r="F612" s="40" t="s">
        <v>453</v>
      </c>
      <c r="G612" s="628" t="s">
        <v>447</v>
      </c>
      <c r="H612" s="45"/>
      <c r="I612" s="277"/>
      <c r="J612" s="277"/>
      <c r="K612" s="38">
        <v>10000</v>
      </c>
      <c r="L612" s="39" t="s">
        <v>87</v>
      </c>
      <c r="M612" s="39" t="s">
        <v>24</v>
      </c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>x</v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9" s="226" customFormat="1" ht="15.75" customHeight="1">
      <c r="A613" s="219" t="str">
        <f>IF(B613&lt;&gt;"",IF(AND(B613&gt;=_TM1,B613&lt;=_TM2,OR(TH!L613="1111",TH!M613="1111")),TH!D613,""),"")</f>
        <v/>
      </c>
      <c r="B613" s="36">
        <f t="shared" si="16"/>
        <v>7</v>
      </c>
      <c r="C613" s="37">
        <v>41107</v>
      </c>
      <c r="D613" s="205" t="s">
        <v>546</v>
      </c>
      <c r="E613" s="37">
        <v>41107</v>
      </c>
      <c r="F613" s="40" t="s">
        <v>528</v>
      </c>
      <c r="G613" s="628" t="s">
        <v>447</v>
      </c>
      <c r="H613" s="45" t="s">
        <v>783</v>
      </c>
      <c r="I613" s="277"/>
      <c r="J613" s="277"/>
      <c r="K613" s="38">
        <v>37000000</v>
      </c>
      <c r="L613" s="39" t="s">
        <v>24</v>
      </c>
      <c r="M613" s="39" t="s">
        <v>49</v>
      </c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>x</v>
      </c>
      <c r="R613" s="55" t="str">
        <f>IF(ISERROR(FIND('112'!$M$9,G613,1)),"",IF((AND(FIND('112'!$M$9,G613,1)&gt;=1,$B613&gt;='112'!$N$8,$B613&lt;='112'!$O$8,OR($L613='112'!$I$6,$M613='112'!$I$6))),"x",""))</f>
        <v>x</v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9" s="226" customFormat="1" ht="15.75" customHeight="1">
      <c r="A614" s="219" t="str">
        <f>IF(B614&lt;&gt;"",IF(AND(B614&gt;=_TM1,B614&lt;=_TM2,OR(TH!L614="1111",TH!M614="1111")),TH!D614,""),"")</f>
        <v/>
      </c>
      <c r="B614" s="36">
        <f t="shared" si="16"/>
        <v>7</v>
      </c>
      <c r="C614" s="37">
        <v>41107</v>
      </c>
      <c r="D614" s="205" t="s">
        <v>597</v>
      </c>
      <c r="E614" s="37">
        <v>41107</v>
      </c>
      <c r="F614" s="40" t="s">
        <v>1039</v>
      </c>
      <c r="G614" s="628" t="s">
        <v>1061</v>
      </c>
      <c r="H614" s="7" t="s">
        <v>564</v>
      </c>
      <c r="I614" s="277">
        <v>250</v>
      </c>
      <c r="J614" s="277">
        <v>13999</v>
      </c>
      <c r="K614" s="38">
        <v>3499750</v>
      </c>
      <c r="L614" s="39" t="s">
        <v>191</v>
      </c>
      <c r="M614" s="750" t="s">
        <v>8</v>
      </c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  <c r="AC614" s="226" t="str">
        <f>IF(ISNA(VLOOKUP(F614,NXT!$C$18:$C$347,1,0)),x,"")</f>
        <v/>
      </c>
    </row>
    <row r="615" spans="1:29" s="226" customFormat="1" ht="15.75" customHeight="1">
      <c r="A615" s="219" t="str">
        <f>IF(B615&lt;&gt;"",IF(AND(B615&gt;=_TM1,B615&lt;=_TM2,OR(TH!L615="1111",TH!M615="1111")),TH!D615,""),"")</f>
        <v/>
      </c>
      <c r="B615" s="36">
        <f t="shared" si="16"/>
        <v>7</v>
      </c>
      <c r="C615" s="37">
        <v>41107</v>
      </c>
      <c r="D615" s="205" t="s">
        <v>597</v>
      </c>
      <c r="E615" s="37">
        <v>41107</v>
      </c>
      <c r="F615" s="40" t="s">
        <v>913</v>
      </c>
      <c r="G615" s="628" t="s">
        <v>1061</v>
      </c>
      <c r="H615" s="7" t="s">
        <v>564</v>
      </c>
      <c r="I615" s="277">
        <v>250</v>
      </c>
      <c r="J615" s="277">
        <v>14726</v>
      </c>
      <c r="K615" s="38">
        <v>3681500</v>
      </c>
      <c r="L615" s="39" t="s">
        <v>191</v>
      </c>
      <c r="M615" s="750" t="s">
        <v>8</v>
      </c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str">
        <f>IF(ISNA(VLOOKUP(F615,NXT!$C$18:$C$347,1,0)),x,"")</f>
        <v/>
      </c>
    </row>
    <row r="616" spans="1:29" s="226" customFormat="1" ht="15.75" customHeight="1">
      <c r="A616" s="219" t="str">
        <f>IF(B616&lt;&gt;"",IF(AND(B616&gt;=_TM1,B616&lt;=_TM2,OR(TH!L616="1111",TH!M616="1111")),TH!D616,""),"")</f>
        <v/>
      </c>
      <c r="B616" s="36">
        <f t="shared" si="16"/>
        <v>7</v>
      </c>
      <c r="C616" s="37">
        <v>41107</v>
      </c>
      <c r="D616" s="205" t="s">
        <v>597</v>
      </c>
      <c r="E616" s="37">
        <v>41107</v>
      </c>
      <c r="F616" s="40" t="s">
        <v>650</v>
      </c>
      <c r="G616" s="628" t="s">
        <v>1061</v>
      </c>
      <c r="H616" s="7" t="s">
        <v>564</v>
      </c>
      <c r="I616" s="277"/>
      <c r="J616" s="277"/>
      <c r="K616" s="38">
        <v>718125</v>
      </c>
      <c r="L616" s="39" t="s">
        <v>9</v>
      </c>
      <c r="M616" s="750" t="s">
        <v>8</v>
      </c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9" s="226" customFormat="1" ht="15.75" customHeight="1">
      <c r="A617" s="219" t="str">
        <f>IF(B617&lt;&gt;"",IF(AND(B617&gt;=_TM1,B617&lt;=_TM2,OR(TH!L617="1111",TH!M617="1111")),TH!D617,""),"")</f>
        <v/>
      </c>
      <c r="B617" s="36">
        <f t="shared" si="16"/>
        <v>7</v>
      </c>
      <c r="C617" s="37">
        <v>41108</v>
      </c>
      <c r="D617" s="205" t="s">
        <v>598</v>
      </c>
      <c r="E617" s="37">
        <v>41108</v>
      </c>
      <c r="F617" s="40" t="s">
        <v>868</v>
      </c>
      <c r="G617" s="628" t="s">
        <v>1062</v>
      </c>
      <c r="H617" s="7" t="s">
        <v>564</v>
      </c>
      <c r="I617" s="277">
        <v>750</v>
      </c>
      <c r="J617" s="277">
        <v>17625</v>
      </c>
      <c r="K617" s="38">
        <v>13218750</v>
      </c>
      <c r="L617" s="39" t="s">
        <v>191</v>
      </c>
      <c r="M617" s="750" t="s">
        <v>8</v>
      </c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str">
        <f>IF(ISNA(VLOOKUP(F617,NXT!$C$18:$C$347,1,0)),x,"")</f>
        <v/>
      </c>
    </row>
    <row r="618" spans="1:29" s="226" customFormat="1" ht="15.75" customHeight="1">
      <c r="A618" s="219" t="str">
        <f>IF(B618&lt;&gt;"",IF(AND(B618&gt;=_TM1,B618&lt;=_TM2,OR(TH!L618="1111",TH!M618="1111")),TH!D618,""),"")</f>
        <v/>
      </c>
      <c r="B618" s="36">
        <f t="shared" si="16"/>
        <v>7</v>
      </c>
      <c r="C618" s="37">
        <v>41108</v>
      </c>
      <c r="D618" s="205" t="s">
        <v>598</v>
      </c>
      <c r="E618" s="37">
        <v>41108</v>
      </c>
      <c r="F618" s="40" t="s">
        <v>650</v>
      </c>
      <c r="G618" s="40" t="s">
        <v>1062</v>
      </c>
      <c r="H618" s="7" t="s">
        <v>564</v>
      </c>
      <c r="I618" s="277"/>
      <c r="J618" s="277"/>
      <c r="K618" s="38">
        <v>1321875</v>
      </c>
      <c r="L618" s="39" t="s">
        <v>9</v>
      </c>
      <c r="M618" s="750" t="s">
        <v>8</v>
      </c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9" s="226" customFormat="1" ht="15.75" customHeight="1">
      <c r="A619" s="219" t="str">
        <f>IF(B619&lt;&gt;"",IF(AND(B619&gt;=_TM1,B619&lt;=_TM2,OR(TH!L619="1111",TH!M619="1111")),TH!D619,""),"")</f>
        <v/>
      </c>
      <c r="B619" s="36">
        <f t="shared" si="16"/>
        <v>7</v>
      </c>
      <c r="C619" s="37">
        <v>41109</v>
      </c>
      <c r="D619" s="205" t="s">
        <v>547</v>
      </c>
      <c r="E619" s="37">
        <v>41109</v>
      </c>
      <c r="F619" s="40" t="s">
        <v>528</v>
      </c>
      <c r="G619" s="40" t="s">
        <v>447</v>
      </c>
      <c r="H619" s="45" t="s">
        <v>783</v>
      </c>
      <c r="I619" s="277"/>
      <c r="J619" s="277"/>
      <c r="K619" s="38">
        <v>15000000</v>
      </c>
      <c r="L619" s="39" t="s">
        <v>24</v>
      </c>
      <c r="M619" s="39" t="s">
        <v>49</v>
      </c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>x</v>
      </c>
      <c r="R619" s="55" t="str">
        <f>IF(ISERROR(FIND('112'!$M$9,G619,1)),"",IF((AND(FIND('112'!$M$9,G619,1)&gt;=1,$B619&gt;='112'!$N$8,$B619&lt;='112'!$O$8,OR($L619='112'!$I$6,$M619='112'!$I$6))),"x",""))</f>
        <v>x</v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9" s="226" customFormat="1" ht="15.75" customHeight="1">
      <c r="A620" s="219" t="str">
        <f>IF(B620&lt;&gt;"",IF(AND(B620&gt;=_TM1,B620&lt;=_TM2,OR(TH!L620="1111",TH!M620="1111")),TH!D620,""),"")</f>
        <v/>
      </c>
      <c r="B620" s="36">
        <f t="shared" si="16"/>
        <v>7</v>
      </c>
      <c r="C620" s="37">
        <v>41109</v>
      </c>
      <c r="D620" s="205" t="s">
        <v>451</v>
      </c>
      <c r="E620" s="37">
        <v>41109</v>
      </c>
      <c r="F620" s="40" t="s">
        <v>532</v>
      </c>
      <c r="G620" s="40" t="s">
        <v>447</v>
      </c>
      <c r="H620" s="45"/>
      <c r="I620" s="277"/>
      <c r="J620" s="277"/>
      <c r="K620" s="38">
        <v>8361184</v>
      </c>
      <c r="L620" s="39" t="s">
        <v>8</v>
      </c>
      <c r="M620" s="39" t="s">
        <v>24</v>
      </c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>x</v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9" s="226" customFormat="1" ht="15.75" customHeight="1">
      <c r="A621" s="219" t="str">
        <f>IF(B621&lt;&gt;"",IF(AND(B621&gt;=_TM1,B621&lt;=_TM2,OR(TH!L621="1111",TH!M621="1111")),TH!D621,""),"")</f>
        <v/>
      </c>
      <c r="B621" s="36">
        <f t="shared" si="16"/>
        <v>7</v>
      </c>
      <c r="C621" s="37">
        <v>41109</v>
      </c>
      <c r="D621" s="205" t="s">
        <v>451</v>
      </c>
      <c r="E621" s="37">
        <v>41109</v>
      </c>
      <c r="F621" s="40" t="s">
        <v>532</v>
      </c>
      <c r="G621" s="40" t="s">
        <v>447</v>
      </c>
      <c r="H621" s="225"/>
      <c r="I621" s="277"/>
      <c r="J621" s="277"/>
      <c r="K621" s="38">
        <v>58000000</v>
      </c>
      <c r="L621" s="39" t="s">
        <v>8</v>
      </c>
      <c r="M621" s="39" t="s">
        <v>24</v>
      </c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>x</v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9" s="226" customFormat="1" ht="15.75" customHeight="1">
      <c r="A622" s="219" t="str">
        <f>IF(B622&lt;&gt;"",IF(AND(B622&gt;=_TM1,B622&lt;=_TM2,OR(TH!L622="1111",TH!M622="1111")),TH!D622,""),"")</f>
        <v/>
      </c>
      <c r="B622" s="36">
        <f t="shared" si="16"/>
        <v>7</v>
      </c>
      <c r="C622" s="37">
        <v>41109</v>
      </c>
      <c r="D622" s="205" t="s">
        <v>451</v>
      </c>
      <c r="E622" s="37">
        <v>41109</v>
      </c>
      <c r="F622" s="40" t="s">
        <v>453</v>
      </c>
      <c r="G622" s="40" t="s">
        <v>447</v>
      </c>
      <c r="H622" s="45"/>
      <c r="I622" s="277"/>
      <c r="J622" s="277"/>
      <c r="K622" s="38">
        <v>29000</v>
      </c>
      <c r="L622" s="39" t="s">
        <v>87</v>
      </c>
      <c r="M622" s="39" t="s">
        <v>24</v>
      </c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>x</v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9" s="226" customFormat="1" ht="15.75" customHeight="1">
      <c r="A623" s="219" t="str">
        <f>IF(B623&lt;&gt;"",IF(AND(B623&gt;=_TM1,B623&lt;=_TM2,OR(TH!L623="1111",TH!M623="1111")),TH!D623,""),"")</f>
        <v/>
      </c>
      <c r="B623" s="36">
        <f t="shared" si="16"/>
        <v>7</v>
      </c>
      <c r="C623" s="37">
        <v>41109</v>
      </c>
      <c r="D623" s="205" t="s">
        <v>451</v>
      </c>
      <c r="E623" s="37">
        <v>41109</v>
      </c>
      <c r="F623" s="40" t="s">
        <v>453</v>
      </c>
      <c r="G623" s="40" t="s">
        <v>447</v>
      </c>
      <c r="H623" s="45"/>
      <c r="I623" s="277"/>
      <c r="J623" s="277"/>
      <c r="K623" s="38">
        <v>10000</v>
      </c>
      <c r="L623" s="39" t="s">
        <v>87</v>
      </c>
      <c r="M623" s="39" t="s">
        <v>24</v>
      </c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>x</v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9" s="226" customFormat="1" ht="15.75" customHeight="1">
      <c r="A624" s="219" t="str">
        <f>IF(B624&lt;&gt;"",IF(AND(B624&gt;=_TM1,B624&lt;=_TM2,OR(TH!L624="1111",TH!M624="1111")),TH!D624,""),"")</f>
        <v/>
      </c>
      <c r="B624" s="36">
        <f t="shared" si="16"/>
        <v>7</v>
      </c>
      <c r="C624" s="37">
        <v>41109</v>
      </c>
      <c r="D624" s="205" t="s">
        <v>451</v>
      </c>
      <c r="E624" s="37">
        <v>41109</v>
      </c>
      <c r="F624" s="40" t="s">
        <v>942</v>
      </c>
      <c r="G624" s="40" t="s">
        <v>447</v>
      </c>
      <c r="H624" s="225"/>
      <c r="I624" s="277"/>
      <c r="J624" s="277"/>
      <c r="K624" s="38">
        <v>10000</v>
      </c>
      <c r="L624" s="39" t="s">
        <v>87</v>
      </c>
      <c r="M624" s="39" t="s">
        <v>24</v>
      </c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>x</v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29" s="226" customFormat="1" ht="15.75" customHeight="1">
      <c r="A625" s="219" t="str">
        <f>IF(B625&lt;&gt;"",IF(AND(B625&gt;=_TM1,B625&lt;=_TM2,OR(TH!L625="1111",TH!M625="1111")),TH!D625,""),"")</f>
        <v/>
      </c>
      <c r="B625" s="36">
        <f t="shared" si="16"/>
        <v>7</v>
      </c>
      <c r="C625" s="37">
        <v>41109</v>
      </c>
      <c r="D625" s="205" t="s">
        <v>599</v>
      </c>
      <c r="E625" s="37">
        <v>41109</v>
      </c>
      <c r="F625" s="40" t="s">
        <v>1037</v>
      </c>
      <c r="G625" s="40" t="s">
        <v>1063</v>
      </c>
      <c r="H625" s="7" t="s">
        <v>564</v>
      </c>
      <c r="I625" s="277">
        <v>1000</v>
      </c>
      <c r="J625" s="277">
        <v>14732</v>
      </c>
      <c r="K625" s="38">
        <v>14732000</v>
      </c>
      <c r="L625" s="39" t="s">
        <v>191</v>
      </c>
      <c r="M625" s="750" t="s">
        <v>8</v>
      </c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  <c r="AC625" s="226" t="str">
        <f>IF(ISNA(VLOOKUP(F625,NXT!$C$18:$C$347,1,0)),x,"")</f>
        <v/>
      </c>
    </row>
    <row r="626" spans="1:29" s="226" customFormat="1" ht="15.75" customHeight="1">
      <c r="A626" s="219" t="str">
        <f>IF(B626&lt;&gt;"",IF(AND(B626&gt;=_TM1,B626&lt;=_TM2,OR(TH!L626="1111",TH!M626="1111")),TH!D626,""),"")</f>
        <v/>
      </c>
      <c r="B626" s="36">
        <f t="shared" si="16"/>
        <v>7</v>
      </c>
      <c r="C626" s="37">
        <v>41109</v>
      </c>
      <c r="D626" s="205" t="s">
        <v>599</v>
      </c>
      <c r="E626" s="37">
        <v>41109</v>
      </c>
      <c r="F626" s="40" t="s">
        <v>1064</v>
      </c>
      <c r="G626" s="40" t="s">
        <v>1063</v>
      </c>
      <c r="H626" s="7" t="s">
        <v>564</v>
      </c>
      <c r="I626" s="277">
        <v>1500</v>
      </c>
      <c r="J626" s="277">
        <v>10668</v>
      </c>
      <c r="K626" s="38">
        <v>16002000</v>
      </c>
      <c r="L626" s="39" t="s">
        <v>191</v>
      </c>
      <c r="M626" s="750" t="s">
        <v>8</v>
      </c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str">
        <f>IF(ISNA(VLOOKUP(F626,NXT!$C$18:$C$347,1,0)),x,"")</f>
        <v/>
      </c>
    </row>
    <row r="627" spans="1:29" s="226" customFormat="1" ht="15.75" customHeight="1">
      <c r="A627" s="219" t="str">
        <f>IF(B627&lt;&gt;"",IF(AND(B627&gt;=_TM1,B627&lt;=_TM2,OR(TH!L627="1111",TH!M627="1111")),TH!D627,""),"")</f>
        <v/>
      </c>
      <c r="B627" s="36">
        <f t="shared" si="16"/>
        <v>7</v>
      </c>
      <c r="C627" s="37">
        <v>41109</v>
      </c>
      <c r="D627" s="205" t="s">
        <v>599</v>
      </c>
      <c r="E627" s="205">
        <v>41109</v>
      </c>
      <c r="F627" s="206" t="s">
        <v>1064</v>
      </c>
      <c r="G627" s="628" t="s">
        <v>1063</v>
      </c>
      <c r="H627" s="7" t="s">
        <v>564</v>
      </c>
      <c r="I627" s="277">
        <v>170</v>
      </c>
      <c r="J627" s="277">
        <v>10801</v>
      </c>
      <c r="K627" s="38">
        <v>1836170</v>
      </c>
      <c r="L627" s="208" t="s">
        <v>191</v>
      </c>
      <c r="M627" s="750" t="s">
        <v>8</v>
      </c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  <c r="AC627" s="226" t="str">
        <f>IF(ISNA(VLOOKUP(F627,NXT!$C$18:$C$347,1,0)),x,"")</f>
        <v/>
      </c>
    </row>
    <row r="628" spans="1:29" s="226" customFormat="1" ht="15.75" customHeight="1">
      <c r="A628" s="219" t="str">
        <f>IF(B628&lt;&gt;"",IF(AND(B628&gt;=_TM1,B628&lt;=_TM2,OR(TH!L628="1111",TH!M628="1111")),TH!D628,""),"")</f>
        <v/>
      </c>
      <c r="B628" s="36">
        <f t="shared" si="16"/>
        <v>7</v>
      </c>
      <c r="C628" s="37">
        <v>41109</v>
      </c>
      <c r="D628" s="205" t="s">
        <v>599</v>
      </c>
      <c r="E628" s="205">
        <v>41109</v>
      </c>
      <c r="F628" s="206" t="s">
        <v>1065</v>
      </c>
      <c r="G628" s="628" t="s">
        <v>1063</v>
      </c>
      <c r="H628" s="7" t="s">
        <v>564</v>
      </c>
      <c r="I628" s="277">
        <v>200</v>
      </c>
      <c r="J628" s="277">
        <v>4429</v>
      </c>
      <c r="K628" s="38">
        <v>885800</v>
      </c>
      <c r="L628" s="208" t="s">
        <v>191</v>
      </c>
      <c r="M628" s="750" t="s">
        <v>8</v>
      </c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str">
        <f>IF(ISNA(VLOOKUP(F628,NXT!$C$18:$C$347,1,0)),x,"")</f>
        <v/>
      </c>
    </row>
    <row r="629" spans="1:29" s="226" customFormat="1" ht="15.75" customHeight="1">
      <c r="A629" s="219" t="str">
        <f>IF(B629&lt;&gt;"",IF(AND(B629&gt;=_TM1,B629&lt;=_TM2,OR(TH!L629="1111",TH!M629="1111")),TH!D629,""),"")</f>
        <v/>
      </c>
      <c r="B629" s="36">
        <f t="shared" si="16"/>
        <v>7</v>
      </c>
      <c r="C629" s="37">
        <v>41109</v>
      </c>
      <c r="D629" s="205" t="s">
        <v>599</v>
      </c>
      <c r="E629" s="37">
        <v>41109</v>
      </c>
      <c r="F629" s="40" t="s">
        <v>1066</v>
      </c>
      <c r="G629" s="40" t="s">
        <v>1063</v>
      </c>
      <c r="H629" s="7" t="s">
        <v>564</v>
      </c>
      <c r="I629" s="277">
        <v>100</v>
      </c>
      <c r="J629" s="277">
        <v>16985</v>
      </c>
      <c r="K629" s="38">
        <v>1698500</v>
      </c>
      <c r="L629" s="39" t="s">
        <v>191</v>
      </c>
      <c r="M629" s="750" t="s">
        <v>8</v>
      </c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str">
        <f>IF(ISNA(VLOOKUP(F629,NXT!$C$18:$C$347,1,0)),x,"")</f>
        <v/>
      </c>
    </row>
    <row r="630" spans="1:29" s="226" customFormat="1" ht="15.75" customHeight="1">
      <c r="A630" s="219" t="str">
        <f>IF(B630&lt;&gt;"",IF(AND(B630&gt;=_TM1,B630&lt;=_TM2,OR(TH!L630="1111",TH!M630="1111")),TH!D630,""),"")</f>
        <v/>
      </c>
      <c r="B630" s="36">
        <f t="shared" si="16"/>
        <v>7</v>
      </c>
      <c r="C630" s="37">
        <v>41109</v>
      </c>
      <c r="D630" s="205" t="s">
        <v>599</v>
      </c>
      <c r="E630" s="37">
        <v>41109</v>
      </c>
      <c r="F630" s="40" t="s">
        <v>870</v>
      </c>
      <c r="G630" s="40" t="s">
        <v>1063</v>
      </c>
      <c r="H630" s="7" t="s">
        <v>564</v>
      </c>
      <c r="I630" s="277">
        <v>1500</v>
      </c>
      <c r="J630" s="277">
        <v>18306</v>
      </c>
      <c r="K630" s="38">
        <v>27459000</v>
      </c>
      <c r="L630" s="39" t="s">
        <v>191</v>
      </c>
      <c r="M630" s="750" t="s">
        <v>8</v>
      </c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str">
        <f>IF(ISNA(VLOOKUP(F630,NXT!$C$18:$C$347,1,0)),x,"")</f>
        <v/>
      </c>
    </row>
    <row r="631" spans="1:29" s="226" customFormat="1" ht="15.75" customHeight="1">
      <c r="A631" s="219" t="str">
        <f>IF(B631&lt;&gt;"",IF(AND(B631&gt;=_TM1,B631&lt;=_TM2,OR(TH!L631="1111",TH!M631="1111")),TH!D631,""),"")</f>
        <v/>
      </c>
      <c r="B631" s="36">
        <f t="shared" si="16"/>
        <v>7</v>
      </c>
      <c r="C631" s="37">
        <v>41109</v>
      </c>
      <c r="D631" s="205" t="s">
        <v>599</v>
      </c>
      <c r="E631" s="37">
        <v>41109</v>
      </c>
      <c r="F631" s="40" t="s">
        <v>650</v>
      </c>
      <c r="G631" s="40" t="s">
        <v>1063</v>
      </c>
      <c r="H631" s="7" t="s">
        <v>564</v>
      </c>
      <c r="I631" s="277"/>
      <c r="J631" s="277"/>
      <c r="K631" s="38">
        <v>6261347</v>
      </c>
      <c r="L631" s="39" t="s">
        <v>9</v>
      </c>
      <c r="M631" s="750" t="s">
        <v>8</v>
      </c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29" s="226" customFormat="1" ht="15.75" customHeight="1">
      <c r="A632" s="219" t="str">
        <f>IF(B632&lt;&gt;"",IF(AND(B632&gt;=_TM1,B632&lt;=_TM2,OR(TH!L632="1111",TH!M632="1111")),TH!D632,""),"")</f>
        <v/>
      </c>
      <c r="B632" s="36">
        <f t="shared" si="16"/>
        <v>7</v>
      </c>
      <c r="C632" s="37">
        <v>41110</v>
      </c>
      <c r="D632" s="205" t="s">
        <v>450</v>
      </c>
      <c r="E632" s="37">
        <v>41110</v>
      </c>
      <c r="F632" s="40" t="s">
        <v>452</v>
      </c>
      <c r="G632" s="40" t="s">
        <v>447</v>
      </c>
      <c r="H632" s="45"/>
      <c r="I632" s="277"/>
      <c r="J632" s="277"/>
      <c r="K632" s="38">
        <v>7345166</v>
      </c>
      <c r="L632" s="39" t="s">
        <v>24</v>
      </c>
      <c r="M632" s="39" t="s">
        <v>352</v>
      </c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>x</v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</row>
    <row r="633" spans="1:29" s="226" customFormat="1" ht="15.75" customHeight="1">
      <c r="A633" s="219" t="str">
        <f>IF(B633&lt;&gt;"",IF(AND(B633&gt;=_TM1,B633&lt;=_TM2,OR(TH!L633="1111",TH!M633="1111")),TH!D633,""),"")</f>
        <v/>
      </c>
      <c r="B633" s="36">
        <f t="shared" si="16"/>
        <v>7</v>
      </c>
      <c r="C633" s="37">
        <v>41110</v>
      </c>
      <c r="D633" s="205" t="s">
        <v>600</v>
      </c>
      <c r="E633" s="37">
        <v>41110</v>
      </c>
      <c r="F633" s="40" t="s">
        <v>1067</v>
      </c>
      <c r="G633" s="40" t="s">
        <v>1068</v>
      </c>
      <c r="H633" s="45" t="s">
        <v>1069</v>
      </c>
      <c r="I633" s="277">
        <v>120</v>
      </c>
      <c r="J633" s="277">
        <v>14061</v>
      </c>
      <c r="K633" s="38">
        <v>1687320</v>
      </c>
      <c r="L633" s="39" t="s">
        <v>191</v>
      </c>
      <c r="M633" s="750" t="s">
        <v>8</v>
      </c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  <c r="AC633" s="226" t="str">
        <f>IF(ISNA(VLOOKUP(F633,NXT!$C$18:$C$347,1,0)),x,"")</f>
        <v/>
      </c>
    </row>
    <row r="634" spans="1:29" s="226" customFormat="1" ht="15.75" customHeight="1">
      <c r="A634" s="219" t="str">
        <f>IF(B634&lt;&gt;"",IF(AND(B634&gt;=_TM1,B634&lt;=_TM2,OR(TH!L634="1111",TH!M634="1111")),TH!D634,""),"")</f>
        <v/>
      </c>
      <c r="B634" s="36">
        <f t="shared" si="16"/>
        <v>7</v>
      </c>
      <c r="C634" s="37">
        <v>41110</v>
      </c>
      <c r="D634" s="205" t="s">
        <v>600</v>
      </c>
      <c r="E634" s="37">
        <v>41110</v>
      </c>
      <c r="F634" s="40" t="s">
        <v>1070</v>
      </c>
      <c r="G634" s="40" t="s">
        <v>1068</v>
      </c>
      <c r="H634" s="45" t="s">
        <v>1069</v>
      </c>
      <c r="I634" s="277">
        <v>130</v>
      </c>
      <c r="J634" s="277">
        <v>13381</v>
      </c>
      <c r="K634" s="38">
        <v>1739530</v>
      </c>
      <c r="L634" s="39" t="s">
        <v>191</v>
      </c>
      <c r="M634" s="750" t="s">
        <v>8</v>
      </c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  <c r="AC634" s="226" t="str">
        <f>IF(ISNA(VLOOKUP(F634,NXT!$C$18:$C$347,1,0)),x,"")</f>
        <v/>
      </c>
    </row>
    <row r="635" spans="1:29" s="226" customFormat="1" ht="15.75" customHeight="1">
      <c r="A635" s="219" t="str">
        <f>IF(B635&lt;&gt;"",IF(AND(B635&gt;=_TM1,B635&lt;=_TM2,OR(TH!L635="1111",TH!M635="1111")),TH!D635,""),"")</f>
        <v/>
      </c>
      <c r="B635" s="36">
        <f t="shared" si="16"/>
        <v>7</v>
      </c>
      <c r="C635" s="37">
        <v>41110</v>
      </c>
      <c r="D635" s="205" t="s">
        <v>600</v>
      </c>
      <c r="E635" s="37">
        <v>41110</v>
      </c>
      <c r="F635" s="40" t="s">
        <v>1071</v>
      </c>
      <c r="G635" s="40" t="s">
        <v>1068</v>
      </c>
      <c r="H635" s="225" t="s">
        <v>1069</v>
      </c>
      <c r="I635" s="278">
        <v>250</v>
      </c>
      <c r="J635" s="278">
        <v>9676</v>
      </c>
      <c r="K635" s="38">
        <v>2419000</v>
      </c>
      <c r="L635" s="39" t="s">
        <v>191</v>
      </c>
      <c r="M635" s="750" t="s">
        <v>8</v>
      </c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  <c r="AC635" s="226" t="str">
        <f>IF(ISNA(VLOOKUP(F635,NXT!$C$18:$C$347,1,0)),x,"")</f>
        <v/>
      </c>
    </row>
    <row r="636" spans="1:29" s="226" customFormat="1" ht="15.75" customHeight="1">
      <c r="A636" s="219" t="str">
        <f>IF(B636&lt;&gt;"",IF(AND(B636&gt;=_TM1,B636&lt;=_TM2,OR(TH!L636="1111",TH!M636="1111")),TH!D636,""),"")</f>
        <v/>
      </c>
      <c r="B636" s="36">
        <f t="shared" si="16"/>
        <v>7</v>
      </c>
      <c r="C636" s="37">
        <v>41110</v>
      </c>
      <c r="D636" s="205" t="s">
        <v>600</v>
      </c>
      <c r="E636" s="37">
        <v>41110</v>
      </c>
      <c r="F636" s="40" t="s">
        <v>1072</v>
      </c>
      <c r="G636" s="40" t="s">
        <v>1068</v>
      </c>
      <c r="H636" s="45" t="s">
        <v>1069</v>
      </c>
      <c r="I636" s="277">
        <v>200</v>
      </c>
      <c r="J636" s="277">
        <v>10180</v>
      </c>
      <c r="K636" s="38">
        <v>2036000</v>
      </c>
      <c r="L636" s="39" t="s">
        <v>191</v>
      </c>
      <c r="M636" s="750" t="s">
        <v>8</v>
      </c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str">
        <f>IF(ISNA(VLOOKUP(F636,NXT!$C$18:$C$347,1,0)),x,"")</f>
        <v/>
      </c>
    </row>
    <row r="637" spans="1:29" s="226" customFormat="1" ht="15.75" customHeight="1">
      <c r="A637" s="219" t="str">
        <f>IF(B637&lt;&gt;"",IF(AND(B637&gt;=_TM1,B637&lt;=_TM2,OR(TH!L637="1111",TH!M637="1111")),TH!D637,""),"")</f>
        <v/>
      </c>
      <c r="B637" s="36">
        <f t="shared" si="16"/>
        <v>7</v>
      </c>
      <c r="C637" s="37">
        <v>41110</v>
      </c>
      <c r="D637" s="205" t="s">
        <v>600</v>
      </c>
      <c r="E637" s="37">
        <v>41110</v>
      </c>
      <c r="F637" s="40" t="s">
        <v>1073</v>
      </c>
      <c r="G637" s="40" t="s">
        <v>1068</v>
      </c>
      <c r="H637" s="45" t="s">
        <v>1069</v>
      </c>
      <c r="I637" s="277"/>
      <c r="J637" s="277"/>
      <c r="K637" s="38">
        <v>788185</v>
      </c>
      <c r="L637" s="39" t="s">
        <v>9</v>
      </c>
      <c r="M637" s="750" t="s">
        <v>8</v>
      </c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29" s="226" customFormat="1" ht="15.75" customHeight="1">
      <c r="A638" s="219" t="str">
        <f>IF(B638&lt;&gt;"",IF(AND(B638&gt;=_TM1,B638&lt;=_TM2,OR(TH!L638="1111",TH!M638="1111")),TH!D638,""),"")</f>
        <v/>
      </c>
      <c r="B638" s="36">
        <f t="shared" si="16"/>
        <v>7</v>
      </c>
      <c r="C638" s="37">
        <v>41110</v>
      </c>
      <c r="D638" s="205" t="s">
        <v>548</v>
      </c>
      <c r="E638" s="37">
        <v>41110</v>
      </c>
      <c r="F638" s="40" t="s">
        <v>1074</v>
      </c>
      <c r="G638" s="627" t="s">
        <v>1075</v>
      </c>
      <c r="H638" s="45" t="s">
        <v>533</v>
      </c>
      <c r="I638" s="277"/>
      <c r="J638" s="277"/>
      <c r="K638" s="38">
        <v>3660000</v>
      </c>
      <c r="L638" s="39" t="s">
        <v>199</v>
      </c>
      <c r="M638" s="39" t="s">
        <v>49</v>
      </c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>x</v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29" s="226" customFormat="1" ht="15.75" customHeight="1">
      <c r="A639" s="219" t="str">
        <f>IF(B639&lt;&gt;"",IF(AND(B639&gt;=_TM1,B639&lt;=_TM2,OR(TH!L639="1111",TH!M639="1111")),TH!D639,""),"")</f>
        <v/>
      </c>
      <c r="B639" s="36">
        <f t="shared" si="16"/>
        <v>7</v>
      </c>
      <c r="C639" s="37">
        <v>41110</v>
      </c>
      <c r="D639" s="205" t="s">
        <v>548</v>
      </c>
      <c r="E639" s="37">
        <v>41110</v>
      </c>
      <c r="F639" s="40" t="s">
        <v>459</v>
      </c>
      <c r="G639" s="40" t="s">
        <v>1075</v>
      </c>
      <c r="H639" s="45" t="s">
        <v>533</v>
      </c>
      <c r="I639" s="277"/>
      <c r="J639" s="277"/>
      <c r="K639" s="38">
        <v>366000</v>
      </c>
      <c r="L639" s="39" t="s">
        <v>9</v>
      </c>
      <c r="M639" s="39" t="s">
        <v>49</v>
      </c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>x</v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29" s="226" customFormat="1" ht="15.75" customHeight="1">
      <c r="A640" s="219" t="str">
        <f>IF(B640&lt;&gt;"",IF(AND(B640&gt;=_TM1,B640&lt;=_TM2,OR(TH!L640="1111",TH!M640="1111")),TH!D640,""),"")</f>
        <v/>
      </c>
      <c r="B640" s="36">
        <f t="shared" si="16"/>
        <v>7</v>
      </c>
      <c r="C640" s="37">
        <v>41113</v>
      </c>
      <c r="D640" s="37" t="s">
        <v>450</v>
      </c>
      <c r="E640" s="37">
        <v>41113</v>
      </c>
      <c r="F640" s="40" t="s">
        <v>452</v>
      </c>
      <c r="G640" s="627" t="s">
        <v>447</v>
      </c>
      <c r="H640" s="45"/>
      <c r="I640" s="277"/>
      <c r="J640" s="277"/>
      <c r="K640" s="38">
        <v>38186115</v>
      </c>
      <c r="L640" s="39" t="s">
        <v>24</v>
      </c>
      <c r="M640" s="39" t="s">
        <v>352</v>
      </c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>x</v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</row>
    <row r="641" spans="1:29" s="226" customFormat="1" ht="15.75" customHeight="1">
      <c r="A641" s="219" t="str">
        <f>IF(B641&lt;&gt;"",IF(AND(B641&gt;=_TM1,B641&lt;=_TM2,OR(TH!L641="1111",TH!M641="1111")),TH!D641,""),"")</f>
        <v/>
      </c>
      <c r="B641" s="36">
        <f t="shared" si="16"/>
        <v>7</v>
      </c>
      <c r="C641" s="37">
        <v>41114</v>
      </c>
      <c r="D641" s="37" t="s">
        <v>540</v>
      </c>
      <c r="E641" s="37">
        <v>41114</v>
      </c>
      <c r="F641" s="40" t="s">
        <v>627</v>
      </c>
      <c r="G641" s="628" t="s">
        <v>447</v>
      </c>
      <c r="H641" s="225" t="s">
        <v>783</v>
      </c>
      <c r="I641" s="277"/>
      <c r="J641" s="277"/>
      <c r="K641" s="38">
        <v>7500000</v>
      </c>
      <c r="L641" s="39" t="s">
        <v>49</v>
      </c>
      <c r="M641" s="39" t="s">
        <v>24</v>
      </c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>x</v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>x</v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29" s="226" customFormat="1" ht="15.75" customHeight="1">
      <c r="A642" s="219" t="str">
        <f>IF(B642&lt;&gt;"",IF(AND(B642&gt;=_TM1,B642&lt;=_TM2,OR(TH!L642="1111",TH!M642="1111")),TH!D642,""),"")</f>
        <v/>
      </c>
      <c r="B642" s="36">
        <f t="shared" si="16"/>
        <v>7</v>
      </c>
      <c r="C642" s="37">
        <v>41115</v>
      </c>
      <c r="D642" s="37" t="s">
        <v>450</v>
      </c>
      <c r="E642" s="37">
        <v>41115</v>
      </c>
      <c r="F642" s="40" t="s">
        <v>452</v>
      </c>
      <c r="G642" s="628" t="s">
        <v>447</v>
      </c>
      <c r="H642" s="45"/>
      <c r="I642" s="277"/>
      <c r="J642" s="277"/>
      <c r="K642" s="38">
        <v>14544464</v>
      </c>
      <c r="L642" s="39" t="s">
        <v>24</v>
      </c>
      <c r="M642" s="39" t="s">
        <v>352</v>
      </c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>x</v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</row>
    <row r="643" spans="1:29" s="226" customFormat="1" ht="15.75" customHeight="1">
      <c r="A643" s="219" t="str">
        <f>IF(B643&lt;&gt;"",IF(AND(B643&gt;=_TM1,B643&lt;=_TM2,OR(TH!L643="1111",TH!M643="1111")),TH!D643,""),"")</f>
        <v/>
      </c>
      <c r="B643" s="36">
        <f t="shared" si="16"/>
        <v>7</v>
      </c>
      <c r="C643" s="37">
        <v>41115</v>
      </c>
      <c r="D643" s="37" t="s">
        <v>450</v>
      </c>
      <c r="E643" s="37">
        <v>41115</v>
      </c>
      <c r="F643" s="40" t="s">
        <v>530</v>
      </c>
      <c r="G643" s="628" t="s">
        <v>447</v>
      </c>
      <c r="H643" s="45"/>
      <c r="I643" s="277"/>
      <c r="J643" s="277"/>
      <c r="K643" s="38">
        <v>62825</v>
      </c>
      <c r="L643" s="39" t="s">
        <v>24</v>
      </c>
      <c r="M643" s="39" t="s">
        <v>41</v>
      </c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>x</v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29" s="226" customFormat="1" ht="15.75" customHeight="1">
      <c r="A644" s="219" t="str">
        <f>IF(B644&lt;&gt;"",IF(AND(B644&gt;=_TM1,B644&lt;=_TM2,OR(TH!L644="1111",TH!M644="1111")),TH!D644,""),"")</f>
        <v/>
      </c>
      <c r="B644" s="36">
        <f t="shared" si="16"/>
        <v>7</v>
      </c>
      <c r="C644" s="37">
        <v>41115</v>
      </c>
      <c r="D644" s="205" t="s">
        <v>601</v>
      </c>
      <c r="E644" s="37">
        <v>41115</v>
      </c>
      <c r="F644" s="40" t="s">
        <v>903</v>
      </c>
      <c r="G644" s="628" t="s">
        <v>1076</v>
      </c>
      <c r="H644" s="7" t="s">
        <v>564</v>
      </c>
      <c r="I644" s="277">
        <v>564</v>
      </c>
      <c r="J644" s="277">
        <v>22301</v>
      </c>
      <c r="K644" s="38">
        <v>12577764</v>
      </c>
      <c r="L644" s="39" t="s">
        <v>191</v>
      </c>
      <c r="M644" s="750" t="s">
        <v>8</v>
      </c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  <c r="AC644" s="226" t="str">
        <f>IF(ISNA(VLOOKUP(F644,NXT!$C$18:$C$347,1,0)),x,"")</f>
        <v/>
      </c>
    </row>
    <row r="645" spans="1:29" s="226" customFormat="1" ht="15.75" customHeight="1">
      <c r="A645" s="219" t="str">
        <f>IF(B645&lt;&gt;"",IF(AND(B645&gt;=_TM1,B645&lt;=_TM2,OR(TH!L645="1111",TH!M645="1111")),TH!D645,""),"")</f>
        <v/>
      </c>
      <c r="B645" s="36">
        <f t="shared" si="16"/>
        <v>7</v>
      </c>
      <c r="C645" s="37">
        <v>41115</v>
      </c>
      <c r="D645" s="205" t="s">
        <v>601</v>
      </c>
      <c r="E645" s="37">
        <v>41115</v>
      </c>
      <c r="F645" s="40" t="s">
        <v>1077</v>
      </c>
      <c r="G645" s="628" t="s">
        <v>1076</v>
      </c>
      <c r="H645" s="7" t="s">
        <v>564</v>
      </c>
      <c r="I645" s="277">
        <v>170</v>
      </c>
      <c r="J645" s="277">
        <v>29411</v>
      </c>
      <c r="K645" s="38">
        <v>4999870</v>
      </c>
      <c r="L645" s="39" t="s">
        <v>191</v>
      </c>
      <c r="M645" s="750" t="s">
        <v>8</v>
      </c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  <c r="AC645" s="226" t="str">
        <f>IF(ISNA(VLOOKUP(F645,NXT!$C$18:$C$347,1,0)),x,"")</f>
        <v/>
      </c>
    </row>
    <row r="646" spans="1:29" s="226" customFormat="1" ht="15.75" customHeight="1">
      <c r="A646" s="219" t="str">
        <f>IF(B646&lt;&gt;"",IF(AND(B646&gt;=_TM1,B646&lt;=_TM2,OR(TH!L646="1111",TH!M646="1111")),TH!D646,""),"")</f>
        <v/>
      </c>
      <c r="B646" s="36">
        <f t="shared" si="16"/>
        <v>7</v>
      </c>
      <c r="C646" s="37">
        <v>41115</v>
      </c>
      <c r="D646" s="205" t="s">
        <v>601</v>
      </c>
      <c r="E646" s="37">
        <v>41115</v>
      </c>
      <c r="F646" s="40" t="s">
        <v>903</v>
      </c>
      <c r="G646" s="628" t="s">
        <v>1076</v>
      </c>
      <c r="H646" s="7" t="s">
        <v>564</v>
      </c>
      <c r="I646" s="277">
        <v>436</v>
      </c>
      <c r="J646" s="277">
        <v>22301</v>
      </c>
      <c r="K646" s="38">
        <v>9723236</v>
      </c>
      <c r="L646" s="39" t="s">
        <v>191</v>
      </c>
      <c r="M646" s="750" t="s">
        <v>8</v>
      </c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str">
        <f>IF(ISNA(VLOOKUP(F646,NXT!$C$18:$C$347,1,0)),x,"")</f>
        <v/>
      </c>
    </row>
    <row r="647" spans="1:29" s="226" customFormat="1" ht="15.75" customHeight="1">
      <c r="A647" s="219" t="str">
        <f>IF(B647&lt;&gt;"",IF(AND(B647&gt;=_TM1,B647&lt;=_TM2,OR(TH!L647="1111",TH!M647="1111")),TH!D647,""),"")</f>
        <v/>
      </c>
      <c r="B647" s="36">
        <f t="shared" si="16"/>
        <v>7</v>
      </c>
      <c r="C647" s="37">
        <v>41115</v>
      </c>
      <c r="D647" s="205" t="s">
        <v>601</v>
      </c>
      <c r="E647" s="37">
        <v>41115</v>
      </c>
      <c r="F647" s="40" t="s">
        <v>650</v>
      </c>
      <c r="G647" s="628" t="s">
        <v>1076</v>
      </c>
      <c r="H647" s="7" t="s">
        <v>564</v>
      </c>
      <c r="I647" s="277"/>
      <c r="J647" s="277"/>
      <c r="K647" s="38">
        <v>2730087</v>
      </c>
      <c r="L647" s="39" t="s">
        <v>9</v>
      </c>
      <c r="M647" s="750" t="s">
        <v>8</v>
      </c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29" s="226" customFormat="1" ht="15.75" customHeight="1">
      <c r="A648" s="219" t="str">
        <f>IF(B648&lt;&gt;"",IF(AND(B648&gt;=_TM1,B648&lt;=_TM2,OR(TH!L648="1111",TH!M648="1111")),TH!D648,""),"")</f>
        <v/>
      </c>
      <c r="B648" s="36">
        <f t="shared" si="16"/>
        <v>7</v>
      </c>
      <c r="C648" s="37">
        <v>41117</v>
      </c>
      <c r="D648" s="205" t="s">
        <v>450</v>
      </c>
      <c r="E648" s="37">
        <v>41117</v>
      </c>
      <c r="F648" s="40" t="s">
        <v>452</v>
      </c>
      <c r="G648" s="628" t="s">
        <v>447</v>
      </c>
      <c r="H648" s="45"/>
      <c r="I648" s="277"/>
      <c r="J648" s="277"/>
      <c r="K648" s="38">
        <v>5005000</v>
      </c>
      <c r="L648" s="39" t="s">
        <v>24</v>
      </c>
      <c r="M648" s="39" t="s">
        <v>352</v>
      </c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>x</v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</row>
    <row r="649" spans="1:29" s="226" customFormat="1" ht="15.75" customHeight="1">
      <c r="A649" s="219" t="str">
        <f>IF(B649&lt;&gt;"",IF(AND(B649&gt;=_TM1,B649&lt;=_TM2,OR(TH!L649="1111",TH!M649="1111")),TH!D649,""),"")</f>
        <v/>
      </c>
      <c r="B649" s="36">
        <f t="shared" si="16"/>
        <v>7</v>
      </c>
      <c r="C649" s="37">
        <v>41117</v>
      </c>
      <c r="D649" s="205" t="s">
        <v>602</v>
      </c>
      <c r="E649" s="205">
        <v>41117</v>
      </c>
      <c r="F649" s="206" t="s">
        <v>850</v>
      </c>
      <c r="G649" s="206" t="s">
        <v>1078</v>
      </c>
      <c r="H649" s="7" t="s">
        <v>564</v>
      </c>
      <c r="I649" s="277">
        <v>260</v>
      </c>
      <c r="J649" s="277">
        <v>8505</v>
      </c>
      <c r="K649" s="38">
        <v>2211300</v>
      </c>
      <c r="L649" s="208" t="s">
        <v>191</v>
      </c>
      <c r="M649" s="750" t="s">
        <v>8</v>
      </c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str">
        <f>IF(ISNA(VLOOKUP(F649,NXT!$C$18:$C$347,1,0)),x,"")</f>
        <v/>
      </c>
    </row>
    <row r="650" spans="1:29" s="226" customFormat="1" ht="15.75" customHeight="1">
      <c r="A650" s="219" t="str">
        <f>IF(B650&lt;&gt;"",IF(AND(B650&gt;=_TM1,B650&lt;=_TM2,OR(TH!L650="1111",TH!M650="1111")),TH!D650,""),"")</f>
        <v/>
      </c>
      <c r="B650" s="36">
        <f t="shared" si="16"/>
        <v>7</v>
      </c>
      <c r="C650" s="37">
        <v>41117</v>
      </c>
      <c r="D650" s="205" t="s">
        <v>602</v>
      </c>
      <c r="E650" s="205">
        <v>41117</v>
      </c>
      <c r="F650" s="206" t="s">
        <v>838</v>
      </c>
      <c r="G650" s="628" t="s">
        <v>1078</v>
      </c>
      <c r="H650" s="7" t="s">
        <v>564</v>
      </c>
      <c r="I650" s="277">
        <v>500</v>
      </c>
      <c r="J650" s="277">
        <v>9828</v>
      </c>
      <c r="K650" s="38">
        <v>4914000</v>
      </c>
      <c r="L650" s="208" t="s">
        <v>191</v>
      </c>
      <c r="M650" s="750" t="s">
        <v>8</v>
      </c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  <c r="AC650" s="226" t="str">
        <f>IF(ISNA(VLOOKUP(F650,NXT!$C$18:$C$347,1,0)),x,"")</f>
        <v/>
      </c>
    </row>
    <row r="651" spans="1:29" s="226" customFormat="1" ht="15.75" customHeight="1">
      <c r="A651" s="219" t="str">
        <f>IF(B651&lt;&gt;"",IF(AND(B651&gt;=_TM1,B651&lt;=_TM2,OR(TH!L651="1111",TH!M651="1111")),TH!D651,""),"")</f>
        <v/>
      </c>
      <c r="B651" s="36">
        <f t="shared" si="16"/>
        <v>7</v>
      </c>
      <c r="C651" s="37">
        <v>41117</v>
      </c>
      <c r="D651" s="205" t="s">
        <v>602</v>
      </c>
      <c r="E651" s="205">
        <v>41117</v>
      </c>
      <c r="F651" s="206" t="s">
        <v>877</v>
      </c>
      <c r="G651" s="628" t="s">
        <v>1078</v>
      </c>
      <c r="H651" s="7" t="s">
        <v>564</v>
      </c>
      <c r="I651" s="277">
        <v>1600</v>
      </c>
      <c r="J651" s="277">
        <v>10775</v>
      </c>
      <c r="K651" s="38">
        <v>17240000</v>
      </c>
      <c r="L651" s="208" t="s">
        <v>191</v>
      </c>
      <c r="M651" s="750" t="s">
        <v>8</v>
      </c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  <c r="AC651" s="226" t="str">
        <f>IF(ISNA(VLOOKUP(F651,NXT!$C$18:$C$347,1,0)),x,"")</f>
        <v/>
      </c>
    </row>
    <row r="652" spans="1:29" s="226" customFormat="1" ht="15.75" customHeight="1">
      <c r="A652" s="219" t="str">
        <f>IF(B652&lt;&gt;"",IF(AND(B652&gt;=_TM1,B652&lt;=_TM2,OR(TH!L652="1111",TH!M652="1111")),TH!D652,""),"")</f>
        <v/>
      </c>
      <c r="B652" s="36">
        <f t="shared" si="16"/>
        <v>7</v>
      </c>
      <c r="C652" s="37">
        <v>41117</v>
      </c>
      <c r="D652" s="205" t="s">
        <v>602</v>
      </c>
      <c r="E652" s="37">
        <v>41117</v>
      </c>
      <c r="F652" s="40" t="s">
        <v>1079</v>
      </c>
      <c r="G652" s="40" t="s">
        <v>1078</v>
      </c>
      <c r="H652" s="7" t="s">
        <v>564</v>
      </c>
      <c r="I652" s="277">
        <v>110</v>
      </c>
      <c r="J652" s="277">
        <v>19950</v>
      </c>
      <c r="K652" s="38">
        <v>2194500</v>
      </c>
      <c r="L652" s="39" t="s">
        <v>191</v>
      </c>
      <c r="M652" s="750" t="s">
        <v>8</v>
      </c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  <c r="AC652" s="226" t="str">
        <f>IF(ISNA(VLOOKUP(F652,NXT!$C$18:$C$347,1,0)),x,"")</f>
        <v/>
      </c>
    </row>
    <row r="653" spans="1:29" s="226" customFormat="1" ht="15.75" customHeight="1">
      <c r="A653" s="219" t="str">
        <f>IF(B653&lt;&gt;"",IF(AND(B653&gt;=_TM1,B653&lt;=_TM2,OR(TH!L653="1111",TH!M653="1111")),TH!D653,""),"")</f>
        <v/>
      </c>
      <c r="B653" s="36">
        <f t="shared" si="16"/>
        <v>7</v>
      </c>
      <c r="C653" s="37">
        <v>41117</v>
      </c>
      <c r="D653" s="205" t="s">
        <v>602</v>
      </c>
      <c r="E653" s="37">
        <v>41117</v>
      </c>
      <c r="F653" s="40" t="s">
        <v>650</v>
      </c>
      <c r="G653" s="40" t="s">
        <v>1078</v>
      </c>
      <c r="H653" s="7" t="s">
        <v>564</v>
      </c>
      <c r="I653" s="277"/>
      <c r="J653" s="277"/>
      <c r="K653" s="38">
        <v>2655980</v>
      </c>
      <c r="L653" s="39" t="s">
        <v>9</v>
      </c>
      <c r="M653" s="750" t="s">
        <v>8</v>
      </c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29" s="226" customFormat="1" ht="15.75" customHeight="1">
      <c r="A654" s="219" t="str">
        <f>IF(B654&lt;&gt;"",IF(AND(B654&gt;=_TM1,B654&lt;=_TM2,OR(TH!L654="1111",TH!M654="1111")),TH!D654,""),"")</f>
        <v/>
      </c>
      <c r="B654" s="36">
        <f t="shared" si="16"/>
        <v>7</v>
      </c>
      <c r="C654" s="37">
        <v>41118</v>
      </c>
      <c r="D654" s="205" t="s">
        <v>549</v>
      </c>
      <c r="E654" s="37">
        <v>41118</v>
      </c>
      <c r="F654" s="40" t="s">
        <v>528</v>
      </c>
      <c r="G654" s="40" t="s">
        <v>447</v>
      </c>
      <c r="H654" s="45" t="s">
        <v>783</v>
      </c>
      <c r="I654" s="277"/>
      <c r="J654" s="277"/>
      <c r="K654" s="38">
        <v>12000000</v>
      </c>
      <c r="L654" s="39" t="s">
        <v>24</v>
      </c>
      <c r="M654" s="39" t="s">
        <v>49</v>
      </c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>x</v>
      </c>
      <c r="R654" s="55" t="str">
        <f>IF(ISERROR(FIND('112'!$M$9,G654,1)),"",IF((AND(FIND('112'!$M$9,G654,1)&gt;=1,$B654&gt;='112'!$N$8,$B654&lt;='112'!$O$8,OR($L654='112'!$I$6,$M654='112'!$I$6))),"x",""))</f>
        <v>x</v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29" s="226" customFormat="1" ht="15.75" customHeight="1">
      <c r="A655" s="219" t="str">
        <f>IF(B655&lt;&gt;"",IF(AND(B655&gt;=_TM1,B655&lt;=_TM2,OR(TH!L655="1111",TH!M655="1111")),TH!D655,""),"")</f>
        <v/>
      </c>
      <c r="B655" s="36">
        <f t="shared" si="16"/>
        <v>7</v>
      </c>
      <c r="C655" s="37">
        <v>41118</v>
      </c>
      <c r="D655" s="205" t="s">
        <v>603</v>
      </c>
      <c r="E655" s="37">
        <v>41118</v>
      </c>
      <c r="F655" s="40" t="s">
        <v>861</v>
      </c>
      <c r="G655" s="40" t="s">
        <v>1080</v>
      </c>
      <c r="H655" s="7" t="s">
        <v>564</v>
      </c>
      <c r="I655" s="278">
        <v>260</v>
      </c>
      <c r="J655" s="278">
        <v>17722</v>
      </c>
      <c r="K655" s="38">
        <v>4607720</v>
      </c>
      <c r="L655" s="39" t="s">
        <v>191</v>
      </c>
      <c r="M655" s="750" t="s">
        <v>8</v>
      </c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  <c r="AC655" s="226" t="str">
        <f>IF(ISNA(VLOOKUP(F655,NXT!$C$18:$C$347,1,0)),x,"")</f>
        <v/>
      </c>
    </row>
    <row r="656" spans="1:29" s="226" customFormat="1" ht="15.75" customHeight="1">
      <c r="A656" s="219" t="str">
        <f>IF(B656&lt;&gt;"",IF(AND(B656&gt;=_TM1,B656&lt;=_TM2,OR(TH!L656="1111",TH!M656="1111")),TH!D656,""),"")</f>
        <v/>
      </c>
      <c r="B656" s="36">
        <f t="shared" si="16"/>
        <v>7</v>
      </c>
      <c r="C656" s="37">
        <v>41118</v>
      </c>
      <c r="D656" s="205" t="s">
        <v>603</v>
      </c>
      <c r="E656" s="37">
        <v>41118</v>
      </c>
      <c r="F656" s="40" t="s">
        <v>1081</v>
      </c>
      <c r="G656" s="40" t="s">
        <v>1080</v>
      </c>
      <c r="H656" s="7" t="s">
        <v>564</v>
      </c>
      <c r="I656" s="277">
        <v>340</v>
      </c>
      <c r="J656" s="277">
        <v>15889</v>
      </c>
      <c r="K656" s="38">
        <v>5402260</v>
      </c>
      <c r="L656" s="39" t="s">
        <v>191</v>
      </c>
      <c r="M656" s="750" t="s">
        <v>8</v>
      </c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  <c r="AC656" s="226" t="str">
        <f>IF(ISNA(VLOOKUP(F656,NXT!$C$18:$C$347,1,0)),x,"")</f>
        <v/>
      </c>
    </row>
    <row r="657" spans="1:29" s="226" customFormat="1" ht="15.75" customHeight="1">
      <c r="A657" s="219" t="str">
        <f>IF(B657&lt;&gt;"",IF(AND(B657&gt;=_TM1,B657&lt;=_TM2,OR(TH!L657="1111",TH!M657="1111")),TH!D657,""),"")</f>
        <v/>
      </c>
      <c r="B657" s="36">
        <f t="shared" si="16"/>
        <v>7</v>
      </c>
      <c r="C657" s="37">
        <v>41118</v>
      </c>
      <c r="D657" s="205" t="s">
        <v>603</v>
      </c>
      <c r="E657" s="37">
        <v>41118</v>
      </c>
      <c r="F657" s="40" t="s">
        <v>1005</v>
      </c>
      <c r="G657" s="40" t="s">
        <v>1080</v>
      </c>
      <c r="H657" s="7" t="s">
        <v>564</v>
      </c>
      <c r="I657" s="277">
        <v>520</v>
      </c>
      <c r="J657" s="277">
        <v>23028</v>
      </c>
      <c r="K657" s="38">
        <v>11974560</v>
      </c>
      <c r="L657" s="39" t="s">
        <v>191</v>
      </c>
      <c r="M657" s="750" t="s">
        <v>8</v>
      </c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str">
        <f>IF(ISNA(VLOOKUP(F657,NXT!$C$18:$C$347,1,0)),x,"")</f>
        <v/>
      </c>
    </row>
    <row r="658" spans="1:29" s="226" customFormat="1" ht="15.75" customHeight="1">
      <c r="A658" s="219" t="str">
        <f>IF(B658&lt;&gt;"",IF(AND(B658&gt;=_TM1,B658&lt;=_TM2,OR(TH!L658="1111",TH!M658="1111")),TH!D658,""),"")</f>
        <v/>
      </c>
      <c r="B658" s="36">
        <f t="shared" si="16"/>
        <v>7</v>
      </c>
      <c r="C658" s="37">
        <v>41118</v>
      </c>
      <c r="D658" s="205" t="s">
        <v>603</v>
      </c>
      <c r="E658" s="37">
        <v>41118</v>
      </c>
      <c r="F658" s="40" t="s">
        <v>877</v>
      </c>
      <c r="G658" s="40" t="s">
        <v>1080</v>
      </c>
      <c r="H658" s="7" t="s">
        <v>564</v>
      </c>
      <c r="I658" s="277">
        <v>2000</v>
      </c>
      <c r="J658" s="277">
        <v>10775</v>
      </c>
      <c r="K658" s="38">
        <v>21550000</v>
      </c>
      <c r="L658" s="39" t="s">
        <v>191</v>
      </c>
      <c r="M658" s="750" t="s">
        <v>8</v>
      </c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str">
        <f>IF(ISNA(VLOOKUP(F658,NXT!$C$18:$C$347,1,0)),x,"")</f>
        <v/>
      </c>
    </row>
    <row r="659" spans="1:29" s="226" customFormat="1" ht="15.75" customHeight="1">
      <c r="A659" s="219" t="str">
        <f>IF(B659&lt;&gt;"",IF(AND(B659&gt;=_TM1,B659&lt;=_TM2,OR(TH!L659="1111",TH!M659="1111")),TH!D659,""),"")</f>
        <v/>
      </c>
      <c r="B659" s="36">
        <f t="shared" si="16"/>
        <v>7</v>
      </c>
      <c r="C659" s="37">
        <v>41118</v>
      </c>
      <c r="D659" s="205" t="s">
        <v>603</v>
      </c>
      <c r="E659" s="37">
        <v>41118</v>
      </c>
      <c r="F659" s="40" t="s">
        <v>841</v>
      </c>
      <c r="G659" s="40" t="s">
        <v>1080</v>
      </c>
      <c r="H659" s="7" t="s">
        <v>564</v>
      </c>
      <c r="I659" s="277">
        <v>90</v>
      </c>
      <c r="J659" s="277">
        <v>11150</v>
      </c>
      <c r="K659" s="38">
        <v>1003500</v>
      </c>
      <c r="L659" s="39" t="s">
        <v>191</v>
      </c>
      <c r="M659" s="750" t="s">
        <v>8</v>
      </c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str">
        <f>IF(ISNA(VLOOKUP(F659,NXT!$C$18:$C$347,1,0)),x,"")</f>
        <v/>
      </c>
    </row>
    <row r="660" spans="1:29" s="226" customFormat="1" ht="15.75" customHeight="1">
      <c r="A660" s="219" t="str">
        <f>IF(B660&lt;&gt;"",IF(AND(B660&gt;=_TM1,B660&lt;=_TM2,OR(TH!L660="1111",TH!M660="1111")),TH!D660,""),"")</f>
        <v/>
      </c>
      <c r="B660" s="36">
        <f t="shared" si="16"/>
        <v>7</v>
      </c>
      <c r="C660" s="37">
        <v>41118</v>
      </c>
      <c r="D660" s="205" t="s">
        <v>603</v>
      </c>
      <c r="E660" s="37">
        <v>41118</v>
      </c>
      <c r="F660" s="40" t="s">
        <v>650</v>
      </c>
      <c r="G660" s="40" t="s">
        <v>1080</v>
      </c>
      <c r="H660" s="7" t="s">
        <v>564</v>
      </c>
      <c r="I660" s="277"/>
      <c r="J660" s="277"/>
      <c r="K660" s="38">
        <v>4453804</v>
      </c>
      <c r="L660" s="39" t="s">
        <v>9</v>
      </c>
      <c r="M660" s="750" t="s">
        <v>8</v>
      </c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9" s="226" customFormat="1" ht="15.75" customHeight="1">
      <c r="A661" s="219" t="str">
        <f>IF(B661&lt;&gt;"",IF(AND(B661&gt;=_TM1,B661&lt;=_TM2,OR(TH!L661="1111",TH!M661="1111")),TH!D661,""),"")</f>
        <v/>
      </c>
      <c r="B661" s="36">
        <f t="shared" si="16"/>
        <v>7</v>
      </c>
      <c r="C661" s="37">
        <v>41120</v>
      </c>
      <c r="D661" s="37" t="s">
        <v>451</v>
      </c>
      <c r="E661" s="37">
        <v>41120</v>
      </c>
      <c r="F661" s="40" t="s">
        <v>532</v>
      </c>
      <c r="G661" s="627" t="s">
        <v>447</v>
      </c>
      <c r="H661" s="45"/>
      <c r="I661" s="277"/>
      <c r="J661" s="277"/>
      <c r="K661" s="38">
        <v>70000000</v>
      </c>
      <c r="L661" s="39" t="s">
        <v>8</v>
      </c>
      <c r="M661" s="39" t="s">
        <v>24</v>
      </c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>x</v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9" s="226" customFormat="1" ht="15.75" customHeight="1">
      <c r="A662" s="219" t="str">
        <f>IF(B662&lt;&gt;"",IF(AND(B662&gt;=_TM1,B662&lt;=_TM2,OR(TH!L662="1111",TH!M662="1111")),TH!D662,""),"")</f>
        <v/>
      </c>
      <c r="B662" s="36">
        <f>IF(C662&lt;&gt;"",MONTH(C662),"")</f>
        <v>7</v>
      </c>
      <c r="C662" s="37">
        <v>41120</v>
      </c>
      <c r="D662" s="37" t="s">
        <v>451</v>
      </c>
      <c r="E662" s="37">
        <v>41120</v>
      </c>
      <c r="F662" s="40" t="s">
        <v>453</v>
      </c>
      <c r="G662" s="627" t="s">
        <v>447</v>
      </c>
      <c r="H662" s="45"/>
      <c r="I662" s="277"/>
      <c r="J662" s="277"/>
      <c r="K662" s="38">
        <v>35000</v>
      </c>
      <c r="L662" s="39" t="s">
        <v>87</v>
      </c>
      <c r="M662" s="39" t="s">
        <v>24</v>
      </c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>x</v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9" s="226" customFormat="1" ht="15.75" customHeight="1">
      <c r="A663" s="219" t="str">
        <f>IF(B663&lt;&gt;"",IF(AND(B663&gt;=_TM1,B663&lt;=_TM2,OR(TH!L663="1111",TH!M663="1111")),TH!D663,""),"")</f>
        <v/>
      </c>
      <c r="B663" s="36">
        <f t="shared" si="16"/>
        <v>7</v>
      </c>
      <c r="C663" s="37">
        <v>41120</v>
      </c>
      <c r="D663" s="37" t="s">
        <v>451</v>
      </c>
      <c r="E663" s="37">
        <v>41120</v>
      </c>
      <c r="F663" s="40" t="s">
        <v>942</v>
      </c>
      <c r="G663" s="627" t="s">
        <v>447</v>
      </c>
      <c r="H663" s="45"/>
      <c r="I663" s="277"/>
      <c r="J663" s="277"/>
      <c r="K663" s="38">
        <v>10000</v>
      </c>
      <c r="L663" s="208" t="s">
        <v>87</v>
      </c>
      <c r="M663" s="39" t="s">
        <v>24</v>
      </c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>x</v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9" s="226" customFormat="1" ht="15.75" customHeight="1">
      <c r="A664" s="219" t="str">
        <f>IF(B664&lt;&gt;"",IF(AND(B664&gt;=_TM1,B664&lt;=_TM2,OR(TH!L664="1111",TH!M664="1111")),TH!D664,""),"")</f>
        <v/>
      </c>
      <c r="B664" s="36">
        <f t="shared" si="16"/>
        <v>7</v>
      </c>
      <c r="C664" s="37">
        <v>41120</v>
      </c>
      <c r="D664" s="205" t="s">
        <v>604</v>
      </c>
      <c r="E664" s="37">
        <v>41120</v>
      </c>
      <c r="F664" s="40" t="s">
        <v>1082</v>
      </c>
      <c r="G664" s="627" t="s">
        <v>1083</v>
      </c>
      <c r="H664" s="45" t="s">
        <v>1069</v>
      </c>
      <c r="I664" s="277">
        <v>630</v>
      </c>
      <c r="J664" s="277">
        <v>10708</v>
      </c>
      <c r="K664" s="38">
        <v>6746040</v>
      </c>
      <c r="L664" s="208" t="s">
        <v>191</v>
      </c>
      <c r="M664" s="750" t="s">
        <v>8</v>
      </c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C664" s="226" t="str">
        <f>IF(ISNA(VLOOKUP(F664,NXT!$C$18:$C$347,1,0)),x,"")</f>
        <v/>
      </c>
    </row>
    <row r="665" spans="1:29" s="226" customFormat="1" ht="15.75" customHeight="1">
      <c r="A665" s="219" t="str">
        <f>IF(B665&lt;&gt;"",IF(AND(B665&gt;=_TM1,B665&lt;=_TM2,OR(TH!L665="1111",TH!M665="1111")),TH!D665,""),"")</f>
        <v/>
      </c>
      <c r="B665" s="36">
        <f t="shared" si="16"/>
        <v>7</v>
      </c>
      <c r="C665" s="37">
        <v>41120</v>
      </c>
      <c r="D665" s="205" t="s">
        <v>604</v>
      </c>
      <c r="E665" s="37">
        <v>41120</v>
      </c>
      <c r="F665" s="40" t="s">
        <v>1073</v>
      </c>
      <c r="G665" s="627" t="s">
        <v>1083</v>
      </c>
      <c r="H665" s="45" t="s">
        <v>1069</v>
      </c>
      <c r="I665" s="277"/>
      <c r="J665" s="277"/>
      <c r="K665" s="38">
        <v>674604</v>
      </c>
      <c r="L665" s="39" t="s">
        <v>9</v>
      </c>
      <c r="M665" s="750" t="s">
        <v>8</v>
      </c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9" s="226" customFormat="1" ht="15.75" customHeight="1">
      <c r="A666" s="219" t="str">
        <f>IF(B666&lt;&gt;"",IF(AND(B666&gt;=_TM1,B666&lt;=_TM2,OR(TH!L666="1111",TH!M666="1111")),TH!D666,""),"")</f>
        <v/>
      </c>
      <c r="B666" s="36">
        <f t="shared" si="16"/>
        <v>7</v>
      </c>
      <c r="C666" s="37">
        <v>41120</v>
      </c>
      <c r="D666" s="205" t="s">
        <v>605</v>
      </c>
      <c r="E666" s="37">
        <v>41120</v>
      </c>
      <c r="F666" s="40" t="s">
        <v>975</v>
      </c>
      <c r="G666" s="627" t="s">
        <v>1084</v>
      </c>
      <c r="H666" s="7" t="s">
        <v>564</v>
      </c>
      <c r="I666" s="277">
        <v>110</v>
      </c>
      <c r="J666" s="277">
        <v>9324</v>
      </c>
      <c r="K666" s="38">
        <v>1025640</v>
      </c>
      <c r="L666" s="39" t="s">
        <v>191</v>
      </c>
      <c r="M666" s="750" t="s">
        <v>8</v>
      </c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str">
        <f>IF(ISNA(VLOOKUP(F666,NXT!$C$18:$C$347,1,0)),x,"")</f>
        <v/>
      </c>
    </row>
    <row r="667" spans="1:29" s="226" customFormat="1" ht="15.75" customHeight="1">
      <c r="A667" s="219" t="str">
        <f>IF(B667&lt;&gt;"",IF(AND(B667&gt;=_TM1,B667&lt;=_TM2,OR(TH!L667="1111",TH!M667="1111")),TH!D667,""),"")</f>
        <v/>
      </c>
      <c r="B667" s="36">
        <f t="shared" ref="B667:B679" si="17">IF(C667&lt;&gt;"",MONTH(C667),"")</f>
        <v>7</v>
      </c>
      <c r="C667" s="37">
        <v>41120</v>
      </c>
      <c r="D667" s="205" t="s">
        <v>605</v>
      </c>
      <c r="E667" s="37">
        <v>41120</v>
      </c>
      <c r="F667" s="40" t="s">
        <v>650</v>
      </c>
      <c r="G667" s="627" t="s">
        <v>1084</v>
      </c>
      <c r="H667" s="7" t="s">
        <v>564</v>
      </c>
      <c r="I667" s="277"/>
      <c r="J667" s="277"/>
      <c r="K667" s="38">
        <v>102564</v>
      </c>
      <c r="L667" s="39" t="s">
        <v>9</v>
      </c>
      <c r="M667" s="750" t="s">
        <v>8</v>
      </c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9" s="226" customFormat="1" ht="15.75" customHeight="1">
      <c r="A668" s="219" t="str">
        <f>IF(B668&lt;&gt;"",IF(AND(B668&gt;=_TM1,B668&lt;=_TM2,OR(TH!L668="1111",TH!M668="1111")),TH!D668,""),"")</f>
        <v/>
      </c>
      <c r="B668" s="36">
        <f t="shared" si="17"/>
        <v>8</v>
      </c>
      <c r="C668" s="37">
        <v>41125</v>
      </c>
      <c r="D668" s="205" t="s">
        <v>606</v>
      </c>
      <c r="E668" s="37">
        <v>41125</v>
      </c>
      <c r="F668" s="40" t="s">
        <v>1085</v>
      </c>
      <c r="G668" s="627" t="s">
        <v>1086</v>
      </c>
      <c r="H668" s="7" t="s">
        <v>564</v>
      </c>
      <c r="I668" s="277">
        <v>960</v>
      </c>
      <c r="J668" s="277">
        <v>15288</v>
      </c>
      <c r="K668" s="38">
        <v>14676480</v>
      </c>
      <c r="L668" s="39" t="s">
        <v>191</v>
      </c>
      <c r="M668" s="750" t="s">
        <v>8</v>
      </c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str">
        <f>IF(ISNA(VLOOKUP(F668,NXT!$C$18:$C$347,1,0)),x,"")</f>
        <v/>
      </c>
    </row>
    <row r="669" spans="1:29" s="226" customFormat="1" ht="15.75" customHeight="1">
      <c r="A669" s="219" t="str">
        <f>IF(B669&lt;&gt;"",IF(AND(B669&gt;=_TM1,B669&lt;=_TM2,OR(TH!L669="1111",TH!M669="1111")),TH!D669,""),"")</f>
        <v/>
      </c>
      <c r="B669" s="36">
        <f t="shared" si="17"/>
        <v>8</v>
      </c>
      <c r="C669" s="37">
        <v>41125</v>
      </c>
      <c r="D669" s="205" t="s">
        <v>606</v>
      </c>
      <c r="E669" s="37">
        <v>41125</v>
      </c>
      <c r="F669" s="40" t="s">
        <v>1087</v>
      </c>
      <c r="G669" s="627" t="s">
        <v>1086</v>
      </c>
      <c r="H669" s="7" t="s">
        <v>564</v>
      </c>
      <c r="I669" s="277">
        <v>200</v>
      </c>
      <c r="J669" s="277">
        <v>18402</v>
      </c>
      <c r="K669" s="38">
        <v>3680400</v>
      </c>
      <c r="L669" s="39" t="s">
        <v>191</v>
      </c>
      <c r="M669" s="750" t="s">
        <v>8</v>
      </c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  <c r="AC669" s="226" t="str">
        <f>IF(ISNA(VLOOKUP(F669,NXT!$C$18:$C$347,1,0)),x,"")</f>
        <v/>
      </c>
    </row>
    <row r="670" spans="1:29" s="226" customFormat="1" ht="15.75" customHeight="1">
      <c r="A670" s="219" t="str">
        <f>IF(B670&lt;&gt;"",IF(AND(B670&gt;=_TM1,B670&lt;=_TM2,OR(TH!L670="1111",TH!M670="1111")),TH!D670,""),"")</f>
        <v/>
      </c>
      <c r="B670" s="36">
        <f t="shared" si="17"/>
        <v>8</v>
      </c>
      <c r="C670" s="37">
        <v>41125</v>
      </c>
      <c r="D670" s="205" t="s">
        <v>606</v>
      </c>
      <c r="E670" s="37">
        <v>41125</v>
      </c>
      <c r="F670" s="40" t="s">
        <v>1088</v>
      </c>
      <c r="G670" s="627" t="s">
        <v>1086</v>
      </c>
      <c r="H670" s="7" t="s">
        <v>564</v>
      </c>
      <c r="I670" s="277">
        <v>220</v>
      </c>
      <c r="J670" s="277">
        <v>17716</v>
      </c>
      <c r="K670" s="38">
        <v>3897520</v>
      </c>
      <c r="L670" s="39" t="s">
        <v>191</v>
      </c>
      <c r="M670" s="750" t="s">
        <v>8</v>
      </c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  <c r="AC670" s="226" t="str">
        <f>IF(ISNA(VLOOKUP(F670,NXT!$C$18:$C$347,1,0)),x,"")</f>
        <v/>
      </c>
    </row>
    <row r="671" spans="1:29" s="226" customFormat="1" ht="15.75" customHeight="1">
      <c r="A671" s="219" t="str">
        <f>IF(B671&lt;&gt;"",IF(AND(B671&gt;=_TM1,B671&lt;=_TM2,OR(TH!L671="1111",TH!M671="1111")),TH!D671,""),"")</f>
        <v/>
      </c>
      <c r="B671" s="36">
        <f t="shared" si="17"/>
        <v>8</v>
      </c>
      <c r="C671" s="37">
        <v>41125</v>
      </c>
      <c r="D671" s="205" t="s">
        <v>606</v>
      </c>
      <c r="E671" s="37">
        <v>41125</v>
      </c>
      <c r="F671" s="40" t="s">
        <v>1089</v>
      </c>
      <c r="G671" s="627" t="s">
        <v>1086</v>
      </c>
      <c r="H671" s="7" t="s">
        <v>564</v>
      </c>
      <c r="I671" s="277">
        <v>360</v>
      </c>
      <c r="J671" s="277">
        <v>16278</v>
      </c>
      <c r="K671" s="38">
        <v>5860080</v>
      </c>
      <c r="L671" s="39" t="s">
        <v>191</v>
      </c>
      <c r="M671" s="750" t="s">
        <v>8</v>
      </c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  <c r="AC671" s="226" t="str">
        <f>IF(ISNA(VLOOKUP(F671,NXT!$C$18:$C$347,1,0)),x,"")</f>
        <v/>
      </c>
    </row>
    <row r="672" spans="1:29" s="226" customFormat="1" ht="15.75" customHeight="1">
      <c r="A672" s="219" t="str">
        <f>IF(B672&lt;&gt;"",IF(AND(B672&gt;=_TM1,B672&lt;=_TM2,OR(TH!L672="1111",TH!M672="1111")),TH!D672,""),"")</f>
        <v/>
      </c>
      <c r="B672" s="36">
        <f t="shared" si="17"/>
        <v>8</v>
      </c>
      <c r="C672" s="37">
        <v>41125</v>
      </c>
      <c r="D672" s="205" t="s">
        <v>606</v>
      </c>
      <c r="E672" s="37">
        <v>41125</v>
      </c>
      <c r="F672" s="40" t="s">
        <v>856</v>
      </c>
      <c r="G672" s="627" t="s">
        <v>1086</v>
      </c>
      <c r="H672" s="7" t="s">
        <v>564</v>
      </c>
      <c r="I672" s="277">
        <v>250</v>
      </c>
      <c r="J672" s="277">
        <v>11706</v>
      </c>
      <c r="K672" s="38">
        <v>2926500</v>
      </c>
      <c r="L672" s="39" t="s">
        <v>191</v>
      </c>
      <c r="M672" s="750" t="s">
        <v>8</v>
      </c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C672" s="226" t="str">
        <f>IF(ISNA(VLOOKUP(F672,NXT!$C$18:$C$347,1,0)),x,"")</f>
        <v/>
      </c>
    </row>
    <row r="673" spans="1:29" s="226" customFormat="1" ht="15.75" customHeight="1">
      <c r="A673" s="219" t="str">
        <f>IF(B673&lt;&gt;"",IF(AND(B673&gt;=_TM1,B673&lt;=_TM2,OR(TH!L673="1111",TH!M673="1111")),TH!D673,""),"")</f>
        <v/>
      </c>
      <c r="B673" s="36">
        <f t="shared" si="17"/>
        <v>8</v>
      </c>
      <c r="C673" s="37">
        <v>41125</v>
      </c>
      <c r="D673" s="205" t="s">
        <v>606</v>
      </c>
      <c r="E673" s="37">
        <v>41125</v>
      </c>
      <c r="F673" s="40" t="s">
        <v>650</v>
      </c>
      <c r="G673" s="627" t="s">
        <v>1086</v>
      </c>
      <c r="H673" s="7" t="s">
        <v>564</v>
      </c>
      <c r="I673" s="277"/>
      <c r="J673" s="277"/>
      <c r="K673" s="38">
        <v>3104098</v>
      </c>
      <c r="L673" s="39" t="s">
        <v>9</v>
      </c>
      <c r="M673" s="750" t="s">
        <v>8</v>
      </c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29" s="226" customFormat="1" ht="15.75" customHeight="1">
      <c r="A674" s="219" t="str">
        <f>IF(B674&lt;&gt;"",IF(AND(B674&gt;=_TM1,B674&lt;=_TM2,OR(TH!L674="1111",TH!M674="1111")),TH!D674,""),"")</f>
        <v/>
      </c>
      <c r="B674" s="36">
        <f t="shared" si="17"/>
        <v>8</v>
      </c>
      <c r="C674" s="37">
        <v>41128</v>
      </c>
      <c r="D674" s="37" t="s">
        <v>550</v>
      </c>
      <c r="E674" s="37">
        <v>41128</v>
      </c>
      <c r="F674" s="40" t="s">
        <v>528</v>
      </c>
      <c r="G674" s="627" t="s">
        <v>447</v>
      </c>
      <c r="H674" s="225" t="s">
        <v>783</v>
      </c>
      <c r="I674" s="277"/>
      <c r="J674" s="277"/>
      <c r="K674" s="38">
        <v>21000000</v>
      </c>
      <c r="L674" s="39" t="s">
        <v>24</v>
      </c>
      <c r="M674" s="39" t="s">
        <v>49</v>
      </c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>x</v>
      </c>
      <c r="R674" s="55" t="str">
        <f>IF(ISERROR(FIND('112'!$M$9,G674,1)),"",IF((AND(FIND('112'!$M$9,G674,1)&gt;=1,$B674&gt;='112'!$N$8,$B674&lt;='112'!$O$8,OR($L674='112'!$I$6,$M674='112'!$I$6))),"x",""))</f>
        <v>x</v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29" s="226" customFormat="1" ht="15.75" customHeight="1">
      <c r="A675" s="219" t="str">
        <f>IF(B675&lt;&gt;"",IF(AND(B675&gt;=_TM1,B675&lt;=_TM2,OR(TH!L675="1111",TH!M675="1111")),TH!D675,""),"")</f>
        <v/>
      </c>
      <c r="B675" s="36">
        <f t="shared" si="17"/>
        <v>8</v>
      </c>
      <c r="C675" s="37">
        <v>41128</v>
      </c>
      <c r="D675" s="37" t="s">
        <v>450</v>
      </c>
      <c r="E675" s="37">
        <v>41128</v>
      </c>
      <c r="F675" s="40" t="s">
        <v>452</v>
      </c>
      <c r="G675" s="627" t="s">
        <v>447</v>
      </c>
      <c r="H675" s="225"/>
      <c r="I675" s="277"/>
      <c r="J675" s="277"/>
      <c r="K675" s="38">
        <v>22260115</v>
      </c>
      <c r="L675" s="39" t="s">
        <v>24</v>
      </c>
      <c r="M675" s="39" t="s">
        <v>352</v>
      </c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>x</v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</row>
    <row r="676" spans="1:29" s="226" customFormat="1" ht="15.75" customHeight="1">
      <c r="A676" s="219" t="str">
        <f>IF(B676&lt;&gt;"",IF(AND(B676&gt;=_TM1,B676&lt;=_TM2,OR(TH!L676="1111",TH!M676="1111")),TH!D676,""),"")</f>
        <v/>
      </c>
      <c r="B676" s="36">
        <f t="shared" si="17"/>
        <v>8</v>
      </c>
      <c r="C676" s="37">
        <v>41128</v>
      </c>
      <c r="D676" s="37" t="s">
        <v>566</v>
      </c>
      <c r="E676" s="37">
        <v>41128</v>
      </c>
      <c r="F676" s="40" t="s">
        <v>804</v>
      </c>
      <c r="G676" s="627" t="s">
        <v>1090</v>
      </c>
      <c r="H676" s="225" t="s">
        <v>533</v>
      </c>
      <c r="I676" s="277"/>
      <c r="J676" s="277"/>
      <c r="K676" s="38">
        <v>3900000</v>
      </c>
      <c r="L676" s="39" t="s">
        <v>199</v>
      </c>
      <c r="M676" s="39" t="s">
        <v>49</v>
      </c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>x</v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29" s="226" customFormat="1" ht="15.75" customHeight="1">
      <c r="A677" s="219" t="str">
        <f>IF(B677&lt;&gt;"",IF(AND(B677&gt;=_TM1,B677&lt;=_TM2,OR(TH!L677="1111",TH!M677="1111")),TH!D677,""),"")</f>
        <v/>
      </c>
      <c r="B677" s="36">
        <f t="shared" si="17"/>
        <v>8</v>
      </c>
      <c r="C677" s="37">
        <v>41128</v>
      </c>
      <c r="D677" s="37" t="s">
        <v>566</v>
      </c>
      <c r="E677" s="37">
        <v>41128</v>
      </c>
      <c r="F677" s="40" t="s">
        <v>459</v>
      </c>
      <c r="G677" s="627" t="s">
        <v>1090</v>
      </c>
      <c r="H677" s="225" t="s">
        <v>533</v>
      </c>
      <c r="I677" s="277"/>
      <c r="J677" s="277"/>
      <c r="K677" s="38">
        <v>390000</v>
      </c>
      <c r="L677" s="39" t="s">
        <v>9</v>
      </c>
      <c r="M677" s="39" t="s">
        <v>49</v>
      </c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>x</v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29" s="226" customFormat="1" ht="15.75" customHeight="1">
      <c r="A678" s="219" t="str">
        <f>IF(B678&lt;&gt;"",IF(AND(B678&gt;=_TM1,B678&lt;=_TM2,OR(TH!L678="1111",TH!M678="1111")),TH!D678,""),"")</f>
        <v/>
      </c>
      <c r="B678" s="36">
        <f t="shared" si="17"/>
        <v>8</v>
      </c>
      <c r="C678" s="37">
        <v>41129</v>
      </c>
      <c r="D678" s="37" t="s">
        <v>450</v>
      </c>
      <c r="E678" s="37">
        <v>41129</v>
      </c>
      <c r="F678" s="40" t="s">
        <v>452</v>
      </c>
      <c r="G678" s="627" t="s">
        <v>447</v>
      </c>
      <c r="H678" s="225"/>
      <c r="I678" s="277"/>
      <c r="J678" s="277"/>
      <c r="K678" s="38">
        <v>7040000</v>
      </c>
      <c r="L678" s="39" t="s">
        <v>24</v>
      </c>
      <c r="M678" s="39" t="s">
        <v>352</v>
      </c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>x</v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</row>
    <row r="679" spans="1:29" s="226" customFormat="1" ht="15.75" customHeight="1">
      <c r="A679" s="219" t="str">
        <f>IF(B679&lt;&gt;"",IF(AND(B679&gt;=_TM1,B679&lt;=_TM2,OR(TH!L679="1111",TH!M679="1111")),TH!D679,""),"")</f>
        <v/>
      </c>
      <c r="B679" s="36">
        <f t="shared" si="17"/>
        <v>8</v>
      </c>
      <c r="C679" s="37">
        <v>41130</v>
      </c>
      <c r="D679" s="37" t="s">
        <v>450</v>
      </c>
      <c r="E679" s="37">
        <v>41130</v>
      </c>
      <c r="F679" s="40" t="s">
        <v>452</v>
      </c>
      <c r="G679" s="627" t="s">
        <v>447</v>
      </c>
      <c r="H679" s="45"/>
      <c r="I679" s="277"/>
      <c r="J679" s="277"/>
      <c r="K679" s="38">
        <v>10000000</v>
      </c>
      <c r="L679" s="39" t="s">
        <v>24</v>
      </c>
      <c r="M679" s="39" t="s">
        <v>352</v>
      </c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>x</v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</row>
    <row r="680" spans="1:29" s="740" customFormat="1" ht="15.75" customHeight="1">
      <c r="A680" s="219" t="str">
        <f>IF(B680&lt;&gt;"",IF(AND(B680&gt;=_TM1,B680&lt;=_TM2,OR(TH!L680="1111",TH!M680="1111")),TH!D680,""),"")</f>
        <v/>
      </c>
      <c r="B680" s="36">
        <f t="shared" ref="B680:B704" si="18">IF(C680&lt;&gt;"",MONTH(C680),"")</f>
        <v>8</v>
      </c>
      <c r="C680" s="37">
        <v>41130</v>
      </c>
      <c r="D680" s="37" t="s">
        <v>450</v>
      </c>
      <c r="E680" s="37">
        <v>41130</v>
      </c>
      <c r="F680" s="40" t="s">
        <v>452</v>
      </c>
      <c r="G680" s="40" t="s">
        <v>447</v>
      </c>
      <c r="H680" s="45"/>
      <c r="I680" s="277"/>
      <c r="J680" s="277"/>
      <c r="K680" s="38">
        <v>19790606</v>
      </c>
      <c r="L680" s="39" t="s">
        <v>24</v>
      </c>
      <c r="M680" s="39" t="s">
        <v>352</v>
      </c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>x</v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29" s="740" customFormat="1" ht="15.75" customHeight="1">
      <c r="A681" s="219" t="str">
        <f>IF(B681&lt;&gt;"",IF(AND(B681&gt;=_TM1,B681&lt;=_TM2,OR(TH!L681="1111",TH!M681="1111")),TH!D681,""),"")</f>
        <v/>
      </c>
      <c r="B681" s="36">
        <f t="shared" si="18"/>
        <v>8</v>
      </c>
      <c r="C681" s="37">
        <v>41130</v>
      </c>
      <c r="D681" s="37" t="s">
        <v>567</v>
      </c>
      <c r="E681" s="37">
        <v>41130</v>
      </c>
      <c r="F681" s="40" t="s">
        <v>683</v>
      </c>
      <c r="G681" s="40" t="s">
        <v>1091</v>
      </c>
      <c r="H681" s="45" t="s">
        <v>685</v>
      </c>
      <c r="I681" s="277"/>
      <c r="J681" s="277"/>
      <c r="K681" s="38">
        <v>634550</v>
      </c>
      <c r="L681" s="39" t="s">
        <v>87</v>
      </c>
      <c r="M681" s="39" t="s">
        <v>49</v>
      </c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>x</v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29" s="740" customFormat="1" ht="15.75" customHeight="1">
      <c r="A682" s="219" t="str">
        <f>IF(B682&lt;&gt;"",IF(AND(B682&gt;=_TM1,B682&lt;=_TM2,OR(TH!L682="1111",TH!M682="1111")),TH!D682,""),"")</f>
        <v/>
      </c>
      <c r="B682" s="36">
        <f t="shared" si="18"/>
        <v>8</v>
      </c>
      <c r="C682" s="37">
        <v>41130</v>
      </c>
      <c r="D682" s="37" t="s">
        <v>567</v>
      </c>
      <c r="E682" s="37">
        <v>41130</v>
      </c>
      <c r="F682" s="40" t="s">
        <v>686</v>
      </c>
      <c r="G682" s="40" t="s">
        <v>1091</v>
      </c>
      <c r="H682" s="45" t="s">
        <v>685</v>
      </c>
      <c r="I682" s="277"/>
      <c r="J682" s="277"/>
      <c r="K682" s="38">
        <v>63455</v>
      </c>
      <c r="L682" s="39" t="s">
        <v>9</v>
      </c>
      <c r="M682" s="39" t="s">
        <v>49</v>
      </c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>x</v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29" s="740" customFormat="1" ht="15.75" customHeight="1">
      <c r="A683" s="219" t="str">
        <f>IF(B683&lt;&gt;"",IF(AND(B683&gt;=_TM1,B683&lt;=_TM2,OR(TH!L683="1111",TH!M683="1111")),TH!D683,""),"")</f>
        <v/>
      </c>
      <c r="B683" s="36">
        <f t="shared" si="18"/>
        <v>8</v>
      </c>
      <c r="C683" s="37">
        <v>41130</v>
      </c>
      <c r="D683" s="205" t="s">
        <v>607</v>
      </c>
      <c r="E683" s="37">
        <v>41130</v>
      </c>
      <c r="F683" s="40" t="s">
        <v>1085</v>
      </c>
      <c r="G683" s="40" t="s">
        <v>1092</v>
      </c>
      <c r="H683" s="7" t="s">
        <v>564</v>
      </c>
      <c r="I683" s="277">
        <v>60</v>
      </c>
      <c r="J683" s="277">
        <v>15288</v>
      </c>
      <c r="K683" s="38">
        <v>917280</v>
      </c>
      <c r="L683" s="39" t="s">
        <v>191</v>
      </c>
      <c r="M683" s="750" t="s">
        <v>8</v>
      </c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str">
        <f>IF(ISNA(VLOOKUP(F683,NXT!$C$18:$C$347,1,0)),x,"")</f>
        <v/>
      </c>
    </row>
    <row r="684" spans="1:29" s="740" customFormat="1" ht="15.75" customHeight="1">
      <c r="A684" s="219" t="str">
        <f>IF(B684&lt;&gt;"",IF(AND(B684&gt;=_TM1,B684&lt;=_TM2,OR(TH!L684="1111",TH!M684="1111")),TH!D684,""),"")</f>
        <v/>
      </c>
      <c r="B684" s="36">
        <f t="shared" si="18"/>
        <v>8</v>
      </c>
      <c r="C684" s="37">
        <v>41130</v>
      </c>
      <c r="D684" s="205" t="s">
        <v>607</v>
      </c>
      <c r="E684" s="37">
        <v>41130</v>
      </c>
      <c r="F684" s="40" t="s">
        <v>1093</v>
      </c>
      <c r="G684" s="40" t="s">
        <v>1092</v>
      </c>
      <c r="H684" s="7" t="s">
        <v>564</v>
      </c>
      <c r="I684" s="277">
        <v>100</v>
      </c>
      <c r="J684" s="277">
        <v>23455</v>
      </c>
      <c r="K684" s="38">
        <v>2345500</v>
      </c>
      <c r="L684" s="39" t="s">
        <v>191</v>
      </c>
      <c r="M684" s="750" t="s">
        <v>8</v>
      </c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str">
        <f>IF(ISNA(VLOOKUP(F684,NXT!$C$18:$C$347,1,0)),x,"")</f>
        <v/>
      </c>
    </row>
    <row r="685" spans="1:29" s="740" customFormat="1" ht="15.75" customHeight="1">
      <c r="A685" s="219" t="str">
        <f>IF(B685&lt;&gt;"",IF(AND(B685&gt;=_TM1,B685&lt;=_TM2,OR(TH!L685="1111",TH!M685="1111")),TH!D685,""),"")</f>
        <v/>
      </c>
      <c r="B685" s="36">
        <f t="shared" si="18"/>
        <v>8</v>
      </c>
      <c r="C685" s="37">
        <v>41130</v>
      </c>
      <c r="D685" s="205" t="s">
        <v>607</v>
      </c>
      <c r="E685" s="37">
        <v>41130</v>
      </c>
      <c r="F685" s="40" t="s">
        <v>1094</v>
      </c>
      <c r="G685" s="40" t="s">
        <v>1092</v>
      </c>
      <c r="H685" s="7" t="s">
        <v>564</v>
      </c>
      <c r="I685" s="277">
        <v>100</v>
      </c>
      <c r="J685" s="277">
        <v>20992</v>
      </c>
      <c r="K685" s="38">
        <v>2099200</v>
      </c>
      <c r="L685" s="39" t="s">
        <v>191</v>
      </c>
      <c r="M685" s="750" t="s">
        <v>8</v>
      </c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 t="str">
        <f>IF(ISNA(VLOOKUP(F685,NXT!$C$18:$C$347,1,0)),x,"")</f>
        <v/>
      </c>
    </row>
    <row r="686" spans="1:29" s="740" customFormat="1" ht="15.75" customHeight="1">
      <c r="A686" s="219" t="str">
        <f>IF(B686&lt;&gt;"",IF(AND(B686&gt;=_TM1,B686&lt;=_TM2,OR(TH!L686="1111",TH!M686="1111")),TH!D686,""),"")</f>
        <v/>
      </c>
      <c r="B686" s="36">
        <f t="shared" si="18"/>
        <v>8</v>
      </c>
      <c r="C686" s="37">
        <v>41130</v>
      </c>
      <c r="D686" s="205" t="s">
        <v>607</v>
      </c>
      <c r="E686" s="37">
        <v>41130</v>
      </c>
      <c r="F686" s="40" t="s">
        <v>1095</v>
      </c>
      <c r="G686" s="40" t="s">
        <v>1092</v>
      </c>
      <c r="H686" s="7" t="s">
        <v>564</v>
      </c>
      <c r="I686" s="277">
        <v>100</v>
      </c>
      <c r="J686" s="277">
        <v>21848</v>
      </c>
      <c r="K686" s="38">
        <v>2184800</v>
      </c>
      <c r="L686" s="39" t="s">
        <v>191</v>
      </c>
      <c r="M686" s="750" t="s">
        <v>8</v>
      </c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 t="str">
        <f>IF(ISNA(VLOOKUP(F686,NXT!$C$18:$C$347,1,0)),x,"")</f>
        <v/>
      </c>
    </row>
    <row r="687" spans="1:29" s="740" customFormat="1" ht="15.75" customHeight="1">
      <c r="A687" s="219" t="str">
        <f>IF(B687&lt;&gt;"",IF(AND(B687&gt;=_TM1,B687&lt;=_TM2,OR(TH!L687="1111",TH!M687="1111")),TH!D687,""),"")</f>
        <v/>
      </c>
      <c r="B687" s="36">
        <f t="shared" si="18"/>
        <v>8</v>
      </c>
      <c r="C687" s="37">
        <v>41130</v>
      </c>
      <c r="D687" s="205" t="s">
        <v>607</v>
      </c>
      <c r="E687" s="37">
        <v>41130</v>
      </c>
      <c r="F687" s="40" t="s">
        <v>1096</v>
      </c>
      <c r="G687" s="40" t="s">
        <v>1092</v>
      </c>
      <c r="H687" s="7" t="s">
        <v>564</v>
      </c>
      <c r="I687" s="277">
        <v>140</v>
      </c>
      <c r="J687" s="277">
        <v>19768</v>
      </c>
      <c r="K687" s="38">
        <v>2767520</v>
      </c>
      <c r="L687" s="39" t="s">
        <v>191</v>
      </c>
      <c r="M687" s="750" t="s">
        <v>8</v>
      </c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str">
        <f>IF(ISNA(VLOOKUP(F687,NXT!$C$18:$C$347,1,0)),x,"")</f>
        <v/>
      </c>
    </row>
    <row r="688" spans="1:29" s="740" customFormat="1" ht="15.75" customHeight="1">
      <c r="A688" s="219" t="str">
        <f>IF(B688&lt;&gt;"",IF(AND(B688&gt;=_TM1,B688&lt;=_TM2,OR(TH!L688="1111",TH!M688="1111")),TH!D688,""),"")</f>
        <v/>
      </c>
      <c r="B688" s="36">
        <f t="shared" si="18"/>
        <v>8</v>
      </c>
      <c r="C688" s="37">
        <v>41130</v>
      </c>
      <c r="D688" s="205" t="s">
        <v>607</v>
      </c>
      <c r="E688" s="37">
        <v>41130</v>
      </c>
      <c r="F688" s="40" t="s">
        <v>1039</v>
      </c>
      <c r="G688" s="40" t="s">
        <v>1092</v>
      </c>
      <c r="H688" s="7" t="s">
        <v>564</v>
      </c>
      <c r="I688" s="277">
        <v>250</v>
      </c>
      <c r="J688" s="277">
        <v>13999</v>
      </c>
      <c r="K688" s="38">
        <v>3499750</v>
      </c>
      <c r="L688" s="39" t="s">
        <v>191</v>
      </c>
      <c r="M688" s="750" t="s">
        <v>8</v>
      </c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str">
        <f>IF(ISNA(VLOOKUP(F688,NXT!$C$18:$C$347,1,0)),x,"")</f>
        <v/>
      </c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>
        <f t="shared" si="18"/>
        <v>8</v>
      </c>
      <c r="C689" s="37">
        <v>41130</v>
      </c>
      <c r="D689" s="205" t="s">
        <v>607</v>
      </c>
      <c r="E689" s="37">
        <v>41130</v>
      </c>
      <c r="F689" s="40" t="s">
        <v>650</v>
      </c>
      <c r="G689" s="40" t="s">
        <v>1092</v>
      </c>
      <c r="H689" s="7" t="s">
        <v>564</v>
      </c>
      <c r="I689" s="277"/>
      <c r="J689" s="277"/>
      <c r="K689" s="38">
        <v>1381405</v>
      </c>
      <c r="L689" s="39" t="s">
        <v>9</v>
      </c>
      <c r="M689" s="750" t="s">
        <v>8</v>
      </c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>
        <f t="shared" si="18"/>
        <v>8</v>
      </c>
      <c r="C690" s="37">
        <v>41131</v>
      </c>
      <c r="D690" s="37" t="s">
        <v>450</v>
      </c>
      <c r="E690" s="37">
        <v>41131</v>
      </c>
      <c r="F690" s="40" t="s">
        <v>452</v>
      </c>
      <c r="G690" s="40" t="s">
        <v>447</v>
      </c>
      <c r="H690" s="45"/>
      <c r="I690" s="277"/>
      <c r="J690" s="277"/>
      <c r="K690" s="38">
        <v>8084780</v>
      </c>
      <c r="L690" s="39" t="s">
        <v>24</v>
      </c>
      <c r="M690" s="39" t="s">
        <v>352</v>
      </c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>x</v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>
        <f t="shared" si="18"/>
        <v>8</v>
      </c>
      <c r="C691" s="37">
        <v>41131</v>
      </c>
      <c r="D691" s="37" t="s">
        <v>451</v>
      </c>
      <c r="E691" s="37">
        <v>41131</v>
      </c>
      <c r="F691" s="40" t="s">
        <v>532</v>
      </c>
      <c r="G691" s="40" t="s">
        <v>447</v>
      </c>
      <c r="H691" s="45"/>
      <c r="I691" s="277"/>
      <c r="J691" s="277"/>
      <c r="K691" s="38">
        <v>80000000</v>
      </c>
      <c r="L691" s="39" t="s">
        <v>8</v>
      </c>
      <c r="M691" s="39" t="s">
        <v>24</v>
      </c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>x</v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>
        <f t="shared" si="18"/>
        <v>8</v>
      </c>
      <c r="C692" s="37">
        <v>41131</v>
      </c>
      <c r="D692" s="37" t="s">
        <v>451</v>
      </c>
      <c r="E692" s="37">
        <v>41131</v>
      </c>
      <c r="F692" s="40" t="s">
        <v>453</v>
      </c>
      <c r="G692" s="40" t="s">
        <v>447</v>
      </c>
      <c r="H692" s="45"/>
      <c r="I692" s="277"/>
      <c r="J692" s="277"/>
      <c r="K692" s="38">
        <v>40000</v>
      </c>
      <c r="L692" s="41" t="s">
        <v>87</v>
      </c>
      <c r="M692" s="39" t="s">
        <v>24</v>
      </c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>x</v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>
        <f t="shared" si="18"/>
        <v>8</v>
      </c>
      <c r="C693" s="37">
        <v>41131</v>
      </c>
      <c r="D693" s="205" t="s">
        <v>608</v>
      </c>
      <c r="E693" s="37">
        <v>41131</v>
      </c>
      <c r="F693" s="40" t="s">
        <v>1097</v>
      </c>
      <c r="G693" s="40" t="s">
        <v>1098</v>
      </c>
      <c r="H693" s="7" t="s">
        <v>564</v>
      </c>
      <c r="I693" s="277">
        <v>1000</v>
      </c>
      <c r="J693" s="277">
        <v>21023</v>
      </c>
      <c r="K693" s="38">
        <v>21023000</v>
      </c>
      <c r="L693" s="39" t="s">
        <v>191</v>
      </c>
      <c r="M693" s="750" t="s">
        <v>8</v>
      </c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 t="str">
        <f>IF(ISNA(VLOOKUP(F693,NXT!$C$18:$C$347,1,0)),x,"")</f>
        <v/>
      </c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>
        <f t="shared" si="18"/>
        <v>8</v>
      </c>
      <c r="C694" s="37">
        <v>41131</v>
      </c>
      <c r="D694" s="205" t="s">
        <v>608</v>
      </c>
      <c r="E694" s="37">
        <v>41131</v>
      </c>
      <c r="F694" s="40" t="s">
        <v>650</v>
      </c>
      <c r="G694" s="40" t="s">
        <v>1098</v>
      </c>
      <c r="H694" s="7" t="s">
        <v>564</v>
      </c>
      <c r="I694" s="277"/>
      <c r="J694" s="277"/>
      <c r="K694" s="38">
        <v>2102300</v>
      </c>
      <c r="L694" s="39" t="s">
        <v>9</v>
      </c>
      <c r="M694" s="750" t="s">
        <v>8</v>
      </c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>
        <f t="shared" si="18"/>
        <v>8</v>
      </c>
      <c r="C695" s="37">
        <v>41134</v>
      </c>
      <c r="D695" s="205" t="s">
        <v>609</v>
      </c>
      <c r="E695" s="37">
        <v>41134</v>
      </c>
      <c r="F695" s="40" t="s">
        <v>1099</v>
      </c>
      <c r="G695" s="40" t="s">
        <v>1100</v>
      </c>
      <c r="H695" s="7" t="s">
        <v>564</v>
      </c>
      <c r="I695" s="277">
        <v>120</v>
      </c>
      <c r="J695" s="277">
        <v>10287</v>
      </c>
      <c r="K695" s="38">
        <v>1234440</v>
      </c>
      <c r="L695" s="41" t="s">
        <v>191</v>
      </c>
      <c r="M695" s="750" t="s">
        <v>8</v>
      </c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 t="str">
        <f>IF(ISNA(VLOOKUP(F695,NXT!$C$18:$C$347,1,0)),x,"")</f>
        <v/>
      </c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>
        <f t="shared" si="18"/>
        <v>8</v>
      </c>
      <c r="C696" s="37">
        <v>41134</v>
      </c>
      <c r="D696" s="205" t="s">
        <v>609</v>
      </c>
      <c r="E696" s="37">
        <v>41134</v>
      </c>
      <c r="F696" s="40" t="s">
        <v>650</v>
      </c>
      <c r="G696" s="40" t="s">
        <v>1100</v>
      </c>
      <c r="H696" s="7" t="s">
        <v>564</v>
      </c>
      <c r="I696" s="277"/>
      <c r="J696" s="277"/>
      <c r="K696" s="38">
        <v>123444</v>
      </c>
      <c r="L696" s="41" t="s">
        <v>9</v>
      </c>
      <c r="M696" s="750" t="s">
        <v>8</v>
      </c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>
        <f t="shared" si="18"/>
        <v>8</v>
      </c>
      <c r="C697" s="37">
        <v>41135</v>
      </c>
      <c r="D697" s="37" t="s">
        <v>450</v>
      </c>
      <c r="E697" s="37">
        <v>41135</v>
      </c>
      <c r="F697" s="40" t="s">
        <v>528</v>
      </c>
      <c r="G697" s="40" t="s">
        <v>447</v>
      </c>
      <c r="H697" s="45" t="s">
        <v>783</v>
      </c>
      <c r="I697" s="277"/>
      <c r="J697" s="277"/>
      <c r="K697" s="38">
        <v>18500000</v>
      </c>
      <c r="L697" s="39" t="s">
        <v>24</v>
      </c>
      <c r="M697" s="39" t="s">
        <v>49</v>
      </c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>x</v>
      </c>
      <c r="R697" s="55" t="str">
        <f>IF(ISERROR(FIND('112'!$M$9,G697,1)),"",IF((AND(FIND('112'!$M$9,G697,1)&gt;=1,$B697&gt;='112'!$N$8,$B697&lt;='112'!$O$8,OR($L697='112'!$I$6,$M697='112'!$I$6))),"x",""))</f>
        <v>x</v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>
        <f t="shared" si="18"/>
        <v>8</v>
      </c>
      <c r="C698" s="37">
        <v>41136</v>
      </c>
      <c r="D698" s="37" t="s">
        <v>568</v>
      </c>
      <c r="E698" s="37">
        <v>41136</v>
      </c>
      <c r="F698" s="40" t="s">
        <v>1101</v>
      </c>
      <c r="G698" s="40" t="s">
        <v>1102</v>
      </c>
      <c r="H698" s="45" t="s">
        <v>533</v>
      </c>
      <c r="I698" s="277"/>
      <c r="J698" s="277"/>
      <c r="K698" s="38">
        <v>1320000</v>
      </c>
      <c r="L698" s="39" t="s">
        <v>199</v>
      </c>
      <c r="M698" s="39" t="s">
        <v>49</v>
      </c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>x</v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>
        <f t="shared" si="18"/>
        <v>8</v>
      </c>
      <c r="C699" s="37">
        <v>41136</v>
      </c>
      <c r="D699" s="37" t="s">
        <v>568</v>
      </c>
      <c r="E699" s="37">
        <v>41136</v>
      </c>
      <c r="F699" s="40" t="s">
        <v>459</v>
      </c>
      <c r="G699" s="627" t="s">
        <v>1102</v>
      </c>
      <c r="H699" s="45" t="s">
        <v>533</v>
      </c>
      <c r="I699" s="277"/>
      <c r="J699" s="277"/>
      <c r="K699" s="38">
        <v>132000</v>
      </c>
      <c r="L699" s="39" t="s">
        <v>9</v>
      </c>
      <c r="M699" s="39" t="s">
        <v>49</v>
      </c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>x</v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>
        <f t="shared" si="18"/>
        <v>8</v>
      </c>
      <c r="C700" s="37">
        <v>41136</v>
      </c>
      <c r="D700" s="205" t="s">
        <v>610</v>
      </c>
      <c r="E700" s="37">
        <v>41136</v>
      </c>
      <c r="F700" s="40" t="s">
        <v>1077</v>
      </c>
      <c r="G700" s="627" t="s">
        <v>1103</v>
      </c>
      <c r="H700" s="7" t="s">
        <v>564</v>
      </c>
      <c r="I700" s="277">
        <v>340</v>
      </c>
      <c r="J700" s="277">
        <v>29411</v>
      </c>
      <c r="K700" s="38">
        <v>9999740</v>
      </c>
      <c r="L700" s="39" t="s">
        <v>191</v>
      </c>
      <c r="M700" s="750" t="s">
        <v>8</v>
      </c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str">
        <f>IF(ISNA(VLOOKUP(F700,NXT!$C$18:$C$347,1,0)),x,"")</f>
        <v/>
      </c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>
        <f t="shared" si="18"/>
        <v>8</v>
      </c>
      <c r="C701" s="37">
        <v>41136</v>
      </c>
      <c r="D701" s="205" t="s">
        <v>610</v>
      </c>
      <c r="E701" s="37">
        <v>41136</v>
      </c>
      <c r="F701" s="40" t="s">
        <v>1104</v>
      </c>
      <c r="G701" s="40" t="s">
        <v>1103</v>
      </c>
      <c r="H701" s="7" t="s">
        <v>564</v>
      </c>
      <c r="I701" s="277">
        <v>100</v>
      </c>
      <c r="J701" s="277">
        <v>22601</v>
      </c>
      <c r="K701" s="38">
        <v>2260100</v>
      </c>
      <c r="L701" s="41" t="s">
        <v>191</v>
      </c>
      <c r="M701" s="750" t="s">
        <v>8</v>
      </c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str">
        <f>IF(ISNA(VLOOKUP(F701,NXT!$C$18:$C$347,1,0)),x,"")</f>
        <v/>
      </c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>
        <f t="shared" si="18"/>
        <v>8</v>
      </c>
      <c r="C702" s="37">
        <v>41136</v>
      </c>
      <c r="D702" s="205" t="s">
        <v>610</v>
      </c>
      <c r="E702" s="37">
        <v>41136</v>
      </c>
      <c r="F702" s="40" t="s">
        <v>650</v>
      </c>
      <c r="G702" s="40" t="s">
        <v>1103</v>
      </c>
      <c r="H702" s="7" t="s">
        <v>564</v>
      </c>
      <c r="I702" s="277"/>
      <c r="J702" s="277"/>
      <c r="K702" s="38">
        <v>1225984</v>
      </c>
      <c r="L702" s="39" t="s">
        <v>9</v>
      </c>
      <c r="M702" s="750" t="s">
        <v>8</v>
      </c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>
        <f t="shared" si="18"/>
        <v>8</v>
      </c>
      <c r="C703" s="37">
        <v>41137</v>
      </c>
      <c r="D703" s="205" t="s">
        <v>611</v>
      </c>
      <c r="E703" s="37">
        <v>41137</v>
      </c>
      <c r="F703" s="40" t="s">
        <v>1105</v>
      </c>
      <c r="G703" s="40" t="s">
        <v>565</v>
      </c>
      <c r="H703" s="45" t="s">
        <v>1106</v>
      </c>
      <c r="I703" s="277">
        <v>500</v>
      </c>
      <c r="J703" s="277">
        <v>13125</v>
      </c>
      <c r="K703" s="38">
        <v>6562500</v>
      </c>
      <c r="L703" s="39" t="s">
        <v>191</v>
      </c>
      <c r="M703" s="750" t="s">
        <v>8</v>
      </c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str">
        <f>IF(ISNA(VLOOKUP(F703,NXT!$C$18:$C$347,1,0)),x,"")</f>
        <v/>
      </c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>
        <f t="shared" si="18"/>
        <v>8</v>
      </c>
      <c r="C704" s="37">
        <v>41137</v>
      </c>
      <c r="D704" s="205" t="s">
        <v>611</v>
      </c>
      <c r="E704" s="37">
        <v>41137</v>
      </c>
      <c r="F704" s="40" t="s">
        <v>1107</v>
      </c>
      <c r="G704" s="627" t="s">
        <v>565</v>
      </c>
      <c r="H704" s="45" t="s">
        <v>1106</v>
      </c>
      <c r="I704" s="277">
        <v>500</v>
      </c>
      <c r="J704" s="277">
        <v>10863</v>
      </c>
      <c r="K704" s="38">
        <v>5431500</v>
      </c>
      <c r="L704" s="39" t="s">
        <v>191</v>
      </c>
      <c r="M704" s="750" t="s">
        <v>8</v>
      </c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str">
        <f>IF(ISNA(VLOOKUP(F704,NXT!$C$18:$C$347,1,0)),x,"")</f>
        <v/>
      </c>
    </row>
    <row r="705" spans="1:29" s="226" customFormat="1" ht="15.75" customHeight="1">
      <c r="A705" s="219" t="str">
        <f>IF(B705&lt;&gt;"",IF(AND(B705&gt;=_TM1,B705&lt;=_TM2,OR(TH!L705="1111",TH!M705="1111")),TH!D705,""),"")</f>
        <v/>
      </c>
      <c r="B705" s="36">
        <f t="shared" ref="B705:B715" si="19">IF(C705&lt;&gt;"",MONTH(C705),"")</f>
        <v>8</v>
      </c>
      <c r="C705" s="37">
        <v>41137</v>
      </c>
      <c r="D705" s="205" t="s">
        <v>611</v>
      </c>
      <c r="E705" s="205">
        <v>41137</v>
      </c>
      <c r="F705" s="206" t="s">
        <v>1108</v>
      </c>
      <c r="G705" s="628" t="s">
        <v>565</v>
      </c>
      <c r="H705" s="207" t="s">
        <v>1106</v>
      </c>
      <c r="I705" s="277">
        <v>1000</v>
      </c>
      <c r="J705" s="277">
        <v>4600</v>
      </c>
      <c r="K705" s="38">
        <v>4600000</v>
      </c>
      <c r="L705" s="208" t="s">
        <v>191</v>
      </c>
      <c r="M705" s="750" t="s">
        <v>8</v>
      </c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  <c r="AC705" s="226" t="str">
        <f>IF(ISNA(VLOOKUP(F705,NXT!$C$18:$C$347,1,0)),x,"")</f>
        <v/>
      </c>
    </row>
    <row r="706" spans="1:29" s="226" customFormat="1" ht="15.75" customHeight="1">
      <c r="A706" s="219" t="str">
        <f>IF(B706&lt;&gt;"",IF(AND(B706&gt;=_TM1,B706&lt;=_TM2,OR(TH!L706="1111",TH!M706="1111")),TH!D706,""),"")</f>
        <v/>
      </c>
      <c r="B706" s="36">
        <f t="shared" si="19"/>
        <v>8</v>
      </c>
      <c r="C706" s="37">
        <v>41137</v>
      </c>
      <c r="D706" s="205" t="s">
        <v>611</v>
      </c>
      <c r="E706" s="205">
        <v>41137</v>
      </c>
      <c r="F706" s="206" t="s">
        <v>1109</v>
      </c>
      <c r="G706" s="628" t="s">
        <v>565</v>
      </c>
      <c r="H706" s="207" t="s">
        <v>1106</v>
      </c>
      <c r="I706" s="277"/>
      <c r="J706" s="277"/>
      <c r="K706" s="38">
        <v>1659400</v>
      </c>
      <c r="L706" s="208" t="s">
        <v>9</v>
      </c>
      <c r="M706" s="750" t="s">
        <v>8</v>
      </c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29" s="226" customFormat="1" ht="15.75" customHeight="1">
      <c r="A707" s="219" t="str">
        <f>IF(B707&lt;&gt;"",IF(AND(B707&gt;=_TM1,B707&lt;=_TM2,OR(TH!L707="1111",TH!M707="1111")),TH!D707,""),"")</f>
        <v/>
      </c>
      <c r="B707" s="36">
        <f t="shared" si="19"/>
        <v>8</v>
      </c>
      <c r="C707" s="37">
        <v>41137</v>
      </c>
      <c r="D707" s="205" t="s">
        <v>570</v>
      </c>
      <c r="E707" s="205">
        <v>41137</v>
      </c>
      <c r="F707" s="206" t="s">
        <v>532</v>
      </c>
      <c r="G707" s="628" t="s">
        <v>565</v>
      </c>
      <c r="H707" s="207" t="s">
        <v>1106</v>
      </c>
      <c r="I707" s="277"/>
      <c r="J707" s="277"/>
      <c r="K707" s="38">
        <v>18253400</v>
      </c>
      <c r="L707" s="208" t="s">
        <v>8</v>
      </c>
      <c r="M707" s="208" t="s">
        <v>49</v>
      </c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>x</v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29" s="226" customFormat="1" ht="15.75" customHeight="1">
      <c r="A708" s="219" t="str">
        <f>IF(B708&lt;&gt;"",IF(AND(B708&gt;=_TM1,B708&lt;=_TM2,OR(TH!L708="1111",TH!M708="1111")),TH!D708,""),"")</f>
        <v/>
      </c>
      <c r="B708" s="36">
        <f t="shared" si="19"/>
        <v>8</v>
      </c>
      <c r="C708" s="37">
        <v>41139</v>
      </c>
      <c r="D708" s="205" t="s">
        <v>571</v>
      </c>
      <c r="E708" s="205">
        <v>41139</v>
      </c>
      <c r="F708" s="206" t="s">
        <v>528</v>
      </c>
      <c r="G708" s="628" t="s">
        <v>447</v>
      </c>
      <c r="H708" s="207" t="s">
        <v>783</v>
      </c>
      <c r="I708" s="277"/>
      <c r="J708" s="277"/>
      <c r="K708" s="38">
        <v>12500000</v>
      </c>
      <c r="L708" s="208" t="s">
        <v>24</v>
      </c>
      <c r="M708" s="208" t="s">
        <v>49</v>
      </c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>x</v>
      </c>
      <c r="R708" s="55" t="str">
        <f>IF(ISERROR(FIND('112'!$M$9,G708,1)),"",IF((AND(FIND('112'!$M$9,G708,1)&gt;=1,$B708&gt;='112'!$N$8,$B708&lt;='112'!$O$8,OR($L708='112'!$I$6,$M708='112'!$I$6))),"x",""))</f>
        <v>x</v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29" s="226" customFormat="1" ht="15.75" customHeight="1">
      <c r="A709" s="219" t="str">
        <f>IF(B709&lt;&gt;"",IF(AND(B709&gt;=_TM1,B709&lt;=_TM2,OR(TH!L709="1111",TH!M709="1111")),TH!D709,""),"")</f>
        <v/>
      </c>
      <c r="B709" s="36">
        <f t="shared" si="19"/>
        <v>8</v>
      </c>
      <c r="C709" s="37">
        <v>41139</v>
      </c>
      <c r="D709" s="205" t="s">
        <v>612</v>
      </c>
      <c r="E709" s="205">
        <v>41139</v>
      </c>
      <c r="F709" s="206" t="s">
        <v>1110</v>
      </c>
      <c r="G709" s="628" t="s">
        <v>1111</v>
      </c>
      <c r="H709" s="7" t="s">
        <v>564</v>
      </c>
      <c r="I709" s="277">
        <v>200</v>
      </c>
      <c r="J709" s="277">
        <v>18314</v>
      </c>
      <c r="K709" s="38">
        <v>3662800</v>
      </c>
      <c r="L709" s="208" t="s">
        <v>191</v>
      </c>
      <c r="M709" s="750" t="s">
        <v>8</v>
      </c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  <c r="AC709" s="226" t="str">
        <f>IF(ISNA(VLOOKUP(F709,NXT!$C$18:$C$347,1,0)),x,"")</f>
        <v/>
      </c>
    </row>
    <row r="710" spans="1:29" s="226" customFormat="1" ht="15.75" customHeight="1">
      <c r="A710" s="219" t="str">
        <f>IF(B710&lt;&gt;"",IF(AND(B710&gt;=_TM1,B710&lt;=_TM2,OR(TH!L710="1111",TH!M710="1111")),TH!D710,""),"")</f>
        <v/>
      </c>
      <c r="B710" s="36">
        <f t="shared" si="19"/>
        <v>8</v>
      </c>
      <c r="C710" s="37">
        <v>41139</v>
      </c>
      <c r="D710" s="205" t="s">
        <v>612</v>
      </c>
      <c r="E710" s="205">
        <v>41139</v>
      </c>
      <c r="F710" s="206" t="s">
        <v>1112</v>
      </c>
      <c r="G710" s="628" t="s">
        <v>1111</v>
      </c>
      <c r="H710" s="7" t="s">
        <v>564</v>
      </c>
      <c r="I710" s="277">
        <v>50</v>
      </c>
      <c r="J710" s="277">
        <v>12635</v>
      </c>
      <c r="K710" s="38">
        <v>631750</v>
      </c>
      <c r="L710" s="208" t="s">
        <v>191</v>
      </c>
      <c r="M710" s="750" t="s">
        <v>8</v>
      </c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C710" s="226" t="str">
        <f>IF(ISNA(VLOOKUP(F710,NXT!$C$18:$C$347,1,0)),x,"")</f>
        <v/>
      </c>
    </row>
    <row r="711" spans="1:29" s="226" customFormat="1" ht="15.75" customHeight="1">
      <c r="A711" s="219" t="str">
        <f>IF(B711&lt;&gt;"",IF(AND(B711&gt;=_TM1,B711&lt;=_TM2,OR(TH!L711="1111",TH!M711="1111")),TH!D711,""),"")</f>
        <v/>
      </c>
      <c r="B711" s="36">
        <f t="shared" si="19"/>
        <v>8</v>
      </c>
      <c r="C711" s="37">
        <v>41139</v>
      </c>
      <c r="D711" s="205" t="s">
        <v>612</v>
      </c>
      <c r="E711" s="205">
        <v>41139</v>
      </c>
      <c r="F711" s="206" t="s">
        <v>857</v>
      </c>
      <c r="G711" s="628" t="s">
        <v>1111</v>
      </c>
      <c r="H711" s="7" t="s">
        <v>564</v>
      </c>
      <c r="I711" s="277">
        <v>1520</v>
      </c>
      <c r="J711" s="277">
        <v>23149</v>
      </c>
      <c r="K711" s="38">
        <v>35186480</v>
      </c>
      <c r="L711" s="208" t="s">
        <v>191</v>
      </c>
      <c r="M711" s="750" t="s">
        <v>8</v>
      </c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C711" s="226" t="str">
        <f>IF(ISNA(VLOOKUP(F711,NXT!$C$18:$C$347,1,0)),x,"")</f>
        <v/>
      </c>
    </row>
    <row r="712" spans="1:29" s="226" customFormat="1" ht="15.75" customHeight="1">
      <c r="A712" s="219" t="str">
        <f>IF(B712&lt;&gt;"",IF(AND(B712&gt;=_TM1,B712&lt;=_TM2,OR(TH!L712="1111",TH!M712="1111")),TH!D712,""),"")</f>
        <v/>
      </c>
      <c r="B712" s="36">
        <f t="shared" si="19"/>
        <v>8</v>
      </c>
      <c r="C712" s="37">
        <v>41139</v>
      </c>
      <c r="D712" s="205" t="s">
        <v>612</v>
      </c>
      <c r="E712" s="205">
        <v>41139</v>
      </c>
      <c r="F712" s="206" t="s">
        <v>650</v>
      </c>
      <c r="G712" s="628" t="s">
        <v>1111</v>
      </c>
      <c r="H712" s="7" t="s">
        <v>564</v>
      </c>
      <c r="I712" s="277"/>
      <c r="J712" s="277"/>
      <c r="K712" s="38">
        <v>3948103</v>
      </c>
      <c r="L712" s="208" t="s">
        <v>9</v>
      </c>
      <c r="M712" s="750" t="s">
        <v>8</v>
      </c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29" s="226" customFormat="1" ht="15.75" customHeight="1">
      <c r="A713" s="219" t="str">
        <f>IF(B713&lt;&gt;"",IF(AND(B713&gt;=_TM1,B713&lt;=_TM2,OR(TH!L713="1111",TH!M713="1111")),TH!D713,""),"")</f>
        <v/>
      </c>
      <c r="B713" s="36">
        <f t="shared" si="19"/>
        <v>8</v>
      </c>
      <c r="C713" s="37">
        <v>41141</v>
      </c>
      <c r="D713" s="205" t="s">
        <v>572</v>
      </c>
      <c r="E713" s="205">
        <v>41141</v>
      </c>
      <c r="F713" s="206" t="s">
        <v>528</v>
      </c>
      <c r="G713" s="628" t="s">
        <v>447</v>
      </c>
      <c r="H713" s="207" t="s">
        <v>783</v>
      </c>
      <c r="I713" s="277"/>
      <c r="J713" s="277"/>
      <c r="K713" s="38">
        <v>1000000</v>
      </c>
      <c r="L713" s="208" t="s">
        <v>24</v>
      </c>
      <c r="M713" s="208" t="s">
        <v>49</v>
      </c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>x</v>
      </c>
      <c r="R713" s="55" t="str">
        <f>IF(ISERROR(FIND('112'!$M$9,G713,1)),"",IF((AND(FIND('112'!$M$9,G713,1)&gt;=1,$B713&gt;='112'!$N$8,$B713&lt;='112'!$O$8,OR($L713='112'!$I$6,$M713='112'!$I$6))),"x",""))</f>
        <v>x</v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29" s="226" customFormat="1" ht="15.75" customHeight="1">
      <c r="A714" s="219" t="str">
        <f>IF(B714&lt;&gt;"",IF(AND(B714&gt;=_TM1,B714&lt;=_TM2,OR(TH!L714="1111",TH!M714="1111")),TH!D714,""),"")</f>
        <v/>
      </c>
      <c r="B714" s="36">
        <f t="shared" si="19"/>
        <v>8</v>
      </c>
      <c r="C714" s="37">
        <v>41141</v>
      </c>
      <c r="D714" s="205" t="s">
        <v>573</v>
      </c>
      <c r="E714" s="205">
        <v>41141</v>
      </c>
      <c r="F714" s="206" t="s">
        <v>665</v>
      </c>
      <c r="G714" s="206" t="s">
        <v>1113</v>
      </c>
      <c r="H714" s="207" t="s">
        <v>667</v>
      </c>
      <c r="I714" s="277"/>
      <c r="J714" s="277"/>
      <c r="K714" s="38">
        <v>1694703</v>
      </c>
      <c r="L714" s="208" t="s">
        <v>87</v>
      </c>
      <c r="M714" s="208" t="s">
        <v>49</v>
      </c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>x</v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29" s="226" customFormat="1" ht="15.75" customHeight="1">
      <c r="A715" s="219" t="str">
        <f>IF(B715&lt;&gt;"",IF(AND(B715&gt;=_TM1,B715&lt;=_TM2,OR(TH!L715="1111",TH!M715="1111")),TH!D715,""),"")</f>
        <v/>
      </c>
      <c r="B715" s="36">
        <f t="shared" si="19"/>
        <v>8</v>
      </c>
      <c r="C715" s="37">
        <v>41141</v>
      </c>
      <c r="D715" s="205" t="s">
        <v>573</v>
      </c>
      <c r="E715" s="205">
        <v>41141</v>
      </c>
      <c r="F715" s="206" t="s">
        <v>668</v>
      </c>
      <c r="G715" s="206" t="s">
        <v>1113</v>
      </c>
      <c r="H715" s="207" t="s">
        <v>667</v>
      </c>
      <c r="I715" s="277"/>
      <c r="J715" s="277"/>
      <c r="K715" s="38">
        <v>169470</v>
      </c>
      <c r="L715" s="208" t="s">
        <v>9</v>
      </c>
      <c r="M715" s="208" t="s">
        <v>49</v>
      </c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>x</v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29" s="226" customFormat="1" ht="15.75" customHeight="1">
      <c r="A716" s="219" t="str">
        <f>IF(B716&lt;&gt;"",IF(AND(B716&gt;=_TM1,B716&lt;=_TM2,OR(TH!L716="1111",TH!M716="1111")),TH!D716,""),"")</f>
        <v/>
      </c>
      <c r="B716" s="36">
        <f t="shared" ref="B716:B730" si="20">IF(C716&lt;&gt;"",MONTH(C716),"")</f>
        <v>8</v>
      </c>
      <c r="C716" s="37">
        <v>41142</v>
      </c>
      <c r="D716" s="205" t="s">
        <v>450</v>
      </c>
      <c r="E716" s="205">
        <v>41142</v>
      </c>
      <c r="F716" s="206" t="s">
        <v>452</v>
      </c>
      <c r="G716" s="628" t="s">
        <v>447</v>
      </c>
      <c r="H716" s="207"/>
      <c r="I716" s="277"/>
      <c r="J716" s="277"/>
      <c r="K716" s="38">
        <v>5869600</v>
      </c>
      <c r="L716" s="208" t="s">
        <v>24</v>
      </c>
      <c r="M716" s="208" t="s">
        <v>352</v>
      </c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>x</v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</row>
    <row r="717" spans="1:29" s="226" customFormat="1" ht="15.75" customHeight="1">
      <c r="A717" s="219" t="str">
        <f>IF(B717&lt;&gt;"",IF(AND(B717&gt;=_TM1,B717&lt;=_TM2,OR(TH!L717="1111",TH!M717="1111")),TH!D717,""),"")</f>
        <v/>
      </c>
      <c r="B717" s="36">
        <f t="shared" si="20"/>
        <v>8</v>
      </c>
      <c r="C717" s="37">
        <v>41142</v>
      </c>
      <c r="D717" s="205" t="s">
        <v>451</v>
      </c>
      <c r="E717" s="205">
        <v>41142</v>
      </c>
      <c r="F717" s="206" t="s">
        <v>532</v>
      </c>
      <c r="G717" s="628" t="s">
        <v>447</v>
      </c>
      <c r="H717" s="207"/>
      <c r="I717" s="277"/>
      <c r="J717" s="277"/>
      <c r="K717" s="38">
        <v>40000000</v>
      </c>
      <c r="L717" s="208" t="s">
        <v>8</v>
      </c>
      <c r="M717" s="208" t="s">
        <v>24</v>
      </c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>x</v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29" s="226" customFormat="1" ht="15.75" customHeight="1">
      <c r="A718" s="219" t="str">
        <f>IF(B718&lt;&gt;"",IF(AND(B718&gt;=_TM1,B718&lt;=_TM2,OR(TH!L718="1111",TH!M718="1111")),TH!D718,""),"")</f>
        <v/>
      </c>
      <c r="B718" s="36">
        <f t="shared" si="20"/>
        <v>8</v>
      </c>
      <c r="C718" s="37">
        <v>41142</v>
      </c>
      <c r="D718" s="205" t="s">
        <v>451</v>
      </c>
      <c r="E718" s="205">
        <v>41142</v>
      </c>
      <c r="F718" s="206" t="s">
        <v>453</v>
      </c>
      <c r="G718" s="628" t="s">
        <v>447</v>
      </c>
      <c r="H718" s="207"/>
      <c r="I718" s="277"/>
      <c r="J718" s="277"/>
      <c r="K718" s="38">
        <v>10000</v>
      </c>
      <c r="L718" s="208" t="s">
        <v>87</v>
      </c>
      <c r="M718" s="208" t="s">
        <v>24</v>
      </c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>x</v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29" s="226" customFormat="1" ht="15.75" customHeight="1">
      <c r="A719" s="219" t="str">
        <f>IF(B719&lt;&gt;"",IF(AND(B719&gt;=_TM1,B719&lt;=_TM2,OR(TH!L719="1111",TH!M719="1111")),TH!D719,""),"")</f>
        <v/>
      </c>
      <c r="B719" s="36">
        <f t="shared" si="20"/>
        <v>8</v>
      </c>
      <c r="C719" s="37">
        <v>41143</v>
      </c>
      <c r="D719" s="205" t="s">
        <v>575</v>
      </c>
      <c r="E719" s="205">
        <v>41143</v>
      </c>
      <c r="F719" s="206" t="s">
        <v>1114</v>
      </c>
      <c r="G719" s="628" t="s">
        <v>1115</v>
      </c>
      <c r="H719" s="207" t="s">
        <v>533</v>
      </c>
      <c r="I719" s="277"/>
      <c r="J719" s="277"/>
      <c r="K719" s="38">
        <v>1240000</v>
      </c>
      <c r="L719" s="208" t="s">
        <v>199</v>
      </c>
      <c r="M719" s="208" t="s">
        <v>49</v>
      </c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>x</v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29" s="226" customFormat="1" ht="15.75" customHeight="1">
      <c r="A720" s="219" t="str">
        <f>IF(B720&lt;&gt;"",IF(AND(B720&gt;=_TM1,B720&lt;=_TM2,OR(TH!L720="1111",TH!M720="1111")),TH!D720,""),"")</f>
        <v/>
      </c>
      <c r="B720" s="36">
        <f t="shared" si="20"/>
        <v>8</v>
      </c>
      <c r="C720" s="37">
        <v>41143</v>
      </c>
      <c r="D720" s="205" t="s">
        <v>575</v>
      </c>
      <c r="E720" s="205">
        <v>41143</v>
      </c>
      <c r="F720" s="206" t="s">
        <v>459</v>
      </c>
      <c r="G720" s="628" t="s">
        <v>1115</v>
      </c>
      <c r="H720" s="207" t="s">
        <v>533</v>
      </c>
      <c r="I720" s="277"/>
      <c r="J720" s="277"/>
      <c r="K720" s="38">
        <v>124000</v>
      </c>
      <c r="L720" s="208" t="s">
        <v>9</v>
      </c>
      <c r="M720" s="208" t="s">
        <v>49</v>
      </c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>x</v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9" s="226" customFormat="1" ht="15.75" customHeight="1">
      <c r="A721" s="219" t="str">
        <f>IF(B721&lt;&gt;"",IF(AND(B721&gt;=_TM1,B721&lt;=_TM2,OR(TH!L721="1111",TH!M721="1111")),TH!D721,""),"")</f>
        <v/>
      </c>
      <c r="B721" s="36">
        <f t="shared" si="20"/>
        <v>8</v>
      </c>
      <c r="C721" s="37">
        <v>41144</v>
      </c>
      <c r="D721" s="205" t="s">
        <v>613</v>
      </c>
      <c r="E721" s="205">
        <v>41144</v>
      </c>
      <c r="F721" s="206" t="s">
        <v>1039</v>
      </c>
      <c r="G721" s="628" t="s">
        <v>1116</v>
      </c>
      <c r="H721" s="7" t="s">
        <v>564</v>
      </c>
      <c r="I721" s="277">
        <v>500</v>
      </c>
      <c r="J721" s="277">
        <v>13999</v>
      </c>
      <c r="K721" s="38">
        <v>6999500</v>
      </c>
      <c r="L721" s="208" t="s">
        <v>191</v>
      </c>
      <c r="M721" s="750" t="s">
        <v>8</v>
      </c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  <c r="AC721" s="226" t="str">
        <f>IF(ISNA(VLOOKUP(F721,NXT!$C$18:$C$347,1,0)),x,"")</f>
        <v/>
      </c>
    </row>
    <row r="722" spans="1:29" s="226" customFormat="1" ht="15.75" customHeight="1">
      <c r="A722" s="219" t="str">
        <f>IF(B722&lt;&gt;"",IF(AND(B722&gt;=_TM1,B722&lt;=_TM2,OR(TH!L722="1111",TH!M722="1111")),TH!D722,""),"")</f>
        <v/>
      </c>
      <c r="B722" s="36">
        <f t="shared" si="20"/>
        <v>8</v>
      </c>
      <c r="C722" s="37">
        <v>41144</v>
      </c>
      <c r="D722" s="205" t="s">
        <v>613</v>
      </c>
      <c r="E722" s="205">
        <v>41144</v>
      </c>
      <c r="F722" s="206" t="s">
        <v>1077</v>
      </c>
      <c r="G722" s="628" t="s">
        <v>1116</v>
      </c>
      <c r="H722" s="7" t="s">
        <v>564</v>
      </c>
      <c r="I722" s="277">
        <v>1000</v>
      </c>
      <c r="J722" s="277">
        <v>34944</v>
      </c>
      <c r="K722" s="38">
        <v>34944000</v>
      </c>
      <c r="L722" s="208" t="s">
        <v>191</v>
      </c>
      <c r="M722" s="750" t="s">
        <v>8</v>
      </c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  <c r="AC722" s="226" t="str">
        <f>IF(ISNA(VLOOKUP(F722,NXT!$C$18:$C$347,1,0)),x,"")</f>
        <v/>
      </c>
    </row>
    <row r="723" spans="1:29" s="226" customFormat="1" ht="15.75" customHeight="1">
      <c r="A723" s="219" t="str">
        <f>IF(B723&lt;&gt;"",IF(AND(B723&gt;=_TM1,B723&lt;=_TM2,OR(TH!L723="1111",TH!M723="1111")),TH!D723,""),"")</f>
        <v/>
      </c>
      <c r="B723" s="36">
        <f t="shared" si="20"/>
        <v>8</v>
      </c>
      <c r="C723" s="37">
        <v>41144</v>
      </c>
      <c r="D723" s="205" t="s">
        <v>613</v>
      </c>
      <c r="E723" s="205">
        <v>41144</v>
      </c>
      <c r="F723" s="206" t="s">
        <v>870</v>
      </c>
      <c r="G723" s="628" t="s">
        <v>1116</v>
      </c>
      <c r="H723" s="7" t="s">
        <v>564</v>
      </c>
      <c r="I723" s="277">
        <v>1000</v>
      </c>
      <c r="J723" s="277">
        <v>18306</v>
      </c>
      <c r="K723" s="38">
        <v>18306000</v>
      </c>
      <c r="L723" s="208" t="s">
        <v>191</v>
      </c>
      <c r="M723" s="750" t="s">
        <v>8</v>
      </c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  <c r="AC723" s="226" t="str">
        <f>IF(ISNA(VLOOKUP(F723,NXT!$C$18:$C$347,1,0)),x,"")</f>
        <v/>
      </c>
    </row>
    <row r="724" spans="1:29" s="226" customFormat="1" ht="15.75" customHeight="1">
      <c r="A724" s="219" t="str">
        <f>IF(B724&lt;&gt;"",IF(AND(B724&gt;=_TM1,B724&lt;=_TM2,OR(TH!L724="1111",TH!M724="1111")),TH!D724,""),"")</f>
        <v/>
      </c>
      <c r="B724" s="36">
        <f t="shared" si="20"/>
        <v>8</v>
      </c>
      <c r="C724" s="37">
        <v>41144</v>
      </c>
      <c r="D724" s="205" t="s">
        <v>613</v>
      </c>
      <c r="E724" s="37">
        <v>41144</v>
      </c>
      <c r="F724" s="40" t="s">
        <v>650</v>
      </c>
      <c r="G724" s="627" t="s">
        <v>1116</v>
      </c>
      <c r="H724" s="7" t="s">
        <v>564</v>
      </c>
      <c r="I724" s="277"/>
      <c r="J724" s="277"/>
      <c r="K724" s="38">
        <v>6024950</v>
      </c>
      <c r="L724" s="39" t="s">
        <v>9</v>
      </c>
      <c r="M724" s="750" t="s">
        <v>8</v>
      </c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226" customFormat="1" ht="15.75" customHeight="1">
      <c r="A725" s="219" t="str">
        <f>IF(B725&lt;&gt;"",IF(AND(B725&gt;=_TM1,B725&lt;=_TM2,OR(TH!L725="1111",TH!M725="1111")),TH!D725,""),"")</f>
        <v/>
      </c>
      <c r="B725" s="36">
        <f t="shared" si="20"/>
        <v>8</v>
      </c>
      <c r="C725" s="37">
        <v>41145</v>
      </c>
      <c r="D725" s="205" t="s">
        <v>614</v>
      </c>
      <c r="E725" s="37">
        <v>41145</v>
      </c>
      <c r="F725" s="40" t="s">
        <v>857</v>
      </c>
      <c r="G725" s="627" t="s">
        <v>1117</v>
      </c>
      <c r="H725" s="7" t="s">
        <v>564</v>
      </c>
      <c r="I725" s="277">
        <v>2000</v>
      </c>
      <c r="J725" s="277">
        <v>23149</v>
      </c>
      <c r="K725" s="38">
        <v>46298000</v>
      </c>
      <c r="L725" s="208" t="s">
        <v>191</v>
      </c>
      <c r="M725" s="750" t="s">
        <v>8</v>
      </c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str">
        <f>IF(ISNA(VLOOKUP(F725,NXT!$C$18:$C$347,1,0)),x,"")</f>
        <v/>
      </c>
    </row>
    <row r="726" spans="1:29" s="226" customFormat="1" ht="15.75" customHeight="1">
      <c r="A726" s="219" t="str">
        <f>IF(B726&lt;&gt;"",IF(AND(B726&gt;=_TM1,B726&lt;=_TM2,OR(TH!L726="1111",TH!M726="1111")),TH!D726,""),"")</f>
        <v/>
      </c>
      <c r="B726" s="36">
        <f t="shared" si="20"/>
        <v>8</v>
      </c>
      <c r="C726" s="37">
        <v>41145</v>
      </c>
      <c r="D726" s="205" t="s">
        <v>614</v>
      </c>
      <c r="E726" s="37">
        <v>41145</v>
      </c>
      <c r="F726" s="40" t="s">
        <v>650</v>
      </c>
      <c r="G726" s="627" t="s">
        <v>1117</v>
      </c>
      <c r="H726" s="7" t="s">
        <v>564</v>
      </c>
      <c r="I726" s="277"/>
      <c r="J726" s="277"/>
      <c r="K726" s="38">
        <v>4629800</v>
      </c>
      <c r="L726" s="39" t="s">
        <v>9</v>
      </c>
      <c r="M726" s="750" t="s">
        <v>8</v>
      </c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226" customFormat="1" ht="15.75" customHeight="1">
      <c r="A727" s="219" t="str">
        <f>IF(B727&lt;&gt;"",IF(AND(B727&gt;=_TM1,B727&lt;=_TM2,OR(TH!L727="1111",TH!M727="1111")),TH!D727,""),"")</f>
        <v/>
      </c>
      <c r="B727" s="36">
        <f t="shared" si="20"/>
        <v>8</v>
      </c>
      <c r="C727" s="37">
        <v>41146</v>
      </c>
      <c r="D727" s="205" t="s">
        <v>450</v>
      </c>
      <c r="E727" s="37">
        <v>41146</v>
      </c>
      <c r="F727" s="40" t="s">
        <v>530</v>
      </c>
      <c r="G727" s="627" t="s">
        <v>447</v>
      </c>
      <c r="H727" s="47"/>
      <c r="I727" s="277"/>
      <c r="J727" s="277"/>
      <c r="K727" s="38">
        <v>39945</v>
      </c>
      <c r="L727" s="39" t="s">
        <v>24</v>
      </c>
      <c r="M727" s="208" t="s">
        <v>41</v>
      </c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>x</v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9" s="226" customFormat="1" ht="15.75" customHeight="1">
      <c r="A728" s="219" t="str">
        <f>IF(B728&lt;&gt;"",IF(AND(B728&gt;=_TM1,B728&lt;=_TM2,OR(TH!L728="1111",TH!M728="1111")),TH!D728,""),"")</f>
        <v/>
      </c>
      <c r="B728" s="36">
        <f t="shared" si="20"/>
        <v>8</v>
      </c>
      <c r="C728" s="37">
        <v>41146</v>
      </c>
      <c r="D728" s="205" t="s">
        <v>615</v>
      </c>
      <c r="E728" s="205">
        <v>41146</v>
      </c>
      <c r="F728" s="40" t="s">
        <v>862</v>
      </c>
      <c r="G728" s="627" t="s">
        <v>1118</v>
      </c>
      <c r="H728" s="7" t="s">
        <v>564</v>
      </c>
      <c r="I728" s="277">
        <v>150</v>
      </c>
      <c r="J728" s="277">
        <v>27900</v>
      </c>
      <c r="K728" s="38">
        <v>4185000</v>
      </c>
      <c r="L728" s="39" t="s">
        <v>191</v>
      </c>
      <c r="M728" s="750" t="s">
        <v>8</v>
      </c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  <c r="AC728" s="226" t="str">
        <f>IF(ISNA(VLOOKUP(F728,NXT!$C$18:$C$347,1,0)),x,"")</f>
        <v/>
      </c>
    </row>
    <row r="729" spans="1:29" s="226" customFormat="1" ht="15.75" customHeight="1">
      <c r="A729" s="219" t="str">
        <f>IF(B729&lt;&gt;"",IF(AND(B729&gt;=_TM1,B729&lt;=_TM2,OR(TH!L729="1111",TH!M729="1111")),TH!D729,""),"")</f>
        <v/>
      </c>
      <c r="B729" s="36">
        <f t="shared" si="20"/>
        <v>8</v>
      </c>
      <c r="C729" s="37">
        <v>41146</v>
      </c>
      <c r="D729" s="205" t="s">
        <v>615</v>
      </c>
      <c r="E729" s="205">
        <v>41146</v>
      </c>
      <c r="F729" s="206" t="s">
        <v>1119</v>
      </c>
      <c r="G729" s="628" t="s">
        <v>1118</v>
      </c>
      <c r="H729" s="7" t="s">
        <v>564</v>
      </c>
      <c r="I729" s="277">
        <v>150</v>
      </c>
      <c r="J729" s="277">
        <v>22800</v>
      </c>
      <c r="K729" s="38">
        <v>3420000</v>
      </c>
      <c r="L729" s="208" t="s">
        <v>191</v>
      </c>
      <c r="M729" s="750" t="s">
        <v>8</v>
      </c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  <c r="AC729" s="226" t="str">
        <f>IF(ISNA(VLOOKUP(F729,NXT!$C$18:$C$347,1,0)),x,"")</f>
        <v/>
      </c>
    </row>
    <row r="730" spans="1:29" s="226" customFormat="1" ht="15.75" customHeight="1">
      <c r="A730" s="219" t="str">
        <f>IF(B730&lt;&gt;"",IF(AND(B730&gt;=_TM1,B730&lt;=_TM2,OR(TH!L730="1111",TH!M730="1111")),TH!D730,""),"")</f>
        <v/>
      </c>
      <c r="B730" s="36">
        <f t="shared" si="20"/>
        <v>8</v>
      </c>
      <c r="C730" s="37">
        <v>41146</v>
      </c>
      <c r="D730" s="205" t="s">
        <v>615</v>
      </c>
      <c r="E730" s="205">
        <v>41146</v>
      </c>
      <c r="F730" s="206" t="s">
        <v>650</v>
      </c>
      <c r="G730" s="628" t="s">
        <v>1118</v>
      </c>
      <c r="H730" s="7" t="s">
        <v>564</v>
      </c>
      <c r="I730" s="277"/>
      <c r="J730" s="277"/>
      <c r="K730" s="38">
        <v>760500</v>
      </c>
      <c r="L730" s="208" t="s">
        <v>9</v>
      </c>
      <c r="M730" s="750" t="s">
        <v>8</v>
      </c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226" customFormat="1" ht="15.75" customHeight="1">
      <c r="A731" s="219" t="str">
        <f>IF(B731&lt;&gt;"",IF(AND(B731&gt;=_TM1,B731&lt;=_TM2,OR(TH!L731="1111",TH!M731="1111")),TH!D731,""),"")</f>
        <v/>
      </c>
      <c r="B731" s="36">
        <f>IF(C731&lt;&gt;"",MONTH(C731),"")</f>
        <v>8</v>
      </c>
      <c r="C731" s="37">
        <v>41148</v>
      </c>
      <c r="D731" s="205" t="s">
        <v>616</v>
      </c>
      <c r="E731" s="205">
        <v>41148</v>
      </c>
      <c r="F731" s="206" t="s">
        <v>1120</v>
      </c>
      <c r="G731" s="628" t="s">
        <v>1121</v>
      </c>
      <c r="H731" s="7" t="s">
        <v>564</v>
      </c>
      <c r="I731" s="277">
        <v>500</v>
      </c>
      <c r="J731" s="277">
        <v>18746</v>
      </c>
      <c r="K731" s="38">
        <v>9373000</v>
      </c>
      <c r="L731" s="208" t="s">
        <v>191</v>
      </c>
      <c r="M731" s="750" t="s">
        <v>8</v>
      </c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  <c r="AC731" s="226" t="str">
        <f>IF(ISNA(VLOOKUP(F731,NXT!$C$18:$C$347,1,0)),x,"")</f>
        <v/>
      </c>
    </row>
    <row r="732" spans="1:29" s="226" customFormat="1" ht="15.75" customHeight="1">
      <c r="A732" s="219" t="str">
        <f>IF(B732&lt;&gt;"",IF(AND(B732&gt;=_TM1,B732&lt;=_TM2,OR(TH!L732="1111",TH!M732="1111")),TH!D732,""),"")</f>
        <v/>
      </c>
      <c r="B732" s="36">
        <f t="shared" ref="B732:B740" si="21">IF(C732&lt;&gt;"",MONTH(C732),"")</f>
        <v>8</v>
      </c>
      <c r="C732" s="37">
        <v>41148</v>
      </c>
      <c r="D732" s="205" t="s">
        <v>616</v>
      </c>
      <c r="E732" s="37">
        <v>41148</v>
      </c>
      <c r="F732" s="40" t="s">
        <v>1047</v>
      </c>
      <c r="G732" s="40" t="s">
        <v>1121</v>
      </c>
      <c r="H732" s="7" t="s">
        <v>564</v>
      </c>
      <c r="I732" s="277">
        <v>210</v>
      </c>
      <c r="J732" s="277">
        <v>13971</v>
      </c>
      <c r="K732" s="38">
        <v>2933910</v>
      </c>
      <c r="L732" s="39" t="s">
        <v>191</v>
      </c>
      <c r="M732" s="750" t="s">
        <v>8</v>
      </c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str">
        <f>IF(ISNA(VLOOKUP(F732,NXT!$C$18:$C$347,1,0)),x,"")</f>
        <v/>
      </c>
    </row>
    <row r="733" spans="1:29" s="226" customFormat="1" ht="15.75" customHeight="1">
      <c r="A733" s="219" t="str">
        <f>IF(B733&lt;&gt;"",IF(AND(B733&gt;=_TM1,B733&lt;=_TM2,OR(TH!L733="1111",TH!M733="1111")),TH!D733,""),"")</f>
        <v/>
      </c>
      <c r="B733" s="36">
        <f t="shared" si="21"/>
        <v>8</v>
      </c>
      <c r="C733" s="37">
        <v>41148</v>
      </c>
      <c r="D733" s="205" t="s">
        <v>616</v>
      </c>
      <c r="E733" s="37">
        <v>41148</v>
      </c>
      <c r="F733" s="40" t="s">
        <v>650</v>
      </c>
      <c r="G733" s="40" t="s">
        <v>1121</v>
      </c>
      <c r="H733" s="7" t="s">
        <v>564</v>
      </c>
      <c r="I733" s="277"/>
      <c r="J733" s="277"/>
      <c r="K733" s="38">
        <v>1230691</v>
      </c>
      <c r="L733" s="39" t="s">
        <v>9</v>
      </c>
      <c r="M733" s="750" t="s">
        <v>8</v>
      </c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9" s="226" customFormat="1" ht="15.75" customHeight="1">
      <c r="A734" s="219" t="str">
        <f>IF(B734&lt;&gt;"",IF(AND(B734&gt;=_TM1,B734&lt;=_TM2,OR(TH!L734="1111",TH!M734="1111")),TH!D734,""),"")</f>
        <v/>
      </c>
      <c r="B734" s="36">
        <f t="shared" si="21"/>
        <v>8</v>
      </c>
      <c r="C734" s="37">
        <v>41149</v>
      </c>
      <c r="D734" s="37" t="s">
        <v>576</v>
      </c>
      <c r="E734" s="37">
        <v>41149</v>
      </c>
      <c r="F734" s="40" t="s">
        <v>528</v>
      </c>
      <c r="G734" s="40" t="s">
        <v>447</v>
      </c>
      <c r="H734" s="45" t="s">
        <v>783</v>
      </c>
      <c r="I734" s="277"/>
      <c r="J734" s="277"/>
      <c r="K734" s="38">
        <v>20000000</v>
      </c>
      <c r="L734" s="39" t="s">
        <v>24</v>
      </c>
      <c r="M734" s="39" t="s">
        <v>49</v>
      </c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>x</v>
      </c>
      <c r="R734" s="55" t="str">
        <f>IF(ISERROR(FIND('112'!$M$9,G734,1)),"",IF((AND(FIND('112'!$M$9,G734,1)&gt;=1,$B734&gt;='112'!$N$8,$B734&lt;='112'!$O$8,OR($L734='112'!$I$6,$M734='112'!$I$6))),"x",""))</f>
        <v>x</v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226" customFormat="1" ht="15.75" customHeight="1">
      <c r="A735" s="219" t="str">
        <f>IF(B735&lt;&gt;"",IF(AND(B735&gt;=_TM1,B735&lt;=_TM2,OR(TH!L735="1111",TH!M735="1111")),TH!D735,""),"")</f>
        <v/>
      </c>
      <c r="B735" s="36">
        <f t="shared" si="21"/>
        <v>8</v>
      </c>
      <c r="C735" s="37">
        <v>41149</v>
      </c>
      <c r="D735" s="37" t="s">
        <v>577</v>
      </c>
      <c r="E735" s="37">
        <v>41149</v>
      </c>
      <c r="F735" s="40" t="s">
        <v>528</v>
      </c>
      <c r="G735" s="40" t="s">
        <v>447</v>
      </c>
      <c r="H735" s="45" t="s">
        <v>783</v>
      </c>
      <c r="I735" s="277"/>
      <c r="J735" s="277"/>
      <c r="K735" s="38">
        <v>8000000</v>
      </c>
      <c r="L735" s="39" t="s">
        <v>24</v>
      </c>
      <c r="M735" s="39" t="s">
        <v>49</v>
      </c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>x</v>
      </c>
      <c r="R735" s="55" t="str">
        <f>IF(ISERROR(FIND('112'!$M$9,G735,1)),"",IF((AND(FIND('112'!$M$9,G735,1)&gt;=1,$B735&gt;='112'!$N$8,$B735&lt;='112'!$O$8,OR($L735='112'!$I$6,$M735='112'!$I$6))),"x",""))</f>
        <v>x</v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9" s="226" customFormat="1" ht="15.75" customHeight="1">
      <c r="A736" s="219" t="str">
        <f>IF(B736&lt;&gt;"",IF(AND(B736&gt;=_TM1,B736&lt;=_TM2,OR(TH!L736="1111",TH!M736="1111")),TH!D736,""),"")</f>
        <v/>
      </c>
      <c r="B736" s="36">
        <f t="shared" si="21"/>
        <v>8</v>
      </c>
      <c r="C736" s="37">
        <v>41150</v>
      </c>
      <c r="D736" s="205" t="s">
        <v>617</v>
      </c>
      <c r="E736" s="37">
        <v>41150</v>
      </c>
      <c r="F736" s="40" t="s">
        <v>850</v>
      </c>
      <c r="G736" s="40" t="s">
        <v>1122</v>
      </c>
      <c r="H736" s="7" t="s">
        <v>564</v>
      </c>
      <c r="I736" s="277">
        <v>250</v>
      </c>
      <c r="J736" s="277">
        <v>8505</v>
      </c>
      <c r="K736" s="38">
        <v>2126250</v>
      </c>
      <c r="L736" s="39" t="s">
        <v>191</v>
      </c>
      <c r="M736" s="750" t="s">
        <v>8</v>
      </c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str">
        <f>IF(ISNA(VLOOKUP(F736,NXT!$C$18:$C$347,1,0)),x,"")</f>
        <v/>
      </c>
    </row>
    <row r="737" spans="1:29" s="226" customFormat="1" ht="15.75" customHeight="1">
      <c r="A737" s="219" t="str">
        <f>IF(B737&lt;&gt;"",IF(AND(B737&gt;=_TM1,B737&lt;=_TM2,OR(TH!L737="1111",TH!M737="1111")),TH!D737,""),"")</f>
        <v/>
      </c>
      <c r="B737" s="36">
        <f t="shared" si="21"/>
        <v>8</v>
      </c>
      <c r="C737" s="37">
        <v>41150</v>
      </c>
      <c r="D737" s="205" t="s">
        <v>617</v>
      </c>
      <c r="E737" s="37">
        <v>41150</v>
      </c>
      <c r="F737" s="40" t="s">
        <v>1041</v>
      </c>
      <c r="G737" s="40" t="s">
        <v>1122</v>
      </c>
      <c r="H737" s="7" t="s">
        <v>564</v>
      </c>
      <c r="I737" s="278">
        <v>350</v>
      </c>
      <c r="J737" s="278">
        <v>13507</v>
      </c>
      <c r="K737" s="38">
        <v>4727450</v>
      </c>
      <c r="L737" s="39" t="s">
        <v>191</v>
      </c>
      <c r="M737" s="750" t="s">
        <v>8</v>
      </c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str">
        <f>IF(ISNA(VLOOKUP(F737,NXT!$C$18:$C$347,1,0)),x,"")</f>
        <v/>
      </c>
    </row>
    <row r="738" spans="1:29" s="226" customFormat="1" ht="15.75" customHeight="1">
      <c r="A738" s="219" t="str">
        <f>IF(B738&lt;&gt;"",IF(AND(B738&gt;=_TM1,B738&lt;=_TM2,OR(TH!L738="1111",TH!M738="1111")),TH!D738,""),"")</f>
        <v/>
      </c>
      <c r="B738" s="36">
        <f t="shared" si="21"/>
        <v>8</v>
      </c>
      <c r="C738" s="37">
        <v>41150</v>
      </c>
      <c r="D738" s="205" t="s">
        <v>617</v>
      </c>
      <c r="E738" s="37">
        <v>41150</v>
      </c>
      <c r="F738" s="40" t="s">
        <v>1123</v>
      </c>
      <c r="G738" s="40" t="s">
        <v>1122</v>
      </c>
      <c r="H738" s="7" t="s">
        <v>564</v>
      </c>
      <c r="I738" s="277">
        <v>350</v>
      </c>
      <c r="J738" s="277">
        <v>19499</v>
      </c>
      <c r="K738" s="38">
        <v>6824650</v>
      </c>
      <c r="L738" s="39" t="s">
        <v>191</v>
      </c>
      <c r="M738" s="750" t="s">
        <v>8</v>
      </c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  <c r="AC738" s="226" t="str">
        <f>IF(ISNA(VLOOKUP(F738,NXT!$C$18:$C$347,1,0)),x,"")</f>
        <v/>
      </c>
    </row>
    <row r="739" spans="1:29" s="226" customFormat="1" ht="15.75" customHeight="1">
      <c r="A739" s="219" t="str">
        <f>IF(B739&lt;&gt;"",IF(AND(B739&gt;=_TM1,B739&lt;=_TM2,OR(TH!L739="1111",TH!M739="1111")),TH!D739,""),"")</f>
        <v/>
      </c>
      <c r="B739" s="36">
        <f t="shared" si="21"/>
        <v>8</v>
      </c>
      <c r="C739" s="37">
        <v>41150</v>
      </c>
      <c r="D739" s="205" t="s">
        <v>617</v>
      </c>
      <c r="E739" s="37">
        <v>41150</v>
      </c>
      <c r="F739" s="40" t="s">
        <v>1094</v>
      </c>
      <c r="G739" s="40" t="s">
        <v>1122</v>
      </c>
      <c r="H739" s="7" t="s">
        <v>564</v>
      </c>
      <c r="I739" s="277">
        <v>200</v>
      </c>
      <c r="J739" s="277">
        <v>20992</v>
      </c>
      <c r="K739" s="38">
        <v>4198400</v>
      </c>
      <c r="L739" s="39" t="s">
        <v>191</v>
      </c>
      <c r="M739" s="750" t="s">
        <v>8</v>
      </c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  <c r="AC739" s="226" t="str">
        <f>IF(ISNA(VLOOKUP(F739,NXT!$C$18:$C$347,1,0)),x,"")</f>
        <v/>
      </c>
    </row>
    <row r="740" spans="1:29" s="226" customFormat="1" ht="15.75" customHeight="1">
      <c r="A740" s="219" t="str">
        <f>IF(B740&lt;&gt;"",IF(AND(B740&gt;=_TM1,B740&lt;=_TM2,OR(TH!L740="1111",TH!M740="1111")),TH!D740,""),"")</f>
        <v/>
      </c>
      <c r="B740" s="36">
        <f t="shared" si="21"/>
        <v>8</v>
      </c>
      <c r="C740" s="37">
        <v>41150</v>
      </c>
      <c r="D740" s="205" t="s">
        <v>617</v>
      </c>
      <c r="E740" s="37">
        <v>41150</v>
      </c>
      <c r="F740" s="40" t="s">
        <v>1124</v>
      </c>
      <c r="G740" s="40" t="s">
        <v>1122</v>
      </c>
      <c r="H740" s="7" t="s">
        <v>564</v>
      </c>
      <c r="I740" s="278">
        <v>100</v>
      </c>
      <c r="J740" s="278">
        <v>5783</v>
      </c>
      <c r="K740" s="38">
        <v>578300</v>
      </c>
      <c r="L740" s="39" t="s">
        <v>191</v>
      </c>
      <c r="M740" s="750" t="s">
        <v>8</v>
      </c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  <c r="AC740" s="226" t="str">
        <f>IF(ISNA(VLOOKUP(F740,NXT!$C$18:$C$347,1,0)),x,"")</f>
        <v/>
      </c>
    </row>
    <row r="741" spans="1:29" s="226" customFormat="1" ht="15.75" customHeight="1">
      <c r="A741" s="219" t="str">
        <f>IF(B741&lt;&gt;"",IF(AND(B741&gt;=_TM1,B741&lt;=_TM2,OR(TH!L741="1111",TH!M741="1111")),TH!D741,""),"")</f>
        <v/>
      </c>
      <c r="B741" s="36">
        <f t="shared" ref="B741:B772" si="22">IF(C741&lt;&gt;"",MONTH(C741),"")</f>
        <v>8</v>
      </c>
      <c r="C741" s="37">
        <v>41150</v>
      </c>
      <c r="D741" s="205" t="s">
        <v>617</v>
      </c>
      <c r="E741" s="37">
        <v>41150</v>
      </c>
      <c r="F741" s="40" t="s">
        <v>1125</v>
      </c>
      <c r="G741" s="40" t="s">
        <v>1122</v>
      </c>
      <c r="H741" s="7" t="s">
        <v>564</v>
      </c>
      <c r="I741" s="277">
        <v>100</v>
      </c>
      <c r="J741" s="277">
        <v>28596</v>
      </c>
      <c r="K741" s="38">
        <v>2859600</v>
      </c>
      <c r="L741" s="39" t="s">
        <v>191</v>
      </c>
      <c r="M741" s="750" t="s">
        <v>8</v>
      </c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str">
        <f>IF(ISNA(VLOOKUP(F741,NXT!$C$18:$C$347,1,0)),x,"")</f>
        <v/>
      </c>
    </row>
    <row r="742" spans="1:29" s="226" customFormat="1" ht="15.75" customHeight="1">
      <c r="A742" s="219" t="str">
        <f>IF(B742&lt;&gt;"",IF(AND(B742&gt;=_TM1,B742&lt;=_TM2,OR(TH!L742="1111",TH!M742="1111")),TH!D742,""),"")</f>
        <v/>
      </c>
      <c r="B742" s="36">
        <f t="shared" si="22"/>
        <v>8</v>
      </c>
      <c r="C742" s="37">
        <v>41150</v>
      </c>
      <c r="D742" s="205" t="s">
        <v>617</v>
      </c>
      <c r="E742" s="37">
        <v>41150</v>
      </c>
      <c r="F742" s="40" t="s">
        <v>650</v>
      </c>
      <c r="G742" s="40" t="s">
        <v>1122</v>
      </c>
      <c r="H742" s="7" t="s">
        <v>564</v>
      </c>
      <c r="I742" s="277"/>
      <c r="J742" s="277"/>
      <c r="K742" s="38">
        <v>2131465</v>
      </c>
      <c r="L742" s="39" t="s">
        <v>9</v>
      </c>
      <c r="M742" s="750" t="s">
        <v>8</v>
      </c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9" s="226" customFormat="1" ht="15.75" customHeight="1">
      <c r="A743" s="219" t="str">
        <f>IF(B743&lt;&gt;"",IF(AND(B743&gt;=_TM1,B743&lt;=_TM2,OR(TH!L743="1111",TH!M743="1111")),TH!D743,""),"")</f>
        <v/>
      </c>
      <c r="B743" s="36">
        <f t="shared" si="22"/>
        <v>8</v>
      </c>
      <c r="C743" s="37">
        <v>41151</v>
      </c>
      <c r="D743" s="205" t="s">
        <v>618</v>
      </c>
      <c r="E743" s="37">
        <v>41151</v>
      </c>
      <c r="F743" s="40" t="s">
        <v>1126</v>
      </c>
      <c r="G743" s="40" t="s">
        <v>1127</v>
      </c>
      <c r="H743" s="7" t="s">
        <v>564</v>
      </c>
      <c r="I743" s="277">
        <v>750</v>
      </c>
      <c r="J743" s="277">
        <v>22321</v>
      </c>
      <c r="K743" s="38">
        <v>16740750</v>
      </c>
      <c r="L743" s="39" t="s">
        <v>191</v>
      </c>
      <c r="M743" s="750" t="s">
        <v>8</v>
      </c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str">
        <f>IF(ISNA(VLOOKUP(F743,NXT!$C$18:$C$347,1,0)),x,"")</f>
        <v/>
      </c>
    </row>
    <row r="744" spans="1:29" s="226" customFormat="1" ht="15.75" customHeight="1">
      <c r="A744" s="219" t="str">
        <f>IF(B744&lt;&gt;"",IF(AND(B744&gt;=_TM1,B744&lt;=_TM2,OR(TH!L744="1111",TH!M744="1111")),TH!D744,""),"")</f>
        <v/>
      </c>
      <c r="B744" s="36">
        <f t="shared" si="22"/>
        <v>8</v>
      </c>
      <c r="C744" s="37">
        <v>41151</v>
      </c>
      <c r="D744" s="205" t="s">
        <v>618</v>
      </c>
      <c r="E744" s="37">
        <v>41151</v>
      </c>
      <c r="F744" s="40" t="s">
        <v>1079</v>
      </c>
      <c r="G744" s="40" t="s">
        <v>1127</v>
      </c>
      <c r="H744" s="7" t="s">
        <v>564</v>
      </c>
      <c r="I744" s="277">
        <v>130</v>
      </c>
      <c r="J744" s="277">
        <v>19950</v>
      </c>
      <c r="K744" s="38">
        <v>2593500</v>
      </c>
      <c r="L744" s="39" t="s">
        <v>191</v>
      </c>
      <c r="M744" s="750" t="s">
        <v>8</v>
      </c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  <c r="AC744" s="226" t="str">
        <f>IF(ISNA(VLOOKUP(F744,NXT!$C$18:$C$347,1,0)),x,"")</f>
        <v/>
      </c>
    </row>
    <row r="745" spans="1:29" s="226" customFormat="1" ht="15.75" customHeight="1">
      <c r="A745" s="219" t="str">
        <f>IF(B745&lt;&gt;"",IF(AND(B745&gt;=_TM1,B745&lt;=_TM2,OR(TH!L745="1111",TH!M745="1111")),TH!D745,""),"")</f>
        <v/>
      </c>
      <c r="B745" s="36">
        <f t="shared" si="22"/>
        <v>8</v>
      </c>
      <c r="C745" s="37">
        <v>41151</v>
      </c>
      <c r="D745" s="205" t="s">
        <v>618</v>
      </c>
      <c r="E745" s="37">
        <v>41151</v>
      </c>
      <c r="F745" s="40" t="s">
        <v>870</v>
      </c>
      <c r="G745" s="40" t="s">
        <v>1127</v>
      </c>
      <c r="H745" s="7" t="s">
        <v>564</v>
      </c>
      <c r="I745" s="278">
        <v>555</v>
      </c>
      <c r="J745" s="278">
        <v>18306</v>
      </c>
      <c r="K745" s="38">
        <v>10159830</v>
      </c>
      <c r="L745" s="39" t="s">
        <v>191</v>
      </c>
      <c r="M745" s="750" t="s">
        <v>8</v>
      </c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  <c r="AC745" s="226" t="str">
        <f>IF(ISNA(VLOOKUP(F745,NXT!$C$18:$C$347,1,0)),x,"")</f>
        <v/>
      </c>
    </row>
    <row r="746" spans="1:29" s="226" customFormat="1" ht="15.75" customHeight="1">
      <c r="A746" s="219" t="str">
        <f>IF(B746&lt;&gt;"",IF(AND(B746&gt;=_TM1,B746&lt;=_TM2,OR(TH!L746="1111",TH!M746="1111")),TH!D746,""),"")</f>
        <v/>
      </c>
      <c r="B746" s="36">
        <f t="shared" si="22"/>
        <v>8</v>
      </c>
      <c r="C746" s="37">
        <v>41151</v>
      </c>
      <c r="D746" s="205" t="s">
        <v>618</v>
      </c>
      <c r="E746" s="37">
        <v>41151</v>
      </c>
      <c r="F746" s="40" t="s">
        <v>650</v>
      </c>
      <c r="G746" s="40" t="s">
        <v>1127</v>
      </c>
      <c r="H746" s="7" t="s">
        <v>564</v>
      </c>
      <c r="I746" s="277"/>
      <c r="J746" s="277"/>
      <c r="K746" s="38">
        <v>2949408</v>
      </c>
      <c r="L746" s="39" t="s">
        <v>9</v>
      </c>
      <c r="M746" s="750" t="s">
        <v>8</v>
      </c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9" s="226" customFormat="1" ht="15.75" customHeight="1">
      <c r="A747" s="219" t="str">
        <f>IF(B747&lt;&gt;"",IF(AND(B747&gt;=_TM1,B747&lt;=_TM2,OR(TH!L747="1111",TH!M747="1111")),TH!D747,""),"")</f>
        <v/>
      </c>
      <c r="B747" s="36">
        <f t="shared" si="22"/>
        <v>8</v>
      </c>
      <c r="C747" s="37">
        <v>41152</v>
      </c>
      <c r="D747" s="37" t="s">
        <v>578</v>
      </c>
      <c r="E747" s="37">
        <v>41152</v>
      </c>
      <c r="F747" s="40" t="s">
        <v>528</v>
      </c>
      <c r="G747" s="40" t="s">
        <v>447</v>
      </c>
      <c r="H747" s="225" t="s">
        <v>783</v>
      </c>
      <c r="I747" s="277"/>
      <c r="J747" s="277"/>
      <c r="K747" s="38">
        <v>5000000</v>
      </c>
      <c r="L747" s="39" t="s">
        <v>24</v>
      </c>
      <c r="M747" s="39" t="s">
        <v>49</v>
      </c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>x</v>
      </c>
      <c r="R747" s="55" t="str">
        <f>IF(ISERROR(FIND('112'!$M$9,G747,1)),"",IF((AND(FIND('112'!$M$9,G747,1)&gt;=1,$B747&gt;='112'!$N$8,$B747&lt;='112'!$O$8,OR($L747='112'!$I$6,$M747='112'!$I$6))),"x",""))</f>
        <v>x</v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9" s="226" customFormat="1" ht="15.75" customHeight="1">
      <c r="A748" s="219" t="str">
        <f>IF(B748&lt;&gt;"",IF(AND(B748&gt;=_TM1,B748&lt;=_TM2,OR(TH!L748="1111",TH!M748="1111")),TH!D748,""),"")</f>
        <v/>
      </c>
      <c r="B748" s="36">
        <f t="shared" si="22"/>
        <v>8</v>
      </c>
      <c r="C748" s="37">
        <v>41152</v>
      </c>
      <c r="D748" s="37" t="s">
        <v>451</v>
      </c>
      <c r="E748" s="37">
        <v>41152</v>
      </c>
      <c r="F748" s="40" t="s">
        <v>532</v>
      </c>
      <c r="G748" s="40" t="s">
        <v>447</v>
      </c>
      <c r="H748" s="7"/>
      <c r="I748" s="277"/>
      <c r="J748" s="277"/>
      <c r="K748" s="38">
        <v>9382000</v>
      </c>
      <c r="L748" s="39" t="s">
        <v>8</v>
      </c>
      <c r="M748" s="39" t="s">
        <v>24</v>
      </c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>x</v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9" s="226" customFormat="1" ht="15.75" customHeight="1">
      <c r="A749" s="219" t="str">
        <f>IF(B749&lt;&gt;"",IF(AND(B749&gt;=_TM1,B749&lt;=_TM2,OR(TH!L749="1111",TH!M749="1111")),TH!D749,""),"")</f>
        <v/>
      </c>
      <c r="B749" s="36">
        <f t="shared" si="22"/>
        <v>8</v>
      </c>
      <c r="C749" s="37">
        <v>41152</v>
      </c>
      <c r="D749" s="37" t="s">
        <v>451</v>
      </c>
      <c r="E749" s="37">
        <v>41152</v>
      </c>
      <c r="F749" s="40" t="s">
        <v>453</v>
      </c>
      <c r="G749" s="40" t="s">
        <v>447</v>
      </c>
      <c r="H749" s="7"/>
      <c r="I749" s="277"/>
      <c r="J749" s="277"/>
      <c r="K749" s="38">
        <v>10000</v>
      </c>
      <c r="L749" s="39" t="s">
        <v>87</v>
      </c>
      <c r="M749" s="39" t="s">
        <v>24</v>
      </c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>x</v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9" s="226" customFormat="1" ht="15.75" customHeight="1">
      <c r="A750" s="219" t="str">
        <f>IF(B750&lt;&gt;"",IF(AND(B750&gt;=_TM1,B750&lt;=_TM2,OR(TH!L750="1111",TH!M750="1111")),TH!D750,""),"")</f>
        <v/>
      </c>
      <c r="B750" s="36">
        <f t="shared" si="22"/>
        <v>8</v>
      </c>
      <c r="C750" s="37">
        <v>41152</v>
      </c>
      <c r="D750" s="37" t="s">
        <v>451</v>
      </c>
      <c r="E750" s="37">
        <v>41152</v>
      </c>
      <c r="F750" s="40" t="s">
        <v>532</v>
      </c>
      <c r="G750" s="40" t="s">
        <v>447</v>
      </c>
      <c r="H750" s="7"/>
      <c r="I750" s="278"/>
      <c r="J750" s="278"/>
      <c r="K750" s="38">
        <v>10000000</v>
      </c>
      <c r="L750" s="39" t="s">
        <v>8</v>
      </c>
      <c r="M750" s="39" t="s">
        <v>24</v>
      </c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>x</v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9" s="740" customFormat="1" ht="15.75" customHeight="1">
      <c r="A751" s="219" t="str">
        <f>IF(B751&lt;&gt;"",IF(AND(B751&gt;=_TM1,B751&lt;=_TM2,OR(TH!L751="1111",TH!M751="1111")),TH!D751,""),"")</f>
        <v/>
      </c>
      <c r="B751" s="36">
        <f t="shared" si="22"/>
        <v>8</v>
      </c>
      <c r="C751" s="37">
        <v>41152</v>
      </c>
      <c r="D751" s="195" t="s">
        <v>451</v>
      </c>
      <c r="E751" s="195">
        <v>41152</v>
      </c>
      <c r="F751" s="203" t="s">
        <v>453</v>
      </c>
      <c r="G751" s="203" t="s">
        <v>447</v>
      </c>
      <c r="H751" s="45"/>
      <c r="I751" s="277"/>
      <c r="J751" s="277"/>
      <c r="K751" s="749">
        <v>20000</v>
      </c>
      <c r="L751" s="750" t="s">
        <v>87</v>
      </c>
      <c r="M751" s="1152" t="s">
        <v>24</v>
      </c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>x</v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9" s="740" customFormat="1" ht="15.75" customHeight="1">
      <c r="A752" s="219" t="str">
        <f>IF(B752&lt;&gt;"",IF(AND(B752&gt;=_TM1,B752&lt;=_TM2,OR(TH!L752="1111",TH!M752="1111")),TH!D752,""),"")</f>
        <v/>
      </c>
      <c r="B752" s="36">
        <f t="shared" si="22"/>
        <v>8</v>
      </c>
      <c r="C752" s="37">
        <v>41152</v>
      </c>
      <c r="D752" s="195" t="s">
        <v>579</v>
      </c>
      <c r="E752" s="195">
        <v>41152</v>
      </c>
      <c r="F752" s="203" t="s">
        <v>1128</v>
      </c>
      <c r="G752" s="751" t="s">
        <v>1129</v>
      </c>
      <c r="H752" s="45" t="s">
        <v>533</v>
      </c>
      <c r="I752" s="277"/>
      <c r="J752" s="277"/>
      <c r="K752" s="749">
        <v>1340000</v>
      </c>
      <c r="L752" s="1153" t="s">
        <v>199</v>
      </c>
      <c r="M752" s="1153" t="s">
        <v>49</v>
      </c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>x</v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>
        <f t="shared" si="22"/>
        <v>8</v>
      </c>
      <c r="C753" s="37">
        <v>41152</v>
      </c>
      <c r="D753" s="195" t="s">
        <v>579</v>
      </c>
      <c r="E753" s="195">
        <v>41152</v>
      </c>
      <c r="F753" s="203" t="s">
        <v>459</v>
      </c>
      <c r="G753" s="203" t="s">
        <v>1129</v>
      </c>
      <c r="H753" s="45" t="s">
        <v>533</v>
      </c>
      <c r="I753" s="277"/>
      <c r="J753" s="277"/>
      <c r="K753" s="749">
        <v>134000</v>
      </c>
      <c r="L753" s="1153" t="s">
        <v>9</v>
      </c>
      <c r="M753" s="1153" t="s">
        <v>49</v>
      </c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>x</v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>
        <f t="shared" si="22"/>
        <v>8</v>
      </c>
      <c r="C754" s="37">
        <v>41152</v>
      </c>
      <c r="D754" s="205" t="s">
        <v>1189</v>
      </c>
      <c r="E754" s="195">
        <v>41152</v>
      </c>
      <c r="F754" s="203" t="s">
        <v>870</v>
      </c>
      <c r="G754" s="203" t="s">
        <v>1130</v>
      </c>
      <c r="H754" s="7" t="s">
        <v>564</v>
      </c>
      <c r="I754" s="277">
        <v>440</v>
      </c>
      <c r="J754" s="277">
        <v>18306</v>
      </c>
      <c r="K754" s="749">
        <v>8054640</v>
      </c>
      <c r="L754" s="750" t="s">
        <v>191</v>
      </c>
      <c r="M754" s="750" t="s">
        <v>8</v>
      </c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 t="str">
        <f>IF(ISNA(VLOOKUP(F754,NXT!$C$18:$C$347,1,0)),x,"")</f>
        <v/>
      </c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>
        <f t="shared" si="22"/>
        <v>8</v>
      </c>
      <c r="C755" s="37">
        <v>41152</v>
      </c>
      <c r="D755" s="205" t="s">
        <v>1189</v>
      </c>
      <c r="E755" s="195">
        <v>41152</v>
      </c>
      <c r="F755" s="203" t="s">
        <v>868</v>
      </c>
      <c r="G755" s="751" t="s">
        <v>1130</v>
      </c>
      <c r="H755" s="7" t="s">
        <v>564</v>
      </c>
      <c r="I755" s="277">
        <v>250</v>
      </c>
      <c r="J755" s="277">
        <v>17625</v>
      </c>
      <c r="K755" s="749">
        <v>4406250</v>
      </c>
      <c r="L755" s="1153" t="s">
        <v>191</v>
      </c>
      <c r="M755" s="750" t="s">
        <v>8</v>
      </c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 t="str">
        <f>IF(ISNA(VLOOKUP(F755,NXT!$C$18:$C$347,1,0)),x,"")</f>
        <v/>
      </c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>
        <f t="shared" si="22"/>
        <v>8</v>
      </c>
      <c r="C756" s="37">
        <v>41152</v>
      </c>
      <c r="D756" s="205" t="s">
        <v>1189</v>
      </c>
      <c r="E756" s="195">
        <v>41152</v>
      </c>
      <c r="F756" s="203" t="s">
        <v>650</v>
      </c>
      <c r="G756" s="203" t="s">
        <v>1130</v>
      </c>
      <c r="H756" s="7" t="s">
        <v>564</v>
      </c>
      <c r="I756" s="277"/>
      <c r="J756" s="277"/>
      <c r="K756" s="749">
        <v>1246089</v>
      </c>
      <c r="L756" s="1153" t="s">
        <v>9</v>
      </c>
      <c r="M756" s="750" t="s">
        <v>8</v>
      </c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>
        <f t="shared" si="22"/>
        <v>9</v>
      </c>
      <c r="C757" s="37">
        <v>41156</v>
      </c>
      <c r="D757" s="205" t="s">
        <v>588</v>
      </c>
      <c r="E757" s="195">
        <v>41156</v>
      </c>
      <c r="F757" s="203" t="s">
        <v>535</v>
      </c>
      <c r="G757" s="203" t="s">
        <v>1131</v>
      </c>
      <c r="H757" s="45" t="s">
        <v>537</v>
      </c>
      <c r="I757" s="277">
        <v>100</v>
      </c>
      <c r="J757" s="277">
        <v>25000</v>
      </c>
      <c r="K757" s="749">
        <v>2500000</v>
      </c>
      <c r="L757" s="750" t="s">
        <v>193</v>
      </c>
      <c r="M757" s="750" t="s">
        <v>8</v>
      </c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>x</v>
      </c>
      <c r="Y757" s="39" t="str">
        <f>IF(AND(OR(LEFT(TH!L757,2)="15",LEFT(TH!M757,2)="15"),'152-CT'!$J$8=TH!F757),"x","")</f>
        <v>x</v>
      </c>
      <c r="Z757" s="39" t="str">
        <f>IF(AND(OR(LEFT(TH!L757,2)="15",LEFT(TH!M757,2)="15"),TK!$E$7=TH!F757),"x","")</f>
        <v>x</v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>
        <f t="shared" si="22"/>
        <v>9</v>
      </c>
      <c r="C758" s="37">
        <v>41156</v>
      </c>
      <c r="D758" s="205" t="s">
        <v>588</v>
      </c>
      <c r="E758" s="195">
        <v>41156</v>
      </c>
      <c r="F758" s="203" t="s">
        <v>536</v>
      </c>
      <c r="G758" s="751" t="s">
        <v>1131</v>
      </c>
      <c r="H758" s="45" t="s">
        <v>537</v>
      </c>
      <c r="I758" s="277"/>
      <c r="J758" s="277"/>
      <c r="K758" s="749">
        <v>250000</v>
      </c>
      <c r="L758" s="1153" t="s">
        <v>9</v>
      </c>
      <c r="M758" s="750" t="s">
        <v>8</v>
      </c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>
        <f t="shared" si="22"/>
        <v>9</v>
      </c>
      <c r="C759" s="37">
        <v>41156</v>
      </c>
      <c r="D759" s="195" t="s">
        <v>580</v>
      </c>
      <c r="E759" s="195">
        <v>41156</v>
      </c>
      <c r="F759" s="203" t="s">
        <v>532</v>
      </c>
      <c r="G759" s="203" t="s">
        <v>1131</v>
      </c>
      <c r="H759" s="45" t="s">
        <v>537</v>
      </c>
      <c r="I759" s="277"/>
      <c r="J759" s="277"/>
      <c r="K759" s="749">
        <v>2750000</v>
      </c>
      <c r="L759" s="1153" t="s">
        <v>8</v>
      </c>
      <c r="M759" s="1153" t="s">
        <v>49</v>
      </c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>x</v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>
        <f t="shared" si="22"/>
        <v>9</v>
      </c>
      <c r="C760" s="37">
        <v>41157</v>
      </c>
      <c r="D760" s="195" t="s">
        <v>450</v>
      </c>
      <c r="E760" s="195">
        <v>41157</v>
      </c>
      <c r="F760" s="203" t="s">
        <v>452</v>
      </c>
      <c r="G760" s="203" t="s">
        <v>447</v>
      </c>
      <c r="H760" s="207"/>
      <c r="I760" s="277"/>
      <c r="J760" s="277"/>
      <c r="K760" s="749">
        <v>6042960</v>
      </c>
      <c r="L760" s="1153" t="s">
        <v>24</v>
      </c>
      <c r="M760" s="1153" t="s">
        <v>352</v>
      </c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>x</v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>
        <f t="shared" si="22"/>
        <v>9</v>
      </c>
      <c r="C761" s="37">
        <v>41157</v>
      </c>
      <c r="D761" s="205" t="s">
        <v>1190</v>
      </c>
      <c r="E761" s="195">
        <v>41157</v>
      </c>
      <c r="F761" s="203" t="s">
        <v>856</v>
      </c>
      <c r="G761" s="203" t="s">
        <v>1132</v>
      </c>
      <c r="H761" s="7" t="s">
        <v>564</v>
      </c>
      <c r="I761" s="277">
        <v>600</v>
      </c>
      <c r="J761" s="277">
        <v>12227</v>
      </c>
      <c r="K761" s="749">
        <v>7336200</v>
      </c>
      <c r="L761" s="1153" t="s">
        <v>191</v>
      </c>
      <c r="M761" s="750" t="s">
        <v>8</v>
      </c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 t="str">
        <f>IF(ISNA(VLOOKUP(F761,NXT!$C$18:$C$347,1,0)),x,"")</f>
        <v/>
      </c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>
        <f t="shared" si="22"/>
        <v>9</v>
      </c>
      <c r="C762" s="37">
        <v>41157</v>
      </c>
      <c r="D762" s="205" t="s">
        <v>1190</v>
      </c>
      <c r="E762" s="195">
        <v>41157</v>
      </c>
      <c r="F762" s="203" t="s">
        <v>650</v>
      </c>
      <c r="G762" s="624" t="s">
        <v>1132</v>
      </c>
      <c r="H762" s="7" t="s">
        <v>564</v>
      </c>
      <c r="I762" s="277"/>
      <c r="J762" s="277"/>
      <c r="K762" s="749">
        <v>733620</v>
      </c>
      <c r="L762" s="1153" t="s">
        <v>9</v>
      </c>
      <c r="M762" s="750" t="s">
        <v>8</v>
      </c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>
        <f t="shared" si="22"/>
        <v>9</v>
      </c>
      <c r="C763" s="37">
        <v>41160</v>
      </c>
      <c r="D763" s="205" t="s">
        <v>1191</v>
      </c>
      <c r="E763" s="195">
        <v>41160</v>
      </c>
      <c r="F763" s="203" t="s">
        <v>896</v>
      </c>
      <c r="G763" s="203" t="s">
        <v>1133</v>
      </c>
      <c r="H763" s="7" t="s">
        <v>564</v>
      </c>
      <c r="I763" s="277">
        <v>300</v>
      </c>
      <c r="J763" s="277">
        <v>8924</v>
      </c>
      <c r="K763" s="749">
        <v>2677200</v>
      </c>
      <c r="L763" s="750" t="s">
        <v>191</v>
      </c>
      <c r="M763" s="750" t="s">
        <v>8</v>
      </c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 t="str">
        <f>IF(ISNA(VLOOKUP(F763,NXT!$C$18:$C$347,1,0)),x,"")</f>
        <v/>
      </c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>
        <f t="shared" si="22"/>
        <v>9</v>
      </c>
      <c r="C764" s="37">
        <v>41160</v>
      </c>
      <c r="D764" s="205" t="s">
        <v>1191</v>
      </c>
      <c r="E764" s="195">
        <v>41160</v>
      </c>
      <c r="F764" s="203" t="s">
        <v>824</v>
      </c>
      <c r="G764" s="624" t="s">
        <v>1133</v>
      </c>
      <c r="H764" s="7" t="s">
        <v>564</v>
      </c>
      <c r="I764" s="277">
        <v>250</v>
      </c>
      <c r="J764" s="277">
        <v>17574</v>
      </c>
      <c r="K764" s="749">
        <v>4393500</v>
      </c>
      <c r="L764" s="1153" t="s">
        <v>191</v>
      </c>
      <c r="M764" s="750" t="s">
        <v>8</v>
      </c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 t="str">
        <f>IF(ISNA(VLOOKUP(F764,NXT!$C$18:$C$347,1,0)),x,"")</f>
        <v/>
      </c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>
        <f t="shared" si="22"/>
        <v>9</v>
      </c>
      <c r="C765" s="37">
        <v>41160</v>
      </c>
      <c r="D765" s="205" t="s">
        <v>1191</v>
      </c>
      <c r="E765" s="195">
        <v>41160</v>
      </c>
      <c r="F765" s="203" t="s">
        <v>1112</v>
      </c>
      <c r="G765" s="203" t="s">
        <v>1133</v>
      </c>
      <c r="H765" s="7" t="s">
        <v>564</v>
      </c>
      <c r="I765" s="277">
        <v>100</v>
      </c>
      <c r="J765" s="277">
        <v>12635</v>
      </c>
      <c r="K765" s="749">
        <v>1263500</v>
      </c>
      <c r="L765" s="1153" t="s">
        <v>191</v>
      </c>
      <c r="M765" s="750" t="s">
        <v>8</v>
      </c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 t="str">
        <f>IF(ISNA(VLOOKUP(F765,NXT!$C$18:$C$347,1,0)),x,"")</f>
        <v/>
      </c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>
        <f t="shared" si="22"/>
        <v>9</v>
      </c>
      <c r="C766" s="37">
        <v>41160</v>
      </c>
      <c r="D766" s="205" t="s">
        <v>1191</v>
      </c>
      <c r="E766" s="195">
        <v>41160</v>
      </c>
      <c r="F766" s="203" t="s">
        <v>650</v>
      </c>
      <c r="G766" s="624" t="s">
        <v>1133</v>
      </c>
      <c r="H766" s="7" t="s">
        <v>564</v>
      </c>
      <c r="I766" s="277"/>
      <c r="J766" s="277"/>
      <c r="K766" s="749">
        <v>833420</v>
      </c>
      <c r="L766" s="1153" t="s">
        <v>9</v>
      </c>
      <c r="M766" s="750" t="s">
        <v>8</v>
      </c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>
        <f t="shared" si="22"/>
        <v>9</v>
      </c>
      <c r="C767" s="37">
        <v>41160</v>
      </c>
      <c r="D767" s="205" t="s">
        <v>1192</v>
      </c>
      <c r="E767" s="195">
        <v>41160</v>
      </c>
      <c r="F767" s="203" t="s">
        <v>1134</v>
      </c>
      <c r="G767" s="203" t="s">
        <v>1135</v>
      </c>
      <c r="H767" s="7" t="s">
        <v>564</v>
      </c>
      <c r="I767" s="277">
        <v>100</v>
      </c>
      <c r="J767" s="277">
        <v>16665</v>
      </c>
      <c r="K767" s="749">
        <v>1666500</v>
      </c>
      <c r="L767" s="1153" t="s">
        <v>191</v>
      </c>
      <c r="M767" s="750" t="s">
        <v>8</v>
      </c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 t="str">
        <f>IF(ISNA(VLOOKUP(F767,NXT!$C$18:$C$347,1,0)),x,"")</f>
        <v/>
      </c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>
        <f t="shared" si="22"/>
        <v>9</v>
      </c>
      <c r="C768" s="37">
        <v>41160</v>
      </c>
      <c r="D768" s="205" t="s">
        <v>1192</v>
      </c>
      <c r="E768" s="195">
        <v>41160</v>
      </c>
      <c r="F768" s="203" t="s">
        <v>1136</v>
      </c>
      <c r="G768" s="624" t="s">
        <v>1135</v>
      </c>
      <c r="H768" s="7" t="s">
        <v>564</v>
      </c>
      <c r="I768" s="277">
        <v>1000</v>
      </c>
      <c r="J768" s="277">
        <v>19979</v>
      </c>
      <c r="K768" s="749">
        <v>19979000</v>
      </c>
      <c r="L768" s="1153" t="s">
        <v>191</v>
      </c>
      <c r="M768" s="750" t="s">
        <v>8</v>
      </c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 t="str">
        <f>IF(ISNA(VLOOKUP(F768,NXT!$C$18:$C$347,1,0)),x,"")</f>
        <v/>
      </c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>
        <f t="shared" si="22"/>
        <v>9</v>
      </c>
      <c r="C769" s="37">
        <v>41160</v>
      </c>
      <c r="D769" s="205" t="s">
        <v>1192</v>
      </c>
      <c r="E769" s="195">
        <v>41160</v>
      </c>
      <c r="F769" s="203" t="s">
        <v>1136</v>
      </c>
      <c r="G769" s="203" t="s">
        <v>1135</v>
      </c>
      <c r="H769" s="7" t="s">
        <v>564</v>
      </c>
      <c r="I769" s="277">
        <v>250</v>
      </c>
      <c r="J769" s="277">
        <v>18628</v>
      </c>
      <c r="K769" s="749">
        <v>4657000</v>
      </c>
      <c r="L769" s="1153" t="s">
        <v>191</v>
      </c>
      <c r="M769" s="750" t="s">
        <v>8</v>
      </c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 t="str">
        <f>IF(ISNA(VLOOKUP(F769,NXT!$C$18:$C$347,1,0)),x,"")</f>
        <v/>
      </c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>
        <f t="shared" si="22"/>
        <v>9</v>
      </c>
      <c r="C770" s="37">
        <v>41160</v>
      </c>
      <c r="D770" s="205" t="s">
        <v>1192</v>
      </c>
      <c r="E770" s="195">
        <v>41160</v>
      </c>
      <c r="F770" s="203" t="s">
        <v>650</v>
      </c>
      <c r="G770" s="624" t="s">
        <v>1135</v>
      </c>
      <c r="H770" s="7" t="s">
        <v>564</v>
      </c>
      <c r="I770" s="277"/>
      <c r="J770" s="277"/>
      <c r="K770" s="749">
        <v>2630250</v>
      </c>
      <c r="L770" s="1153" t="s">
        <v>9</v>
      </c>
      <c r="M770" s="750" t="s">
        <v>8</v>
      </c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>
        <f t="shared" si="22"/>
        <v>9</v>
      </c>
      <c r="C771" s="37">
        <v>41162</v>
      </c>
      <c r="D771" s="195" t="s">
        <v>581</v>
      </c>
      <c r="E771" s="195">
        <v>41162</v>
      </c>
      <c r="F771" s="203" t="s">
        <v>528</v>
      </c>
      <c r="G771" s="203" t="s">
        <v>447</v>
      </c>
      <c r="H771" s="207" t="s">
        <v>529</v>
      </c>
      <c r="I771" s="277"/>
      <c r="J771" s="277"/>
      <c r="K771" s="749">
        <v>10000000</v>
      </c>
      <c r="L771" s="1153" t="s">
        <v>24</v>
      </c>
      <c r="M771" s="1153" t="s">
        <v>49</v>
      </c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>x</v>
      </c>
      <c r="R771" s="39" t="str">
        <f>IF(ISERROR(FIND('112'!$M$9,G771,1)),"",IF((AND(FIND('112'!$M$9,G771,1)&gt;=1,$B771&gt;='112'!$N$8,$B771&lt;='112'!$O$8,OR($L771='112'!$I$6,$M771='112'!$I$6))),"x",""))</f>
        <v>x</v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>
        <f t="shared" si="22"/>
        <v>9</v>
      </c>
      <c r="C772" s="37">
        <v>41162</v>
      </c>
      <c r="D772" s="195" t="s">
        <v>451</v>
      </c>
      <c r="E772" s="195">
        <v>41162</v>
      </c>
      <c r="F772" s="203" t="s">
        <v>532</v>
      </c>
      <c r="G772" s="624" t="s">
        <v>447</v>
      </c>
      <c r="H772" s="207"/>
      <c r="I772" s="277"/>
      <c r="J772" s="277"/>
      <c r="K772" s="749">
        <v>35000000</v>
      </c>
      <c r="L772" s="1153" t="s">
        <v>8</v>
      </c>
      <c r="M772" s="1153" t="s">
        <v>24</v>
      </c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>x</v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>
        <f t="shared" ref="B773:B804" si="23">IF(C773&lt;&gt;"",MONTH(C773),"")</f>
        <v>9</v>
      </c>
      <c r="C773" s="37">
        <v>41162</v>
      </c>
      <c r="D773" s="195" t="s">
        <v>451</v>
      </c>
      <c r="E773" s="195">
        <v>41162</v>
      </c>
      <c r="F773" s="203" t="s">
        <v>453</v>
      </c>
      <c r="G773" s="203" t="s">
        <v>447</v>
      </c>
      <c r="H773" s="207"/>
      <c r="I773" s="277"/>
      <c r="J773" s="277"/>
      <c r="K773" s="749">
        <v>20000</v>
      </c>
      <c r="L773" s="1153" t="s">
        <v>87</v>
      </c>
      <c r="M773" s="1153" t="s">
        <v>24</v>
      </c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>x</v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>
        <f t="shared" si="23"/>
        <v>9</v>
      </c>
      <c r="C774" s="37">
        <v>41162</v>
      </c>
      <c r="D774" s="195" t="s">
        <v>451</v>
      </c>
      <c r="E774" s="195">
        <v>41162</v>
      </c>
      <c r="F774" s="203" t="s">
        <v>942</v>
      </c>
      <c r="G774" s="203" t="s">
        <v>447</v>
      </c>
      <c r="H774" s="207"/>
      <c r="I774" s="277"/>
      <c r="J774" s="277"/>
      <c r="K774" s="749">
        <v>10000</v>
      </c>
      <c r="L774" s="1153" t="s">
        <v>87</v>
      </c>
      <c r="M774" s="1153" t="s">
        <v>24</v>
      </c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>x</v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>
        <f t="shared" si="23"/>
        <v>9</v>
      </c>
      <c r="C775" s="37">
        <v>41165</v>
      </c>
      <c r="D775" s="195" t="s">
        <v>450</v>
      </c>
      <c r="E775" s="195">
        <v>41165</v>
      </c>
      <c r="F775" s="203" t="s">
        <v>452</v>
      </c>
      <c r="G775" s="203" t="s">
        <v>447</v>
      </c>
      <c r="H775" s="207"/>
      <c r="I775" s="277"/>
      <c r="J775" s="277"/>
      <c r="K775" s="749">
        <v>56071000</v>
      </c>
      <c r="L775" s="1153" t="s">
        <v>24</v>
      </c>
      <c r="M775" s="1153" t="s">
        <v>352</v>
      </c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>x</v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>
        <f t="shared" si="23"/>
        <v>9</v>
      </c>
      <c r="C776" s="37">
        <v>41166</v>
      </c>
      <c r="D776" s="195" t="s">
        <v>451</v>
      </c>
      <c r="E776" s="195">
        <v>41166</v>
      </c>
      <c r="F776" s="203" t="s">
        <v>532</v>
      </c>
      <c r="G776" s="624" t="s">
        <v>447</v>
      </c>
      <c r="H776" s="207"/>
      <c r="I776" s="277"/>
      <c r="J776" s="277"/>
      <c r="K776" s="749">
        <v>40000000</v>
      </c>
      <c r="L776" s="1153" t="s">
        <v>8</v>
      </c>
      <c r="M776" s="1153" t="s">
        <v>24</v>
      </c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>x</v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>
        <f t="shared" si="23"/>
        <v>9</v>
      </c>
      <c r="C777" s="37">
        <v>41166</v>
      </c>
      <c r="D777" s="195" t="s">
        <v>451</v>
      </c>
      <c r="E777" s="195">
        <v>41166</v>
      </c>
      <c r="F777" s="203" t="s">
        <v>453</v>
      </c>
      <c r="G777" s="203" t="s">
        <v>447</v>
      </c>
      <c r="H777" s="207"/>
      <c r="I777" s="277"/>
      <c r="J777" s="277"/>
      <c r="K777" s="749">
        <v>20000</v>
      </c>
      <c r="L777" s="750" t="s">
        <v>87</v>
      </c>
      <c r="M777" s="1152" t="s">
        <v>24</v>
      </c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>x</v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>
        <f t="shared" si="23"/>
        <v>9</v>
      </c>
      <c r="C778" s="37">
        <v>41166</v>
      </c>
      <c r="D778" s="195" t="s">
        <v>582</v>
      </c>
      <c r="E778" s="195">
        <v>41166</v>
      </c>
      <c r="F778" s="203" t="s">
        <v>683</v>
      </c>
      <c r="G778" s="624" t="s">
        <v>1137</v>
      </c>
      <c r="H778" s="207" t="s">
        <v>685</v>
      </c>
      <c r="I778" s="277"/>
      <c r="J778" s="277"/>
      <c r="K778" s="749">
        <v>406427</v>
      </c>
      <c r="L778" s="1153" t="s">
        <v>87</v>
      </c>
      <c r="M778" s="1153" t="s">
        <v>49</v>
      </c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>x</v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>
        <f t="shared" si="23"/>
        <v>9</v>
      </c>
      <c r="C779" s="37">
        <v>41166</v>
      </c>
      <c r="D779" s="195" t="s">
        <v>582</v>
      </c>
      <c r="E779" s="195">
        <v>41166</v>
      </c>
      <c r="F779" s="203" t="s">
        <v>686</v>
      </c>
      <c r="G779" s="203" t="s">
        <v>1137</v>
      </c>
      <c r="H779" s="207" t="s">
        <v>685</v>
      </c>
      <c r="I779" s="277"/>
      <c r="J779" s="277"/>
      <c r="K779" s="749">
        <v>40643</v>
      </c>
      <c r="L779" s="1153" t="s">
        <v>9</v>
      </c>
      <c r="M779" s="1153" t="s">
        <v>49</v>
      </c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>x</v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>
        <f t="shared" si="23"/>
        <v>9</v>
      </c>
      <c r="C780" s="37">
        <v>41166</v>
      </c>
      <c r="D780" s="195" t="s">
        <v>583</v>
      </c>
      <c r="E780" s="195">
        <v>41166</v>
      </c>
      <c r="F780" s="203" t="s">
        <v>1138</v>
      </c>
      <c r="G780" s="624" t="s">
        <v>1139</v>
      </c>
      <c r="H780" s="207" t="s">
        <v>533</v>
      </c>
      <c r="I780" s="277"/>
      <c r="J780" s="277"/>
      <c r="K780" s="749">
        <v>5240000</v>
      </c>
      <c r="L780" s="1153" t="s">
        <v>199</v>
      </c>
      <c r="M780" s="1153" t="s">
        <v>49</v>
      </c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>x</v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>
        <f t="shared" si="23"/>
        <v>9</v>
      </c>
      <c r="C781" s="37">
        <v>41166</v>
      </c>
      <c r="D781" s="195" t="s">
        <v>583</v>
      </c>
      <c r="E781" s="195">
        <v>41166</v>
      </c>
      <c r="F781" s="203" t="s">
        <v>459</v>
      </c>
      <c r="G781" s="203" t="s">
        <v>1139</v>
      </c>
      <c r="H781" s="207" t="s">
        <v>533</v>
      </c>
      <c r="I781" s="277"/>
      <c r="J781" s="277"/>
      <c r="K781" s="749">
        <v>524000</v>
      </c>
      <c r="L781" s="1153" t="s">
        <v>9</v>
      </c>
      <c r="M781" s="1153" t="s">
        <v>49</v>
      </c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>x</v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>
        <f t="shared" si="23"/>
        <v>9</v>
      </c>
      <c r="C782" s="37">
        <v>41169</v>
      </c>
      <c r="D782" s="195" t="s">
        <v>450</v>
      </c>
      <c r="E782" s="195">
        <v>41169</v>
      </c>
      <c r="F782" s="203" t="s">
        <v>452</v>
      </c>
      <c r="G782" s="624" t="s">
        <v>447</v>
      </c>
      <c r="H782" s="207"/>
      <c r="I782" s="277"/>
      <c r="J782" s="277"/>
      <c r="K782" s="749">
        <v>21260030</v>
      </c>
      <c r="L782" s="1153" t="s">
        <v>24</v>
      </c>
      <c r="M782" s="1153" t="s">
        <v>352</v>
      </c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>x</v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>
        <f t="shared" si="23"/>
        <v>9</v>
      </c>
      <c r="C783" s="37">
        <v>41170</v>
      </c>
      <c r="D783" s="195" t="s">
        <v>584</v>
      </c>
      <c r="E783" s="195">
        <v>41170</v>
      </c>
      <c r="F783" s="203" t="s">
        <v>528</v>
      </c>
      <c r="G783" s="203" t="s">
        <v>447</v>
      </c>
      <c r="H783" s="207" t="s">
        <v>783</v>
      </c>
      <c r="I783" s="277"/>
      <c r="J783" s="277"/>
      <c r="K783" s="749">
        <v>20000000</v>
      </c>
      <c r="L783" s="1153" t="s">
        <v>24</v>
      </c>
      <c r="M783" s="1153" t="s">
        <v>49</v>
      </c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>x</v>
      </c>
      <c r="R783" s="39" t="str">
        <f>IF(ISERROR(FIND('112'!$M$9,G783,1)),"",IF((AND(FIND('112'!$M$9,G783,1)&gt;=1,$B783&gt;='112'!$N$8,$B783&lt;='112'!$O$8,OR($L783='112'!$I$6,$M783='112'!$I$6))),"x",""))</f>
        <v>x</v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>
        <f t="shared" si="23"/>
        <v>9</v>
      </c>
      <c r="C784" s="37">
        <v>41170</v>
      </c>
      <c r="D784" s="195" t="s">
        <v>451</v>
      </c>
      <c r="E784" s="195">
        <v>41170</v>
      </c>
      <c r="F784" s="203" t="s">
        <v>532</v>
      </c>
      <c r="G784" s="624" t="s">
        <v>447</v>
      </c>
      <c r="H784" s="207"/>
      <c r="I784" s="277"/>
      <c r="J784" s="277"/>
      <c r="K784" s="749">
        <v>30000000</v>
      </c>
      <c r="L784" s="1153" t="s">
        <v>8</v>
      </c>
      <c r="M784" s="1153" t="s">
        <v>24</v>
      </c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>x</v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>
        <f t="shared" si="23"/>
        <v>9</v>
      </c>
      <c r="C785" s="37">
        <v>41170</v>
      </c>
      <c r="D785" s="195" t="s">
        <v>451</v>
      </c>
      <c r="E785" s="195">
        <v>41170</v>
      </c>
      <c r="F785" s="203" t="s">
        <v>453</v>
      </c>
      <c r="G785" s="203" t="s">
        <v>447</v>
      </c>
      <c r="H785" s="207"/>
      <c r="I785" s="277"/>
      <c r="J785" s="277"/>
      <c r="K785" s="749">
        <v>20000</v>
      </c>
      <c r="L785" s="1153" t="s">
        <v>87</v>
      </c>
      <c r="M785" s="1153" t="s">
        <v>24</v>
      </c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>x</v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>
        <f t="shared" si="23"/>
        <v>9</v>
      </c>
      <c r="C786" s="37">
        <v>41173</v>
      </c>
      <c r="D786" s="195" t="s">
        <v>585</v>
      </c>
      <c r="E786" s="195">
        <v>41173</v>
      </c>
      <c r="F786" s="203" t="s">
        <v>528</v>
      </c>
      <c r="G786" s="624" t="s">
        <v>447</v>
      </c>
      <c r="H786" s="207" t="s">
        <v>783</v>
      </c>
      <c r="I786" s="277"/>
      <c r="J786" s="277"/>
      <c r="K786" s="749">
        <v>17000000</v>
      </c>
      <c r="L786" s="1153" t="s">
        <v>24</v>
      </c>
      <c r="M786" s="1153" t="s">
        <v>49</v>
      </c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>x</v>
      </c>
      <c r="R786" s="39" t="str">
        <f>IF(ISERROR(FIND('112'!$M$9,G786,1)),"",IF((AND(FIND('112'!$M$9,G786,1)&gt;=1,$B786&gt;='112'!$N$8,$B786&lt;='112'!$O$8,OR($L786='112'!$I$6,$M786='112'!$I$6))),"x",""))</f>
        <v>x</v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>
        <f t="shared" si="23"/>
        <v>9</v>
      </c>
      <c r="C787" s="37">
        <v>41173</v>
      </c>
      <c r="D787" s="195" t="s">
        <v>451</v>
      </c>
      <c r="E787" s="195">
        <v>41173</v>
      </c>
      <c r="F787" s="203" t="s">
        <v>532</v>
      </c>
      <c r="G787" s="203" t="s">
        <v>447</v>
      </c>
      <c r="H787" s="207"/>
      <c r="I787" s="277"/>
      <c r="J787" s="277"/>
      <c r="K787" s="749">
        <v>10000000</v>
      </c>
      <c r="L787" s="1153" t="s">
        <v>8</v>
      </c>
      <c r="M787" s="1153" t="s">
        <v>24</v>
      </c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>x</v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>
        <f t="shared" si="23"/>
        <v>9</v>
      </c>
      <c r="C788" s="37">
        <v>41173</v>
      </c>
      <c r="D788" s="195" t="s">
        <v>451</v>
      </c>
      <c r="E788" s="195">
        <v>41173</v>
      </c>
      <c r="F788" s="203" t="s">
        <v>453</v>
      </c>
      <c r="G788" s="203" t="s">
        <v>447</v>
      </c>
      <c r="H788" s="207"/>
      <c r="I788" s="277"/>
      <c r="J788" s="277"/>
      <c r="K788" s="749">
        <v>20000</v>
      </c>
      <c r="L788" s="1153" t="s">
        <v>87</v>
      </c>
      <c r="M788" s="1153" t="s">
        <v>24</v>
      </c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>x</v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>
        <f t="shared" si="23"/>
        <v>9</v>
      </c>
      <c r="C789" s="37">
        <v>41173</v>
      </c>
      <c r="D789" s="195" t="s">
        <v>451</v>
      </c>
      <c r="E789" s="195">
        <v>41173</v>
      </c>
      <c r="F789" s="203" t="s">
        <v>532</v>
      </c>
      <c r="G789" s="203" t="s">
        <v>447</v>
      </c>
      <c r="H789" s="207"/>
      <c r="I789" s="277"/>
      <c r="J789" s="277"/>
      <c r="K789" s="749">
        <v>35000000</v>
      </c>
      <c r="L789" s="1153" t="s">
        <v>8</v>
      </c>
      <c r="M789" s="1153" t="s">
        <v>24</v>
      </c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>x</v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>
        <f t="shared" si="23"/>
        <v>9</v>
      </c>
      <c r="C790" s="37">
        <v>41173</v>
      </c>
      <c r="D790" s="195" t="s">
        <v>451</v>
      </c>
      <c r="E790" s="195">
        <v>41173</v>
      </c>
      <c r="F790" s="203" t="s">
        <v>453</v>
      </c>
      <c r="G790" s="624" t="s">
        <v>447</v>
      </c>
      <c r="H790" s="207"/>
      <c r="I790" s="277"/>
      <c r="J790" s="277"/>
      <c r="K790" s="749">
        <v>20000</v>
      </c>
      <c r="L790" s="1153" t="s">
        <v>87</v>
      </c>
      <c r="M790" s="1153" t="s">
        <v>24</v>
      </c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>x</v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>
        <f t="shared" si="23"/>
        <v>9</v>
      </c>
      <c r="C791" s="37">
        <v>41173</v>
      </c>
      <c r="D791" s="195" t="s">
        <v>451</v>
      </c>
      <c r="E791" s="195">
        <v>41173</v>
      </c>
      <c r="F791" s="203" t="s">
        <v>942</v>
      </c>
      <c r="G791" s="203" t="s">
        <v>447</v>
      </c>
      <c r="H791" s="207"/>
      <c r="I791" s="277"/>
      <c r="J791" s="277"/>
      <c r="K791" s="749">
        <v>10000</v>
      </c>
      <c r="L791" s="750" t="s">
        <v>87</v>
      </c>
      <c r="M791" s="1152" t="s">
        <v>24</v>
      </c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>x</v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>
        <f t="shared" si="23"/>
        <v>9</v>
      </c>
      <c r="C792" s="37">
        <v>41173</v>
      </c>
      <c r="D792" s="205" t="s">
        <v>1193</v>
      </c>
      <c r="E792" s="195">
        <v>41173</v>
      </c>
      <c r="F792" s="203" t="s">
        <v>1136</v>
      </c>
      <c r="G792" s="624" t="s">
        <v>1140</v>
      </c>
      <c r="H792" s="7" t="s">
        <v>564</v>
      </c>
      <c r="I792" s="277">
        <v>1485</v>
      </c>
      <c r="J792" s="277">
        <v>19979</v>
      </c>
      <c r="K792" s="749">
        <v>29668815</v>
      </c>
      <c r="L792" s="1153" t="s">
        <v>191</v>
      </c>
      <c r="M792" s="750" t="s">
        <v>8</v>
      </c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 t="str">
        <f>IF(ISNA(VLOOKUP(F792,NXT!$C$18:$C$347,1,0)),x,"")</f>
        <v/>
      </c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>
        <f t="shared" si="23"/>
        <v>9</v>
      </c>
      <c r="C793" s="37">
        <v>41173</v>
      </c>
      <c r="D793" s="205" t="s">
        <v>1193</v>
      </c>
      <c r="E793" s="195">
        <v>41173</v>
      </c>
      <c r="F793" s="203" t="s">
        <v>650</v>
      </c>
      <c r="G793" s="203" t="s">
        <v>1140</v>
      </c>
      <c r="H793" s="7" t="s">
        <v>564</v>
      </c>
      <c r="I793" s="277"/>
      <c r="J793" s="277"/>
      <c r="K793" s="749">
        <v>2966882</v>
      </c>
      <c r="L793" s="1153" t="s">
        <v>9</v>
      </c>
      <c r="M793" s="750" t="s">
        <v>8</v>
      </c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>
        <f t="shared" si="23"/>
        <v>9</v>
      </c>
      <c r="C794" s="37">
        <v>41177</v>
      </c>
      <c r="D794" s="195" t="s">
        <v>450</v>
      </c>
      <c r="E794" s="195">
        <v>41177</v>
      </c>
      <c r="F794" s="203" t="s">
        <v>530</v>
      </c>
      <c r="G794" s="624" t="s">
        <v>447</v>
      </c>
      <c r="H794" s="207"/>
      <c r="I794" s="277"/>
      <c r="J794" s="277"/>
      <c r="K794" s="749">
        <v>31990</v>
      </c>
      <c r="L794" s="1153" t="s">
        <v>24</v>
      </c>
      <c r="M794" s="1153" t="s">
        <v>41</v>
      </c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>x</v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>
        <f t="shared" si="23"/>
        <v>9</v>
      </c>
      <c r="C795" s="37">
        <v>41179</v>
      </c>
      <c r="D795" s="205" t="s">
        <v>1194</v>
      </c>
      <c r="E795" s="195">
        <v>41179</v>
      </c>
      <c r="F795" s="203" t="s">
        <v>1136</v>
      </c>
      <c r="G795" s="203" t="s">
        <v>1141</v>
      </c>
      <c r="H795" s="7" t="s">
        <v>564</v>
      </c>
      <c r="I795" s="277">
        <v>1000</v>
      </c>
      <c r="J795" s="277">
        <v>19979</v>
      </c>
      <c r="K795" s="749">
        <v>19979000</v>
      </c>
      <c r="L795" s="1153" t="s">
        <v>191</v>
      </c>
      <c r="M795" s="750" t="s">
        <v>8</v>
      </c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 t="str">
        <f>IF(ISNA(VLOOKUP(F795,NXT!$C$18:$C$347,1,0)),x,"")</f>
        <v/>
      </c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>
        <f t="shared" si="23"/>
        <v>9</v>
      </c>
      <c r="C796" s="37">
        <v>41179</v>
      </c>
      <c r="D796" s="205" t="s">
        <v>1194</v>
      </c>
      <c r="E796" s="195">
        <v>41179</v>
      </c>
      <c r="F796" s="203" t="s">
        <v>650</v>
      </c>
      <c r="G796" s="624" t="s">
        <v>1141</v>
      </c>
      <c r="H796" s="7" t="s">
        <v>564</v>
      </c>
      <c r="I796" s="277"/>
      <c r="J796" s="277"/>
      <c r="K796" s="749">
        <v>1997900</v>
      </c>
      <c r="L796" s="1153" t="s">
        <v>9</v>
      </c>
      <c r="M796" s="750" t="s">
        <v>8</v>
      </c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>
        <f t="shared" si="23"/>
        <v>9</v>
      </c>
      <c r="C797" s="37">
        <v>41180</v>
      </c>
      <c r="D797" s="195" t="s">
        <v>586</v>
      </c>
      <c r="E797" s="195">
        <v>41180</v>
      </c>
      <c r="F797" s="203" t="s">
        <v>528</v>
      </c>
      <c r="G797" s="203" t="s">
        <v>447</v>
      </c>
      <c r="H797" s="207" t="s">
        <v>783</v>
      </c>
      <c r="I797" s="277"/>
      <c r="J797" s="277"/>
      <c r="K797" s="749">
        <v>20000000</v>
      </c>
      <c r="L797" s="1153" t="s">
        <v>24</v>
      </c>
      <c r="M797" s="1153" t="s">
        <v>49</v>
      </c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>x</v>
      </c>
      <c r="R797" s="39" t="str">
        <f>IF(ISERROR(FIND('112'!$M$9,G797,1)),"",IF((AND(FIND('112'!$M$9,G797,1)&gt;=1,$B797&gt;='112'!$N$8,$B797&lt;='112'!$O$8,OR($L797='112'!$I$6,$M797='112'!$I$6))),"x",""))</f>
        <v>x</v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>
        <f t="shared" si="23"/>
        <v>9</v>
      </c>
      <c r="C798" s="37">
        <v>41181</v>
      </c>
      <c r="D798" s="195" t="s">
        <v>451</v>
      </c>
      <c r="E798" s="195">
        <v>41181</v>
      </c>
      <c r="F798" s="203" t="s">
        <v>532</v>
      </c>
      <c r="G798" s="624" t="s">
        <v>447</v>
      </c>
      <c r="H798" s="207"/>
      <c r="I798" s="277"/>
      <c r="J798" s="277"/>
      <c r="K798" s="749">
        <v>20000000</v>
      </c>
      <c r="L798" s="1153" t="s">
        <v>8</v>
      </c>
      <c r="M798" s="1153" t="s">
        <v>24</v>
      </c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>x</v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>
        <f t="shared" si="23"/>
        <v>9</v>
      </c>
      <c r="C799" s="37">
        <v>41181</v>
      </c>
      <c r="D799" s="195" t="s">
        <v>451</v>
      </c>
      <c r="E799" s="195">
        <v>41181</v>
      </c>
      <c r="F799" s="203" t="s">
        <v>453</v>
      </c>
      <c r="G799" s="203" t="s">
        <v>447</v>
      </c>
      <c r="H799" s="207"/>
      <c r="I799" s="277"/>
      <c r="J799" s="277"/>
      <c r="K799" s="749">
        <v>20000</v>
      </c>
      <c r="L799" s="1153" t="s">
        <v>87</v>
      </c>
      <c r="M799" s="1153" t="s">
        <v>24</v>
      </c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>x</v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>
        <f t="shared" si="23"/>
        <v>9</v>
      </c>
      <c r="C800" s="37">
        <v>41181</v>
      </c>
      <c r="D800" s="195" t="s">
        <v>451</v>
      </c>
      <c r="E800" s="195">
        <v>41181</v>
      </c>
      <c r="F800" s="203" t="s">
        <v>942</v>
      </c>
      <c r="G800" s="624" t="s">
        <v>447</v>
      </c>
      <c r="H800" s="207"/>
      <c r="I800" s="277"/>
      <c r="J800" s="277"/>
      <c r="K800" s="749">
        <v>10000</v>
      </c>
      <c r="L800" s="1153" t="s">
        <v>87</v>
      </c>
      <c r="M800" s="1153" t="s">
        <v>24</v>
      </c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>x</v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29" s="740" customFormat="1" ht="15.75" customHeight="1">
      <c r="A801" s="219" t="str">
        <f>IF(B801&lt;&gt;"",IF(AND(B801&gt;=_TM1,B801&lt;=_TM2,OR(TH!L801="1111",TH!M801="1111")),TH!D801,""),"")</f>
        <v>C01</v>
      </c>
      <c r="B801" s="36">
        <f t="shared" si="23"/>
        <v>10</v>
      </c>
      <c r="C801" s="37">
        <v>41184</v>
      </c>
      <c r="D801" s="195" t="s">
        <v>542</v>
      </c>
      <c r="E801" s="195">
        <v>41184</v>
      </c>
      <c r="F801" s="203" t="s">
        <v>528</v>
      </c>
      <c r="G801" s="203" t="s">
        <v>447</v>
      </c>
      <c r="H801" s="207" t="s">
        <v>783</v>
      </c>
      <c r="I801" s="277"/>
      <c r="J801" s="277"/>
      <c r="K801" s="749">
        <v>5000000</v>
      </c>
      <c r="L801" s="1153" t="s">
        <v>24</v>
      </c>
      <c r="M801" s="1153" t="s">
        <v>49</v>
      </c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>x</v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29" s="740" customFormat="1" ht="15.75" customHeight="1">
      <c r="A802" s="219" t="str">
        <f>IF(B802&lt;&gt;"",IF(AND(B802&gt;=_TM1,B802&lt;=_TM2,OR(TH!L802="1111",TH!M802="1111")),TH!D802,""),"")</f>
        <v/>
      </c>
      <c r="B802" s="36">
        <f t="shared" si="23"/>
        <v>10</v>
      </c>
      <c r="C802" s="37">
        <v>41184</v>
      </c>
      <c r="D802" s="205" t="s">
        <v>451</v>
      </c>
      <c r="E802" s="205">
        <v>41184</v>
      </c>
      <c r="F802" s="206" t="s">
        <v>532</v>
      </c>
      <c r="G802" s="884" t="s">
        <v>447</v>
      </c>
      <c r="H802" s="45"/>
      <c r="I802" s="277"/>
      <c r="J802" s="1154"/>
      <c r="K802" s="38">
        <v>5000000</v>
      </c>
      <c r="L802" s="208" t="s">
        <v>8</v>
      </c>
      <c r="M802" s="208" t="s">
        <v>24</v>
      </c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29" s="740" customFormat="1" ht="15.75" customHeight="1">
      <c r="A803" s="219" t="str">
        <f>IF(B803&lt;&gt;"",IF(AND(B803&gt;=_TM1,B803&lt;=_TM2,OR(TH!L803="1111",TH!M803="1111")),TH!D803,""),"")</f>
        <v/>
      </c>
      <c r="B803" s="36">
        <f t="shared" si="23"/>
        <v>10</v>
      </c>
      <c r="C803" s="37">
        <v>41184</v>
      </c>
      <c r="D803" s="37" t="s">
        <v>451</v>
      </c>
      <c r="E803" s="205">
        <v>41184</v>
      </c>
      <c r="F803" s="40" t="s">
        <v>453</v>
      </c>
      <c r="G803" s="40" t="s">
        <v>447</v>
      </c>
      <c r="H803" s="45"/>
      <c r="I803" s="277"/>
      <c r="J803" s="277"/>
      <c r="K803" s="38">
        <v>20000</v>
      </c>
      <c r="L803" s="39" t="s">
        <v>87</v>
      </c>
      <c r="M803" s="39" t="s">
        <v>24</v>
      </c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29" s="226" customFormat="1" ht="15.75" customHeight="1">
      <c r="A804" s="219" t="str">
        <f>IF(B804&lt;&gt;"",IF(AND(B804&gt;=_TM1,B804&lt;=_TM2,OR(TH!L804="1111",TH!M804="1111")),TH!D804,""),"")</f>
        <v/>
      </c>
      <c r="B804" s="36">
        <f t="shared" si="23"/>
        <v>10</v>
      </c>
      <c r="C804" s="37">
        <v>41184</v>
      </c>
      <c r="D804" s="37" t="s">
        <v>451</v>
      </c>
      <c r="E804" s="205">
        <v>41184</v>
      </c>
      <c r="F804" s="40" t="s">
        <v>942</v>
      </c>
      <c r="G804" s="40" t="s">
        <v>447</v>
      </c>
      <c r="H804" s="45"/>
      <c r="I804" s="277"/>
      <c r="J804" s="277"/>
      <c r="K804" s="38">
        <v>10000</v>
      </c>
      <c r="L804" s="39" t="s">
        <v>87</v>
      </c>
      <c r="M804" s="39" t="s">
        <v>24</v>
      </c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29" s="226" customFormat="1" ht="15.75" customHeight="1">
      <c r="A805" s="219" t="str">
        <f>IF(B805&lt;&gt;"",IF(AND(B805&gt;=_TM1,B805&lt;=_TM2,OR(TH!L805="1111",TH!M805="1111")),TH!D805,""),"")</f>
        <v/>
      </c>
      <c r="B805" s="36">
        <f t="shared" ref="B805:B816" si="24">IF(C805&lt;&gt;"",MONTH(C805),"")</f>
        <v>10</v>
      </c>
      <c r="C805" s="37">
        <v>41185</v>
      </c>
      <c r="D805" s="205" t="s">
        <v>590</v>
      </c>
      <c r="E805" s="205">
        <v>41185</v>
      </c>
      <c r="F805" s="40" t="s">
        <v>1136</v>
      </c>
      <c r="G805" s="40" t="s">
        <v>1142</v>
      </c>
      <c r="H805" s="7" t="s">
        <v>564</v>
      </c>
      <c r="I805" s="277">
        <v>3000</v>
      </c>
      <c r="J805" s="277">
        <v>19979</v>
      </c>
      <c r="K805" s="38">
        <v>59937000</v>
      </c>
      <c r="L805" s="39" t="s">
        <v>191</v>
      </c>
      <c r="M805" s="750" t="s">
        <v>8</v>
      </c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  <c r="AC805" s="226" t="str">
        <f>IF(ISNA(VLOOKUP(F805,NXT!$C$18:$C$347,1,0)),x,"")</f>
        <v/>
      </c>
    </row>
    <row r="806" spans="1:29" s="226" customFormat="1" ht="15.75" customHeight="1">
      <c r="A806" s="219" t="str">
        <f>IF(B806&lt;&gt;"",IF(AND(B806&gt;=_TM1,B806&lt;=_TM2,OR(TH!L806="1111",TH!M806="1111")),TH!D806,""),"")</f>
        <v/>
      </c>
      <c r="B806" s="36">
        <f t="shared" si="24"/>
        <v>10</v>
      </c>
      <c r="C806" s="37">
        <v>41185</v>
      </c>
      <c r="D806" s="205" t="s">
        <v>590</v>
      </c>
      <c r="E806" s="205">
        <v>41185</v>
      </c>
      <c r="F806" s="40" t="s">
        <v>650</v>
      </c>
      <c r="G806" s="40" t="s">
        <v>1142</v>
      </c>
      <c r="H806" s="7" t="s">
        <v>564</v>
      </c>
      <c r="I806" s="277"/>
      <c r="J806" s="277"/>
      <c r="K806" s="38">
        <v>5993700</v>
      </c>
      <c r="L806" s="39" t="s">
        <v>9</v>
      </c>
      <c r="M806" s="750" t="s">
        <v>8</v>
      </c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29" s="226" customFormat="1" ht="15.75" customHeight="1">
      <c r="A807" s="219" t="str">
        <f>IF(B807&lt;&gt;"",IF(AND(B807&gt;=_TM1,B807&lt;=_TM2,OR(TH!L807="1111",TH!M807="1111")),TH!D807,""),"")</f>
        <v/>
      </c>
      <c r="B807" s="36">
        <f t="shared" si="24"/>
        <v>10</v>
      </c>
      <c r="C807" s="37">
        <v>41187</v>
      </c>
      <c r="D807" s="37" t="s">
        <v>450</v>
      </c>
      <c r="E807" s="37">
        <v>41187</v>
      </c>
      <c r="F807" s="40" t="s">
        <v>452</v>
      </c>
      <c r="G807" s="40" t="s">
        <v>447</v>
      </c>
      <c r="H807" s="45"/>
      <c r="I807" s="277"/>
      <c r="J807" s="277"/>
      <c r="K807" s="38">
        <v>12277760</v>
      </c>
      <c r="L807" s="39" t="s">
        <v>24</v>
      </c>
      <c r="M807" s="39" t="s">
        <v>352</v>
      </c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</row>
    <row r="808" spans="1:29" s="226" customFormat="1" ht="15.75" customHeight="1">
      <c r="A808" s="219" t="str">
        <f>IF(B808&lt;&gt;"",IF(AND(B808&gt;=_TM1,B808&lt;=_TM2,OR(TH!L808="1111",TH!M808="1111")),TH!D808,""),"")</f>
        <v>C02</v>
      </c>
      <c r="B808" s="36">
        <f t="shared" si="24"/>
        <v>10</v>
      </c>
      <c r="C808" s="37">
        <v>41191</v>
      </c>
      <c r="D808" s="37" t="s">
        <v>543</v>
      </c>
      <c r="E808" s="37">
        <v>41191</v>
      </c>
      <c r="F808" s="40" t="s">
        <v>528</v>
      </c>
      <c r="G808" s="627" t="s">
        <v>447</v>
      </c>
      <c r="H808" s="45" t="s">
        <v>783</v>
      </c>
      <c r="I808" s="277"/>
      <c r="J808" s="277"/>
      <c r="K808" s="38">
        <v>48000000</v>
      </c>
      <c r="L808" s="39" t="s">
        <v>24</v>
      </c>
      <c r="M808" s="39" t="s">
        <v>49</v>
      </c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>x</v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29" s="226" customFormat="1" ht="15.75" customHeight="1">
      <c r="A809" s="219" t="str">
        <f>IF(B809&lt;&gt;"",IF(AND(B809&gt;=_TM1,B809&lt;=_TM2,OR(TH!L809="1111",TH!M809="1111")),TH!D809,""),"")</f>
        <v/>
      </c>
      <c r="B809" s="36">
        <f t="shared" si="24"/>
        <v>10</v>
      </c>
      <c r="C809" s="37">
        <v>41191</v>
      </c>
      <c r="D809" s="37" t="s">
        <v>450</v>
      </c>
      <c r="E809" s="37">
        <v>41191</v>
      </c>
      <c r="F809" s="40" t="s">
        <v>452</v>
      </c>
      <c r="G809" s="627" t="s">
        <v>447</v>
      </c>
      <c r="H809" s="45"/>
      <c r="I809" s="277"/>
      <c r="J809" s="277"/>
      <c r="K809" s="38">
        <v>7747740</v>
      </c>
      <c r="L809" s="39" t="s">
        <v>24</v>
      </c>
      <c r="M809" s="39" t="s">
        <v>352</v>
      </c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</row>
    <row r="810" spans="1:29" s="226" customFormat="1" ht="15.75" customHeight="1">
      <c r="A810" s="219" t="str">
        <f>IF(B810&lt;&gt;"",IF(AND(B810&gt;=_TM1,B810&lt;=_TM2,OR(TH!L810="1111",TH!M810="1111")),TH!D810,""),"")</f>
        <v/>
      </c>
      <c r="B810" s="36">
        <f t="shared" si="24"/>
        <v>10</v>
      </c>
      <c r="C810" s="37">
        <v>41191</v>
      </c>
      <c r="D810" s="37" t="s">
        <v>451</v>
      </c>
      <c r="E810" s="37">
        <v>41191</v>
      </c>
      <c r="F810" s="40" t="s">
        <v>532</v>
      </c>
      <c r="G810" s="627" t="s">
        <v>447</v>
      </c>
      <c r="H810" s="45"/>
      <c r="I810" s="277"/>
      <c r="J810" s="277"/>
      <c r="K810" s="38">
        <v>50000000</v>
      </c>
      <c r="L810" s="39" t="s">
        <v>8</v>
      </c>
      <c r="M810" s="39" t="s">
        <v>24</v>
      </c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29" s="226" customFormat="1" ht="15.75" customHeight="1">
      <c r="A811" s="219" t="str">
        <f>IF(B811&lt;&gt;"",IF(AND(B811&gt;=_TM1,B811&lt;=_TM2,OR(TH!L811="1111",TH!M811="1111")),TH!D811,""),"")</f>
        <v/>
      </c>
      <c r="B811" s="36">
        <f t="shared" si="24"/>
        <v>10</v>
      </c>
      <c r="C811" s="37">
        <v>41191</v>
      </c>
      <c r="D811" s="37" t="s">
        <v>451</v>
      </c>
      <c r="E811" s="37">
        <v>41191</v>
      </c>
      <c r="F811" s="40" t="s">
        <v>453</v>
      </c>
      <c r="G811" s="627" t="s">
        <v>447</v>
      </c>
      <c r="H811" s="45"/>
      <c r="I811" s="277"/>
      <c r="J811" s="277"/>
      <c r="K811" s="38">
        <v>25000</v>
      </c>
      <c r="L811" s="39" t="s">
        <v>87</v>
      </c>
      <c r="M811" s="39" t="s">
        <v>24</v>
      </c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29" s="226" customFormat="1" ht="15.75" customHeight="1">
      <c r="A812" s="219" t="str">
        <f>IF(B812&lt;&gt;"",IF(AND(B812&gt;=_TM1,B812&lt;=_TM2,OR(TH!L812="1111",TH!M812="1111")),TH!D812,""),"")</f>
        <v/>
      </c>
      <c r="B812" s="36">
        <f t="shared" si="24"/>
        <v>10</v>
      </c>
      <c r="C812" s="37">
        <v>41191</v>
      </c>
      <c r="D812" s="37" t="s">
        <v>451</v>
      </c>
      <c r="E812" s="37">
        <v>41191</v>
      </c>
      <c r="F812" s="40" t="s">
        <v>532</v>
      </c>
      <c r="G812" s="627" t="s">
        <v>447</v>
      </c>
      <c r="H812" s="45"/>
      <c r="I812" s="277"/>
      <c r="J812" s="277"/>
      <c r="K812" s="38">
        <v>10000000</v>
      </c>
      <c r="L812" s="39" t="s">
        <v>8</v>
      </c>
      <c r="M812" s="39" t="s">
        <v>24</v>
      </c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29" s="226" customFormat="1" ht="15.75" customHeight="1">
      <c r="A813" s="219" t="str">
        <f>IF(B813&lt;&gt;"",IF(AND(B813&gt;=_TM1,B813&lt;=_TM2,OR(TH!L813="1111",TH!M813="1111")),TH!D813,""),"")</f>
        <v/>
      </c>
      <c r="B813" s="36">
        <f t="shared" si="24"/>
        <v>10</v>
      </c>
      <c r="C813" s="37">
        <v>41191</v>
      </c>
      <c r="D813" s="37" t="s">
        <v>451</v>
      </c>
      <c r="E813" s="37">
        <v>41191</v>
      </c>
      <c r="F813" s="40" t="s">
        <v>453</v>
      </c>
      <c r="G813" s="627" t="s">
        <v>447</v>
      </c>
      <c r="H813" s="45"/>
      <c r="I813" s="277"/>
      <c r="J813" s="277"/>
      <c r="K813" s="38">
        <v>20000</v>
      </c>
      <c r="L813" s="39" t="s">
        <v>87</v>
      </c>
      <c r="M813" s="39" t="s">
        <v>24</v>
      </c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29" s="226" customFormat="1" ht="15.75" customHeight="1">
      <c r="A814" s="219" t="str">
        <f>IF(B814&lt;&gt;"",IF(AND(B814&gt;=_TM1,B814&lt;=_TM2,OR(TH!L814="1111",TH!M814="1111")),TH!D814,""),"")</f>
        <v/>
      </c>
      <c r="B814" s="36">
        <f t="shared" si="24"/>
        <v>10</v>
      </c>
      <c r="C814" s="37">
        <v>41191</v>
      </c>
      <c r="D814" s="37" t="s">
        <v>451</v>
      </c>
      <c r="E814" s="37">
        <v>41191</v>
      </c>
      <c r="F814" s="40" t="s">
        <v>942</v>
      </c>
      <c r="G814" s="627" t="s">
        <v>447</v>
      </c>
      <c r="H814" s="45"/>
      <c r="I814" s="277"/>
      <c r="J814" s="277"/>
      <c r="K814" s="38">
        <v>14289</v>
      </c>
      <c r="L814" s="39" t="s">
        <v>87</v>
      </c>
      <c r="M814" s="39" t="s">
        <v>24</v>
      </c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29" s="226" customFormat="1" ht="15.75" customHeight="1">
      <c r="A815" s="219" t="str">
        <f>IF(B815&lt;&gt;"",IF(AND(B815&gt;=_TM1,B815&lt;=_TM2,OR(TH!L815="1111",TH!M815="1111")),TH!D815,""),"")</f>
        <v>T01</v>
      </c>
      <c r="B815" s="36">
        <f t="shared" si="24"/>
        <v>10</v>
      </c>
      <c r="C815" s="37">
        <v>41197</v>
      </c>
      <c r="D815" s="37" t="s">
        <v>540</v>
      </c>
      <c r="E815" s="37">
        <v>41197</v>
      </c>
      <c r="F815" s="40" t="s">
        <v>627</v>
      </c>
      <c r="G815" s="40" t="s">
        <v>447</v>
      </c>
      <c r="H815" s="45" t="s">
        <v>783</v>
      </c>
      <c r="I815" s="277"/>
      <c r="J815" s="277"/>
      <c r="K815" s="38">
        <v>8000000</v>
      </c>
      <c r="L815" s="39" t="s">
        <v>49</v>
      </c>
      <c r="M815" s="39" t="s">
        <v>24</v>
      </c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>x</v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29" s="226" customFormat="1" ht="15.75" customHeight="1">
      <c r="A816" s="219" t="str">
        <f>IF(B816&lt;&gt;"",IF(AND(B816&gt;=_TM1,B816&lt;=_TM2,OR(TH!L816="1111",TH!M816="1111")),TH!D816,""),"")</f>
        <v>C03</v>
      </c>
      <c r="B816" s="36">
        <f t="shared" si="24"/>
        <v>10</v>
      </c>
      <c r="C816" s="37">
        <v>41197</v>
      </c>
      <c r="D816" s="37" t="s">
        <v>544</v>
      </c>
      <c r="E816" s="37">
        <v>41197</v>
      </c>
      <c r="F816" s="40" t="s">
        <v>1143</v>
      </c>
      <c r="G816" s="627" t="s">
        <v>1144</v>
      </c>
      <c r="H816" s="45" t="s">
        <v>533</v>
      </c>
      <c r="I816" s="277"/>
      <c r="J816" s="277"/>
      <c r="K816" s="38">
        <v>2000000</v>
      </c>
      <c r="L816" s="39" t="s">
        <v>199</v>
      </c>
      <c r="M816" s="39" t="s">
        <v>49</v>
      </c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>x</v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29" s="226" customFormat="1" ht="15.75" customHeight="1">
      <c r="A817" s="219" t="str">
        <f>IF(B817&lt;&gt;"",IF(AND(B817&gt;=_TM1,B817&lt;=_TM2,OR(TH!L817="1111",TH!M817="1111")),TH!D817,""),"")</f>
        <v>C03</v>
      </c>
      <c r="B817" s="36">
        <f t="shared" ref="B817:B871" si="25">IF(C817&lt;&gt;"",MONTH(C817),"")</f>
        <v>10</v>
      </c>
      <c r="C817" s="37">
        <v>41197</v>
      </c>
      <c r="D817" s="37" t="s">
        <v>544</v>
      </c>
      <c r="E817" s="37">
        <v>41197</v>
      </c>
      <c r="F817" s="40" t="s">
        <v>459</v>
      </c>
      <c r="G817" s="627" t="s">
        <v>1144</v>
      </c>
      <c r="H817" s="45" t="s">
        <v>533</v>
      </c>
      <c r="I817" s="277"/>
      <c r="J817" s="277"/>
      <c r="K817" s="38">
        <v>200000</v>
      </c>
      <c r="L817" s="39" t="s">
        <v>9</v>
      </c>
      <c r="M817" s="39" t="s">
        <v>49</v>
      </c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>x</v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29" s="226" customFormat="1" ht="15.75" customHeight="1">
      <c r="A818" s="219" t="str">
        <f>IF(B818&lt;&gt;"",IF(AND(B818&gt;=_TM1,B818&lt;=_TM2,OR(TH!L818="1111",TH!M818="1111")),TH!D818,""),"")</f>
        <v/>
      </c>
      <c r="B818" s="36">
        <f t="shared" si="25"/>
        <v>10</v>
      </c>
      <c r="C818" s="37">
        <v>41197</v>
      </c>
      <c r="D818" s="205" t="s">
        <v>591</v>
      </c>
      <c r="E818" s="37">
        <v>41197</v>
      </c>
      <c r="F818" s="40" t="s">
        <v>1136</v>
      </c>
      <c r="G818" s="627" t="s">
        <v>1145</v>
      </c>
      <c r="H818" s="7" t="s">
        <v>564</v>
      </c>
      <c r="I818" s="277">
        <v>1500</v>
      </c>
      <c r="J818" s="277">
        <v>19979</v>
      </c>
      <c r="K818" s="38">
        <v>29968500</v>
      </c>
      <c r="L818" s="39" t="s">
        <v>191</v>
      </c>
      <c r="M818" s="750" t="s">
        <v>8</v>
      </c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  <c r="AC818" s="226" t="str">
        <f>IF(ISNA(VLOOKUP(F818,NXT!$C$18:$C$347,1,0)),x,"")</f>
        <v/>
      </c>
    </row>
    <row r="819" spans="1:29" s="226" customFormat="1" ht="15.75" customHeight="1">
      <c r="A819" s="219" t="str">
        <f>IF(B819&lt;&gt;"",IF(AND(B819&gt;=_TM1,B819&lt;=_TM2,OR(TH!L819="1111",TH!M819="1111")),TH!D819,""),"")</f>
        <v/>
      </c>
      <c r="B819" s="36">
        <f t="shared" si="25"/>
        <v>10</v>
      </c>
      <c r="C819" s="37">
        <v>41197</v>
      </c>
      <c r="D819" s="205" t="s">
        <v>591</v>
      </c>
      <c r="E819" s="37">
        <v>41197</v>
      </c>
      <c r="F819" s="40" t="s">
        <v>1136</v>
      </c>
      <c r="G819" s="627" t="s">
        <v>1145</v>
      </c>
      <c r="H819" s="7" t="s">
        <v>564</v>
      </c>
      <c r="I819" s="277">
        <v>140</v>
      </c>
      <c r="J819" s="277">
        <v>18628</v>
      </c>
      <c r="K819" s="38">
        <v>2607920</v>
      </c>
      <c r="L819" s="39" t="s">
        <v>191</v>
      </c>
      <c r="M819" s="750" t="s">
        <v>8</v>
      </c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  <c r="AC819" s="226" t="str">
        <f>IF(ISNA(VLOOKUP(F819,NXT!$C$18:$C$347,1,0)),x,"")</f>
        <v/>
      </c>
    </row>
    <row r="820" spans="1:29" s="226" customFormat="1" ht="15.75" customHeight="1">
      <c r="A820" s="219" t="str">
        <f>IF(B820&lt;&gt;"",IF(AND(B820&gt;=_TM1,B820&lt;=_TM2,OR(TH!L820="1111",TH!M820="1111")),TH!D820,""),"")</f>
        <v/>
      </c>
      <c r="B820" s="36">
        <f t="shared" si="25"/>
        <v>10</v>
      </c>
      <c r="C820" s="37">
        <v>41197</v>
      </c>
      <c r="D820" s="205" t="s">
        <v>591</v>
      </c>
      <c r="E820" s="37">
        <v>41197</v>
      </c>
      <c r="F820" s="40" t="s">
        <v>650</v>
      </c>
      <c r="G820" s="627" t="s">
        <v>1145</v>
      </c>
      <c r="H820" s="7" t="s">
        <v>564</v>
      </c>
      <c r="I820" s="277"/>
      <c r="J820" s="277"/>
      <c r="K820" s="38">
        <v>3257642</v>
      </c>
      <c r="L820" s="39" t="s">
        <v>9</v>
      </c>
      <c r="M820" s="750" t="s">
        <v>8</v>
      </c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29" s="226" customFormat="1" ht="15.75" customHeight="1">
      <c r="A821" s="219" t="str">
        <f>IF(B821&lt;&gt;"",IF(AND(B821&gt;=_TM1,B821&lt;=_TM2,OR(TH!L821="1111",TH!M821="1111")),TH!D821,""),"")</f>
        <v>C04</v>
      </c>
      <c r="B821" s="36">
        <f>IF(C821&lt;&gt;"",MONTH(C821),"")</f>
        <v>10</v>
      </c>
      <c r="C821" s="37">
        <v>41199</v>
      </c>
      <c r="D821" s="37" t="s">
        <v>545</v>
      </c>
      <c r="E821" s="37">
        <v>41199</v>
      </c>
      <c r="F821" s="40" t="s">
        <v>528</v>
      </c>
      <c r="G821" s="627" t="s">
        <v>447</v>
      </c>
      <c r="H821" s="45" t="s">
        <v>783</v>
      </c>
      <c r="I821" s="277"/>
      <c r="J821" s="277"/>
      <c r="K821" s="38">
        <v>55000000</v>
      </c>
      <c r="L821" s="39" t="s">
        <v>24</v>
      </c>
      <c r="M821" s="39" t="s">
        <v>49</v>
      </c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>x</v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29" s="226" customFormat="1" ht="15.75" customHeight="1">
      <c r="A822" s="219" t="str">
        <f>IF(B822&lt;&gt;"",IF(AND(B822&gt;=_TM1,B822&lt;=_TM2,OR(TH!L822="1111",TH!M822="1111")),TH!D822,""),"")</f>
        <v/>
      </c>
      <c r="B822" s="36">
        <f t="shared" si="25"/>
        <v>10</v>
      </c>
      <c r="C822" s="37">
        <v>41199</v>
      </c>
      <c r="D822" s="37" t="s">
        <v>451</v>
      </c>
      <c r="E822" s="37">
        <v>41199</v>
      </c>
      <c r="F822" s="40" t="s">
        <v>532</v>
      </c>
      <c r="G822" s="627" t="s">
        <v>447</v>
      </c>
      <c r="H822" s="207"/>
      <c r="I822" s="277"/>
      <c r="J822" s="277"/>
      <c r="K822" s="38">
        <v>50000000</v>
      </c>
      <c r="L822" s="39" t="s">
        <v>8</v>
      </c>
      <c r="M822" s="39" t="s">
        <v>24</v>
      </c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29" s="226" customFormat="1" ht="15.75" customHeight="1">
      <c r="A823" s="219" t="str">
        <f>IF(B823&lt;&gt;"",IF(AND(B823&gt;=_TM1,B823&lt;=_TM2,OR(TH!L823="1111",TH!M823="1111")),TH!D823,""),"")</f>
        <v/>
      </c>
      <c r="B823" s="36">
        <f>IF(C823&lt;&gt;"",MONTH(C823),"")</f>
        <v>10</v>
      </c>
      <c r="C823" s="37">
        <v>41199</v>
      </c>
      <c r="D823" s="37" t="s">
        <v>451</v>
      </c>
      <c r="E823" s="37">
        <v>41199</v>
      </c>
      <c r="F823" s="40" t="s">
        <v>453</v>
      </c>
      <c r="G823" s="627" t="s">
        <v>447</v>
      </c>
      <c r="H823" s="207"/>
      <c r="I823" s="277"/>
      <c r="J823" s="277"/>
      <c r="K823" s="38">
        <v>25000</v>
      </c>
      <c r="L823" s="39" t="s">
        <v>87</v>
      </c>
      <c r="M823" s="39" t="s">
        <v>24</v>
      </c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29" s="226" customFormat="1" ht="17.25" customHeight="1">
      <c r="A824" s="219" t="str">
        <f>IF(B824&lt;&gt;"",IF(AND(B824&gt;=_TM1,B824&lt;=_TM2,OR(TH!L824="1111",TH!M824="1111")),TH!D824,""),"")</f>
        <v/>
      </c>
      <c r="B824" s="36">
        <f t="shared" si="25"/>
        <v>10</v>
      </c>
      <c r="C824" s="37">
        <v>41199</v>
      </c>
      <c r="D824" s="37" t="s">
        <v>451</v>
      </c>
      <c r="E824" s="37">
        <v>41199</v>
      </c>
      <c r="F824" s="40" t="s">
        <v>532</v>
      </c>
      <c r="G824" s="627" t="s">
        <v>447</v>
      </c>
      <c r="H824" s="45"/>
      <c r="I824" s="277"/>
      <c r="J824" s="277"/>
      <c r="K824" s="38">
        <v>5000000</v>
      </c>
      <c r="L824" s="208" t="s">
        <v>8</v>
      </c>
      <c r="M824" s="39" t="s">
        <v>24</v>
      </c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29" s="226" customFormat="1" ht="15.75" customHeight="1">
      <c r="A825" s="219" t="str">
        <f>IF(B825&lt;&gt;"",IF(AND(B825&gt;=_TM1,B825&lt;=_TM2,OR(TH!L825="1111",TH!M825="1111")),TH!D825,""),"")</f>
        <v/>
      </c>
      <c r="B825" s="36">
        <f t="shared" ref="B825:B833" si="26">IF(C825&lt;&gt;"",MONTH(C825),"")</f>
        <v>10</v>
      </c>
      <c r="C825" s="37">
        <v>41199</v>
      </c>
      <c r="D825" s="205" t="s">
        <v>451</v>
      </c>
      <c r="E825" s="37">
        <v>41199</v>
      </c>
      <c r="F825" s="40" t="s">
        <v>453</v>
      </c>
      <c r="G825" s="627" t="s">
        <v>447</v>
      </c>
      <c r="H825" s="7"/>
      <c r="I825" s="277"/>
      <c r="J825" s="277"/>
      <c r="K825" s="38">
        <v>10000</v>
      </c>
      <c r="L825" s="39" t="s">
        <v>87</v>
      </c>
      <c r="M825" s="39" t="s">
        <v>24</v>
      </c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29" s="226" customFormat="1" ht="15.75" customHeight="1">
      <c r="A826" s="219" t="str">
        <f>IF(B826&lt;&gt;"",IF(AND(B826&gt;=_TM1,B826&lt;=_TM2,OR(TH!L826="1111",TH!M826="1111")),TH!D826,""),"")</f>
        <v/>
      </c>
      <c r="B826" s="36">
        <f t="shared" si="26"/>
        <v>10</v>
      </c>
      <c r="C826" s="37">
        <v>41199</v>
      </c>
      <c r="D826" s="205" t="s">
        <v>451</v>
      </c>
      <c r="E826" s="37">
        <v>41199</v>
      </c>
      <c r="F826" s="40" t="s">
        <v>942</v>
      </c>
      <c r="G826" s="627" t="s">
        <v>447</v>
      </c>
      <c r="H826" s="7"/>
      <c r="I826" s="277"/>
      <c r="J826" s="277"/>
      <c r="K826" s="38">
        <v>16479</v>
      </c>
      <c r="L826" s="39" t="s">
        <v>87</v>
      </c>
      <c r="M826" s="39" t="s">
        <v>24</v>
      </c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29" s="226" customFormat="1" ht="15.75" customHeight="1">
      <c r="A827" s="219" t="str">
        <f>IF(B827&lt;&gt;"",IF(AND(B827&gt;=_TM1,B827&lt;=_TM2,OR(TH!L827="1111",TH!M827="1111")),TH!D827,""),"")</f>
        <v/>
      </c>
      <c r="B827" s="36">
        <f t="shared" si="26"/>
        <v>10</v>
      </c>
      <c r="C827" s="37">
        <v>41204</v>
      </c>
      <c r="D827" s="205" t="s">
        <v>450</v>
      </c>
      <c r="E827" s="37">
        <v>41204</v>
      </c>
      <c r="F827" s="40" t="s">
        <v>452</v>
      </c>
      <c r="G827" s="627" t="s">
        <v>447</v>
      </c>
      <c r="H827" s="7"/>
      <c r="I827" s="277"/>
      <c r="J827" s="277"/>
      <c r="K827" s="38">
        <v>45878580</v>
      </c>
      <c r="L827" s="39" t="s">
        <v>24</v>
      </c>
      <c r="M827" s="39" t="s">
        <v>352</v>
      </c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</row>
    <row r="828" spans="1:29" s="226" customFormat="1" ht="15.75" customHeight="1">
      <c r="A828" s="219" t="str">
        <f>IF(B828&lt;&gt;"",IF(AND(B828&gt;=_TM1,B828&lt;=_TM2,OR(TH!L828="1111",TH!M828="1111")),TH!D828,""),"")</f>
        <v/>
      </c>
      <c r="B828" s="36">
        <f t="shared" si="26"/>
        <v>10</v>
      </c>
      <c r="C828" s="37">
        <v>41204</v>
      </c>
      <c r="D828" s="205" t="s">
        <v>592</v>
      </c>
      <c r="E828" s="37">
        <v>41204</v>
      </c>
      <c r="F828" s="331" t="s">
        <v>1123</v>
      </c>
      <c r="G828" s="627" t="s">
        <v>1146</v>
      </c>
      <c r="H828" s="7" t="s">
        <v>564</v>
      </c>
      <c r="I828" s="277">
        <v>340</v>
      </c>
      <c r="J828" s="277">
        <v>20290</v>
      </c>
      <c r="K828" s="38">
        <v>6898600</v>
      </c>
      <c r="L828" s="39" t="s">
        <v>191</v>
      </c>
      <c r="M828" s="750" t="s">
        <v>8</v>
      </c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  <c r="AC828" s="226" t="str">
        <f>IF(ISNA(VLOOKUP(F828,NXT!$C$18:$C$347,1,0)),x,"")</f>
        <v/>
      </c>
    </row>
    <row r="829" spans="1:29" s="226" customFormat="1" ht="15.75" customHeight="1">
      <c r="A829" s="219" t="str">
        <f>IF(B829&lt;&gt;"",IF(AND(B829&gt;=_TM1,B829&lt;=_TM2,OR(TH!L829="1111",TH!M829="1111")),TH!D829,""),"")</f>
        <v/>
      </c>
      <c r="B829" s="36">
        <f t="shared" si="26"/>
        <v>10</v>
      </c>
      <c r="C829" s="37">
        <v>41204</v>
      </c>
      <c r="D829" s="205" t="s">
        <v>592</v>
      </c>
      <c r="E829" s="37">
        <v>41204</v>
      </c>
      <c r="F829" s="331" t="s">
        <v>1136</v>
      </c>
      <c r="G829" s="627" t="s">
        <v>1146</v>
      </c>
      <c r="H829" s="7" t="s">
        <v>564</v>
      </c>
      <c r="I829" s="277">
        <v>4000</v>
      </c>
      <c r="J829" s="277">
        <v>19979</v>
      </c>
      <c r="K829" s="38">
        <v>79916000</v>
      </c>
      <c r="L829" s="39" t="s">
        <v>191</v>
      </c>
      <c r="M829" s="750" t="s">
        <v>8</v>
      </c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  <c r="AC829" s="226" t="str">
        <f>IF(ISNA(VLOOKUP(F829,NXT!$C$18:$C$347,1,0)),x,"")</f>
        <v/>
      </c>
    </row>
    <row r="830" spans="1:29" s="226" customFormat="1" ht="15.75" customHeight="1">
      <c r="A830" s="219" t="str">
        <f>IF(B830&lt;&gt;"",IF(AND(B830&gt;=_TM1,B830&lt;=_TM2,OR(TH!L830="1111",TH!M830="1111")),TH!D830,""),"")</f>
        <v/>
      </c>
      <c r="B830" s="36">
        <f t="shared" si="26"/>
        <v>10</v>
      </c>
      <c r="C830" s="37">
        <v>41204</v>
      </c>
      <c r="D830" s="205" t="s">
        <v>592</v>
      </c>
      <c r="E830" s="37">
        <v>41204</v>
      </c>
      <c r="F830" s="331" t="s">
        <v>650</v>
      </c>
      <c r="G830" s="627" t="s">
        <v>1146</v>
      </c>
      <c r="H830" s="7" t="s">
        <v>564</v>
      </c>
      <c r="I830" s="277"/>
      <c r="J830" s="277"/>
      <c r="K830" s="38">
        <v>8681460</v>
      </c>
      <c r="L830" s="39" t="s">
        <v>9</v>
      </c>
      <c r="M830" s="750" t="s">
        <v>8</v>
      </c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29" s="226" customFormat="1" ht="15.75" customHeight="1">
      <c r="A831" s="219" t="str">
        <f>IF(B831&lt;&gt;"",IF(AND(B831&gt;=_TM1,B831&lt;=_TM2,OR(TH!L831="1111",TH!M831="1111")),TH!D831,""),"")</f>
        <v>C05</v>
      </c>
      <c r="B831" s="36">
        <f t="shared" si="26"/>
        <v>10</v>
      </c>
      <c r="C831" s="37">
        <v>41205</v>
      </c>
      <c r="D831" s="205" t="s">
        <v>546</v>
      </c>
      <c r="E831" s="37">
        <v>41205</v>
      </c>
      <c r="F831" s="331" t="s">
        <v>804</v>
      </c>
      <c r="G831" s="627" t="s">
        <v>1147</v>
      </c>
      <c r="H831" s="7" t="s">
        <v>533</v>
      </c>
      <c r="I831" s="277"/>
      <c r="J831" s="277"/>
      <c r="K831" s="38">
        <v>3900000</v>
      </c>
      <c r="L831" s="39" t="s">
        <v>199</v>
      </c>
      <c r="M831" s="39" t="s">
        <v>49</v>
      </c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>x</v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29" s="226" customFormat="1" ht="15.75" customHeight="1">
      <c r="A832" s="219" t="str">
        <f>IF(B832&lt;&gt;"",IF(AND(B832&gt;=_TM1,B832&lt;=_TM2,OR(TH!L832="1111",TH!M832="1111")),TH!D832,""),"")</f>
        <v>C05</v>
      </c>
      <c r="B832" s="36">
        <f t="shared" si="26"/>
        <v>10</v>
      </c>
      <c r="C832" s="37">
        <v>41205</v>
      </c>
      <c r="D832" s="205" t="s">
        <v>546</v>
      </c>
      <c r="E832" s="37">
        <v>41205</v>
      </c>
      <c r="F832" s="331" t="s">
        <v>459</v>
      </c>
      <c r="G832" s="627" t="s">
        <v>1147</v>
      </c>
      <c r="H832" s="7" t="s">
        <v>533</v>
      </c>
      <c r="I832" s="277"/>
      <c r="J832" s="277"/>
      <c r="K832" s="38">
        <v>390000</v>
      </c>
      <c r="L832" s="39" t="s">
        <v>9</v>
      </c>
      <c r="M832" s="39" t="s">
        <v>49</v>
      </c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>x</v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29" s="226" customFormat="1" ht="15.75" customHeight="1">
      <c r="A833" s="219" t="str">
        <f>IF(B833&lt;&gt;"",IF(AND(B833&gt;=_TM1,B833&lt;=_TM2,OR(TH!L833="1111",TH!M833="1111")),TH!D833,""),"")</f>
        <v/>
      </c>
      <c r="B833" s="36">
        <f t="shared" si="26"/>
        <v>10</v>
      </c>
      <c r="C833" s="37">
        <v>41205</v>
      </c>
      <c r="D833" s="205" t="s">
        <v>593</v>
      </c>
      <c r="E833" s="37">
        <v>41205</v>
      </c>
      <c r="F833" s="331" t="s">
        <v>1148</v>
      </c>
      <c r="G833" s="627" t="s">
        <v>1149</v>
      </c>
      <c r="H833" s="7" t="s">
        <v>564</v>
      </c>
      <c r="I833" s="277">
        <v>470</v>
      </c>
      <c r="J833" s="277">
        <v>11113</v>
      </c>
      <c r="K833" s="38">
        <v>5223110</v>
      </c>
      <c r="L833" s="39" t="s">
        <v>191</v>
      </c>
      <c r="M833" s="750" t="s">
        <v>8</v>
      </c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  <c r="AC833" s="226" t="str">
        <f>IF(ISNA(VLOOKUP(F833,NXT!$C$18:$C$347,1,0)),x,"")</f>
        <v/>
      </c>
    </row>
    <row r="834" spans="1:29" s="226" customFormat="1" ht="15.75" customHeight="1">
      <c r="A834" s="219" t="str">
        <f>IF(B834&lt;&gt;"",IF(AND(B834&gt;=_TM1,B834&lt;=_TM2,OR(TH!L834="1111",TH!M834="1111")),TH!D834,""),"")</f>
        <v/>
      </c>
      <c r="B834" s="36">
        <f t="shared" si="25"/>
        <v>10</v>
      </c>
      <c r="C834" s="37">
        <v>41205</v>
      </c>
      <c r="D834" s="205" t="s">
        <v>593</v>
      </c>
      <c r="E834" s="37">
        <v>41205</v>
      </c>
      <c r="F834" s="40" t="s">
        <v>865</v>
      </c>
      <c r="G834" s="627" t="s">
        <v>1149</v>
      </c>
      <c r="H834" s="7" t="s">
        <v>564</v>
      </c>
      <c r="I834" s="277">
        <v>200</v>
      </c>
      <c r="J834" s="277">
        <v>15825</v>
      </c>
      <c r="K834" s="38">
        <v>3165000</v>
      </c>
      <c r="L834" s="39" t="s">
        <v>191</v>
      </c>
      <c r="M834" s="750" t="s">
        <v>8</v>
      </c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  <c r="AC834" s="226" t="str">
        <f>IF(ISNA(VLOOKUP(F834,NXT!$C$18:$C$347,1,0)),x,"")</f>
        <v/>
      </c>
    </row>
    <row r="835" spans="1:29" s="226" customFormat="1" ht="15.75" customHeight="1">
      <c r="A835" s="219" t="str">
        <f>IF(B835&lt;&gt;"",IF(AND(B835&gt;=_TM1,B835&lt;=_TM2,OR(TH!L835="1111",TH!M835="1111")),TH!D835,""),"")</f>
        <v/>
      </c>
      <c r="B835" s="36">
        <f>IF(C835&lt;&gt;"",MONTH(C835),"")</f>
        <v>10</v>
      </c>
      <c r="C835" s="37">
        <v>41205</v>
      </c>
      <c r="D835" s="205" t="s">
        <v>593</v>
      </c>
      <c r="E835" s="37">
        <v>41205</v>
      </c>
      <c r="F835" s="40" t="s">
        <v>1150</v>
      </c>
      <c r="G835" s="627" t="s">
        <v>1149</v>
      </c>
      <c r="H835" s="7" t="s">
        <v>564</v>
      </c>
      <c r="I835" s="277">
        <v>50</v>
      </c>
      <c r="J835" s="277">
        <v>39995</v>
      </c>
      <c r="K835" s="38">
        <v>1999750</v>
      </c>
      <c r="L835" s="39" t="s">
        <v>191</v>
      </c>
      <c r="M835" s="750" t="s">
        <v>8</v>
      </c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  <c r="AC835" s="226" t="str">
        <f>IF(ISNA(VLOOKUP(F835,NXT!$C$18:$C$347,1,0)),x,"")</f>
        <v/>
      </c>
    </row>
    <row r="836" spans="1:29" s="226" customFormat="1" ht="15.75" customHeight="1">
      <c r="A836" s="219" t="str">
        <f>IF(B836&lt;&gt;"",IF(AND(B836&gt;=_TM1,B836&lt;=_TM2,OR(TH!L836="1111",TH!M836="1111")),TH!D836,""),"")</f>
        <v/>
      </c>
      <c r="B836" s="36">
        <f t="shared" si="25"/>
        <v>10</v>
      </c>
      <c r="C836" s="37">
        <v>41205</v>
      </c>
      <c r="D836" s="205" t="s">
        <v>593</v>
      </c>
      <c r="E836" s="37">
        <v>41205</v>
      </c>
      <c r="F836" s="40" t="s">
        <v>650</v>
      </c>
      <c r="G836" s="627" t="s">
        <v>1149</v>
      </c>
      <c r="H836" s="7" t="s">
        <v>564</v>
      </c>
      <c r="I836" s="277"/>
      <c r="J836" s="277"/>
      <c r="K836" s="38">
        <v>1038786</v>
      </c>
      <c r="L836" s="39" t="s">
        <v>9</v>
      </c>
      <c r="M836" s="750" t="s">
        <v>8</v>
      </c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29" s="226" customFormat="1" ht="15.75" customHeight="1">
      <c r="A837" s="219" t="str">
        <f>IF(B837&lt;&gt;"",IF(AND(B837&gt;=_TM1,B837&lt;=_TM2,OR(TH!L837="1111",TH!M837="1111")),TH!D837,""),"")</f>
        <v>C06</v>
      </c>
      <c r="B837" s="36">
        <f t="shared" si="25"/>
        <v>10</v>
      </c>
      <c r="C837" s="37">
        <v>41206</v>
      </c>
      <c r="D837" s="37" t="s">
        <v>547</v>
      </c>
      <c r="E837" s="37">
        <v>41206</v>
      </c>
      <c r="F837" s="40" t="s">
        <v>528</v>
      </c>
      <c r="G837" s="627" t="s">
        <v>447</v>
      </c>
      <c r="H837" s="45" t="s">
        <v>783</v>
      </c>
      <c r="I837" s="277"/>
      <c r="J837" s="277"/>
      <c r="K837" s="38">
        <v>4300000</v>
      </c>
      <c r="L837" s="39" t="s">
        <v>24</v>
      </c>
      <c r="M837" s="39" t="s">
        <v>49</v>
      </c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>x</v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29" s="226" customFormat="1" ht="15.75" customHeight="1">
      <c r="A838" s="219" t="str">
        <f>IF(B838&lt;&gt;"",IF(AND(B838&gt;=_TM1,B838&lt;=_TM2,OR(TH!L838="1111",TH!M838="1111")),TH!D838,""),"")</f>
        <v/>
      </c>
      <c r="B838" s="36">
        <f t="shared" si="25"/>
        <v>10</v>
      </c>
      <c r="C838" s="37">
        <v>41206</v>
      </c>
      <c r="D838" s="37" t="s">
        <v>450</v>
      </c>
      <c r="E838" s="37">
        <v>41206</v>
      </c>
      <c r="F838" s="40" t="s">
        <v>452</v>
      </c>
      <c r="G838" s="627" t="s">
        <v>447</v>
      </c>
      <c r="H838" s="45"/>
      <c r="I838" s="277"/>
      <c r="J838" s="277"/>
      <c r="K838" s="38">
        <v>9806280</v>
      </c>
      <c r="L838" s="208" t="s">
        <v>24</v>
      </c>
      <c r="M838" s="39" t="s">
        <v>352</v>
      </c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</row>
    <row r="839" spans="1:29" s="226" customFormat="1" ht="15.75" customHeight="1">
      <c r="A839" s="219" t="str">
        <f>IF(B839&lt;&gt;"",IF(AND(B839&gt;=_TM1,B839&lt;=_TM2,OR(TH!L839="1111",TH!M839="1111")),TH!D839,""),"")</f>
        <v/>
      </c>
      <c r="B839" s="36">
        <f t="shared" si="25"/>
        <v>10</v>
      </c>
      <c r="C839" s="37">
        <v>41206</v>
      </c>
      <c r="D839" s="37" t="s">
        <v>451</v>
      </c>
      <c r="E839" s="37">
        <v>41206</v>
      </c>
      <c r="F839" s="40" t="s">
        <v>532</v>
      </c>
      <c r="G839" s="627" t="s">
        <v>447</v>
      </c>
      <c r="H839" s="207"/>
      <c r="I839" s="277"/>
      <c r="J839" s="277"/>
      <c r="K839" s="38">
        <v>50000000</v>
      </c>
      <c r="L839" s="39" t="s">
        <v>8</v>
      </c>
      <c r="M839" s="39" t="s">
        <v>24</v>
      </c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29" s="226" customFormat="1" ht="15.75" customHeight="1">
      <c r="A840" s="219" t="str">
        <f>IF(B840&lt;&gt;"",IF(AND(B840&gt;=_TM1,B840&lt;=_TM2,OR(TH!L840="1111",TH!M840="1111")),TH!D840,""),"")</f>
        <v/>
      </c>
      <c r="B840" s="36">
        <f t="shared" si="25"/>
        <v>10</v>
      </c>
      <c r="C840" s="37">
        <v>41206</v>
      </c>
      <c r="D840" s="37" t="s">
        <v>451</v>
      </c>
      <c r="E840" s="37">
        <v>41206</v>
      </c>
      <c r="F840" s="40" t="s">
        <v>453</v>
      </c>
      <c r="G840" s="627" t="s">
        <v>447</v>
      </c>
      <c r="H840" s="45"/>
      <c r="I840" s="277"/>
      <c r="J840" s="277"/>
      <c r="K840" s="38">
        <v>25000</v>
      </c>
      <c r="L840" s="39" t="s">
        <v>87</v>
      </c>
      <c r="M840" s="39" t="s">
        <v>24</v>
      </c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29" s="226" customFormat="1" ht="15.75" customHeight="1">
      <c r="A841" s="219" t="str">
        <f>IF(B841&lt;&gt;"",IF(AND(B841&gt;=_TM1,B841&lt;=_TM2,OR(TH!L841="1111",TH!M841="1111")),TH!D841,""),"")</f>
        <v/>
      </c>
      <c r="B841" s="36">
        <f t="shared" si="25"/>
        <v>10</v>
      </c>
      <c r="C841" s="37">
        <v>41206</v>
      </c>
      <c r="D841" s="37" t="s">
        <v>451</v>
      </c>
      <c r="E841" s="37">
        <v>41206</v>
      </c>
      <c r="F841" s="40" t="s">
        <v>942</v>
      </c>
      <c r="G841" s="627" t="s">
        <v>447</v>
      </c>
      <c r="H841" s="45"/>
      <c r="I841" s="277"/>
      <c r="J841" s="277"/>
      <c r="K841" s="38">
        <v>10000</v>
      </c>
      <c r="L841" s="39" t="s">
        <v>87</v>
      </c>
      <c r="M841" s="39" t="s">
        <v>24</v>
      </c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29" s="226" customFormat="1" ht="15.75" customHeight="1">
      <c r="A842" s="219" t="str">
        <f>IF(B842&lt;&gt;"",IF(AND(B842&gt;=_TM1,B842&lt;=_TM2,OR(TH!L842="1111",TH!M842="1111")),TH!D842,""),"")</f>
        <v/>
      </c>
      <c r="B842" s="36">
        <f t="shared" si="25"/>
        <v>10</v>
      </c>
      <c r="C842" s="37">
        <v>41206</v>
      </c>
      <c r="D842" s="205" t="s">
        <v>594</v>
      </c>
      <c r="E842" s="37">
        <v>41206</v>
      </c>
      <c r="F842" s="40" t="s">
        <v>865</v>
      </c>
      <c r="G842" s="627" t="s">
        <v>1151</v>
      </c>
      <c r="H842" s="7" t="s">
        <v>564</v>
      </c>
      <c r="I842" s="277">
        <v>290</v>
      </c>
      <c r="J842" s="277">
        <v>15825</v>
      </c>
      <c r="K842" s="38">
        <v>4589250</v>
      </c>
      <c r="L842" s="39" t="s">
        <v>191</v>
      </c>
      <c r="M842" s="750" t="s">
        <v>8</v>
      </c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  <c r="AC842" s="226" t="str">
        <f>IF(ISNA(VLOOKUP(F842,NXT!$C$18:$C$347,1,0)),x,"")</f>
        <v/>
      </c>
    </row>
    <row r="843" spans="1:29" s="226" customFormat="1" ht="15.75" customHeight="1">
      <c r="A843" s="219" t="str">
        <f>IF(B843&lt;&gt;"",IF(AND(B843&gt;=_TM1,B843&lt;=_TM2,OR(TH!L843="1111",TH!M843="1111")),TH!D843,""),"")</f>
        <v/>
      </c>
      <c r="B843" s="36">
        <f t="shared" si="25"/>
        <v>10</v>
      </c>
      <c r="C843" s="37">
        <v>41206</v>
      </c>
      <c r="D843" s="205" t="s">
        <v>594</v>
      </c>
      <c r="E843" s="37">
        <v>41206</v>
      </c>
      <c r="F843" s="40" t="s">
        <v>650</v>
      </c>
      <c r="G843" s="627" t="s">
        <v>1151</v>
      </c>
      <c r="H843" s="7" t="s">
        <v>564</v>
      </c>
      <c r="I843" s="277"/>
      <c r="J843" s="277"/>
      <c r="K843" s="38">
        <v>458925</v>
      </c>
      <c r="L843" s="39" t="s">
        <v>9</v>
      </c>
      <c r="M843" s="750" t="s">
        <v>8</v>
      </c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29" s="226" customFormat="1" ht="15.75" customHeight="1">
      <c r="A844" s="219" t="str">
        <f>IF(B844&lt;&gt;"",IF(AND(B844&gt;=_TM1,B844&lt;=_TM2,OR(TH!L844="1111",TH!M844="1111")),TH!D844,""),"")</f>
        <v/>
      </c>
      <c r="B844" s="36">
        <f t="shared" si="25"/>
        <v>10</v>
      </c>
      <c r="C844" s="37">
        <v>41207</v>
      </c>
      <c r="D844" s="37" t="s">
        <v>450</v>
      </c>
      <c r="E844" s="37">
        <v>41207</v>
      </c>
      <c r="F844" s="40" t="s">
        <v>530</v>
      </c>
      <c r="G844" s="40" t="s">
        <v>447</v>
      </c>
      <c r="H844" s="45"/>
      <c r="I844" s="277"/>
      <c r="J844" s="277"/>
      <c r="K844" s="38">
        <v>12799</v>
      </c>
      <c r="L844" s="39" t="s">
        <v>24</v>
      </c>
      <c r="M844" s="39" t="s">
        <v>41</v>
      </c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29" s="226" customFormat="1" ht="15.75" customHeight="1">
      <c r="A845" s="219" t="str">
        <f>IF(B845&lt;&gt;"",IF(AND(B845&gt;=_TM1,B845&lt;=_TM2,OR(TH!L845="1111",TH!M845="1111")),TH!D845,""),"")</f>
        <v>C07</v>
      </c>
      <c r="B845" s="36">
        <f t="shared" si="25"/>
        <v>10</v>
      </c>
      <c r="C845" s="37">
        <v>41207</v>
      </c>
      <c r="D845" s="37" t="s">
        <v>548</v>
      </c>
      <c r="E845" s="37">
        <v>41207</v>
      </c>
      <c r="F845" s="40" t="s">
        <v>1152</v>
      </c>
      <c r="G845" s="40" t="s">
        <v>1153</v>
      </c>
      <c r="H845" s="45" t="s">
        <v>533</v>
      </c>
      <c r="I845" s="277"/>
      <c r="J845" s="277"/>
      <c r="K845" s="38">
        <v>1380000</v>
      </c>
      <c r="L845" s="39" t="s">
        <v>199</v>
      </c>
      <c r="M845" s="39" t="s">
        <v>49</v>
      </c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>x</v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29" s="226" customFormat="1" ht="15.75" customHeight="1">
      <c r="A846" s="219" t="str">
        <f>IF(B846&lt;&gt;"",IF(AND(B846&gt;=_TM1,B846&lt;=_TM2,OR(TH!L846="1111",TH!M846="1111")),TH!D846,""),"")</f>
        <v>C07</v>
      </c>
      <c r="B846" s="36">
        <f t="shared" si="25"/>
        <v>10</v>
      </c>
      <c r="C846" s="37">
        <v>41207</v>
      </c>
      <c r="D846" s="37" t="s">
        <v>548</v>
      </c>
      <c r="E846" s="37">
        <v>41207</v>
      </c>
      <c r="F846" s="40" t="s">
        <v>459</v>
      </c>
      <c r="G846" s="40" t="s">
        <v>1153</v>
      </c>
      <c r="H846" s="45" t="s">
        <v>533</v>
      </c>
      <c r="I846" s="277"/>
      <c r="J846" s="277"/>
      <c r="K846" s="38">
        <v>138000</v>
      </c>
      <c r="L846" s="39" t="s">
        <v>9</v>
      </c>
      <c r="M846" s="39" t="s">
        <v>49</v>
      </c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>x</v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29" s="226" customFormat="1" ht="15.75" customHeight="1">
      <c r="A847" s="219" t="str">
        <f>IF(B847&lt;&gt;"",IF(AND(B847&gt;=_TM1,B847&lt;=_TM2,OR(TH!L847="1111",TH!M847="1111")),TH!D847,""),"")</f>
        <v/>
      </c>
      <c r="B847" s="36">
        <f t="shared" si="25"/>
        <v>10</v>
      </c>
      <c r="C847" s="37">
        <v>41208</v>
      </c>
      <c r="D847" s="37" t="s">
        <v>450</v>
      </c>
      <c r="E847" s="37">
        <v>41208</v>
      </c>
      <c r="F847" s="40" t="s">
        <v>452</v>
      </c>
      <c r="G847" s="40" t="s">
        <v>447</v>
      </c>
      <c r="H847" s="225"/>
      <c r="I847" s="278"/>
      <c r="J847" s="278"/>
      <c r="K847" s="38">
        <v>3296426</v>
      </c>
      <c r="L847" s="39" t="s">
        <v>24</v>
      </c>
      <c r="M847" s="39" t="s">
        <v>352</v>
      </c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</row>
    <row r="848" spans="1:29" s="226" customFormat="1" ht="15.75" customHeight="1">
      <c r="A848" s="219" t="str">
        <f>IF(B848&lt;&gt;"",IF(AND(B848&gt;=_TM1,B848&lt;=_TM2,OR(TH!L848="1111",TH!M848="1111")),TH!D848,""),"")</f>
        <v>C08</v>
      </c>
      <c r="B848" s="36">
        <f t="shared" si="25"/>
        <v>10</v>
      </c>
      <c r="C848" s="37">
        <v>41209</v>
      </c>
      <c r="D848" s="37" t="s">
        <v>549</v>
      </c>
      <c r="E848" s="37">
        <v>41209</v>
      </c>
      <c r="F848" s="40" t="s">
        <v>528</v>
      </c>
      <c r="G848" s="40" t="s">
        <v>447</v>
      </c>
      <c r="H848" s="45" t="s">
        <v>783</v>
      </c>
      <c r="I848" s="277"/>
      <c r="J848" s="277"/>
      <c r="K848" s="38">
        <v>100000</v>
      </c>
      <c r="L848" s="39" t="s">
        <v>24</v>
      </c>
      <c r="M848" s="39" t="s">
        <v>49</v>
      </c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>x</v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29" s="226" customFormat="1" ht="15.75" customHeight="1">
      <c r="A849" s="219" t="str">
        <f>IF(B849&lt;&gt;"",IF(AND(B849&gt;=_TM1,B849&lt;=_TM2,OR(TH!L849="1111",TH!M849="1111")),TH!D849,""),"")</f>
        <v/>
      </c>
      <c r="B849" s="36">
        <f t="shared" si="25"/>
        <v>10</v>
      </c>
      <c r="C849" s="37">
        <v>41209</v>
      </c>
      <c r="D849" s="37" t="s">
        <v>451</v>
      </c>
      <c r="E849" s="37">
        <v>41209</v>
      </c>
      <c r="F849" s="40" t="s">
        <v>532</v>
      </c>
      <c r="G849" s="40" t="s">
        <v>447</v>
      </c>
      <c r="H849" s="45"/>
      <c r="I849" s="277"/>
      <c r="J849" s="277"/>
      <c r="K849" s="38">
        <v>10000000</v>
      </c>
      <c r="L849" s="39" t="s">
        <v>8</v>
      </c>
      <c r="M849" s="39" t="s">
        <v>24</v>
      </c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29" s="226" customFormat="1" ht="15.75" customHeight="1">
      <c r="A850" s="219" t="str">
        <f>IF(B850&lt;&gt;"",IF(AND(B850&gt;=_TM1,B850&lt;=_TM2,OR(TH!L850="1111",TH!M850="1111")),TH!D850,""),"")</f>
        <v/>
      </c>
      <c r="B850" s="36">
        <f t="shared" si="25"/>
        <v>10</v>
      </c>
      <c r="C850" s="37">
        <v>41209</v>
      </c>
      <c r="D850" s="37" t="s">
        <v>451</v>
      </c>
      <c r="E850" s="37">
        <v>41209</v>
      </c>
      <c r="F850" s="40" t="s">
        <v>453</v>
      </c>
      <c r="G850" s="627" t="s">
        <v>447</v>
      </c>
      <c r="H850" s="45"/>
      <c r="I850" s="277"/>
      <c r="J850" s="277"/>
      <c r="K850" s="38">
        <v>20000</v>
      </c>
      <c r="L850" s="208" t="s">
        <v>87</v>
      </c>
      <c r="M850" s="39" t="s">
        <v>24</v>
      </c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29" s="226" customFormat="1" ht="15.75" customHeight="1">
      <c r="A851" s="219" t="str">
        <f>IF(B851&lt;&gt;"",IF(AND(B851&gt;=_TM1,B851&lt;=_TM2,OR(TH!L851="1111",TH!M851="1111")),TH!D851,""),"")</f>
        <v>C09</v>
      </c>
      <c r="B851" s="36">
        <f t="shared" si="25"/>
        <v>10</v>
      </c>
      <c r="C851" s="37">
        <v>41211</v>
      </c>
      <c r="D851" s="37" t="s">
        <v>550</v>
      </c>
      <c r="E851" s="37">
        <v>41211</v>
      </c>
      <c r="F851" s="40" t="s">
        <v>528</v>
      </c>
      <c r="G851" s="627" t="s">
        <v>447</v>
      </c>
      <c r="H851" s="45" t="s">
        <v>783</v>
      </c>
      <c r="I851" s="277"/>
      <c r="J851" s="277"/>
      <c r="K851" s="38">
        <v>50000000</v>
      </c>
      <c r="L851" s="208" t="s">
        <v>24</v>
      </c>
      <c r="M851" s="39" t="s">
        <v>49</v>
      </c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>x</v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29" s="226" customFormat="1" ht="15.75" customHeight="1">
      <c r="A852" s="219" t="str">
        <f>IF(B852&lt;&gt;"",IF(AND(B852&gt;=_TM1,B852&lt;=_TM2,OR(TH!L852="1111",TH!M852="1111")),TH!D852,""),"")</f>
        <v/>
      </c>
      <c r="B852" s="36">
        <f t="shared" si="25"/>
        <v>10</v>
      </c>
      <c r="C852" s="37">
        <v>41211</v>
      </c>
      <c r="D852" s="37" t="s">
        <v>451</v>
      </c>
      <c r="E852" s="37">
        <v>41211</v>
      </c>
      <c r="F852" s="40" t="s">
        <v>532</v>
      </c>
      <c r="G852" s="627" t="s">
        <v>447</v>
      </c>
      <c r="H852" s="45"/>
      <c r="I852" s="277"/>
      <c r="J852" s="277"/>
      <c r="K852" s="38">
        <v>50000000</v>
      </c>
      <c r="L852" s="208" t="s">
        <v>8</v>
      </c>
      <c r="M852" s="39" t="s">
        <v>24</v>
      </c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29" s="226" customFormat="1" ht="15.75" customHeight="1">
      <c r="A853" s="219" t="str">
        <f>IF(B853&lt;&gt;"",IF(AND(B853&gt;=_TM1,B853&lt;=_TM2,OR(TH!L853="1111",TH!M853="1111")),TH!D853,""),"")</f>
        <v/>
      </c>
      <c r="B853" s="36">
        <f t="shared" si="25"/>
        <v>10</v>
      </c>
      <c r="C853" s="37">
        <v>41211</v>
      </c>
      <c r="D853" s="37" t="s">
        <v>451</v>
      </c>
      <c r="E853" s="37">
        <v>41211</v>
      </c>
      <c r="F853" s="40" t="s">
        <v>453</v>
      </c>
      <c r="G853" s="627" t="s">
        <v>447</v>
      </c>
      <c r="H853" s="45"/>
      <c r="I853" s="277"/>
      <c r="J853" s="277"/>
      <c r="K853" s="38">
        <v>25000</v>
      </c>
      <c r="L853" s="208" t="s">
        <v>87</v>
      </c>
      <c r="M853" s="39" t="s">
        <v>24</v>
      </c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29" s="226" customFormat="1" ht="15.75" customHeight="1">
      <c r="A854" s="219" t="str">
        <f>IF(B854&lt;&gt;"",IF(AND(B854&gt;=_TM1,B854&lt;=_TM2,OR(TH!L854="1111",TH!M854="1111")),TH!D854,""),"")</f>
        <v/>
      </c>
      <c r="B854" s="36">
        <f t="shared" si="25"/>
        <v>10</v>
      </c>
      <c r="C854" s="37">
        <v>41211</v>
      </c>
      <c r="D854" s="37" t="s">
        <v>451</v>
      </c>
      <c r="E854" s="37">
        <v>41211</v>
      </c>
      <c r="F854" s="40" t="s">
        <v>942</v>
      </c>
      <c r="G854" s="627" t="s">
        <v>447</v>
      </c>
      <c r="H854" s="45"/>
      <c r="I854" s="277"/>
      <c r="J854" s="277"/>
      <c r="K854" s="38">
        <v>13990</v>
      </c>
      <c r="L854" s="39" t="s">
        <v>87</v>
      </c>
      <c r="M854" s="39" t="s">
        <v>24</v>
      </c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29" s="226" customFormat="1" ht="15.75" customHeight="1">
      <c r="A855" s="219" t="str">
        <f>IF(B855&lt;&gt;"",IF(AND(B855&gt;=_TM1,B855&lt;=_TM2,OR(TH!L855="1111",TH!M855="1111")),TH!D855,""),"")</f>
        <v/>
      </c>
      <c r="B855" s="36">
        <f t="shared" si="25"/>
        <v>10</v>
      </c>
      <c r="C855" s="37">
        <v>41213</v>
      </c>
      <c r="D855" s="205" t="s">
        <v>595</v>
      </c>
      <c r="E855" s="37">
        <v>41213</v>
      </c>
      <c r="F855" s="40" t="s">
        <v>1136</v>
      </c>
      <c r="G855" s="627" t="s">
        <v>1154</v>
      </c>
      <c r="H855" s="7" t="s">
        <v>564</v>
      </c>
      <c r="I855" s="277">
        <v>200</v>
      </c>
      <c r="J855" s="277">
        <v>18628</v>
      </c>
      <c r="K855" s="38">
        <v>3725600</v>
      </c>
      <c r="L855" s="39" t="s">
        <v>191</v>
      </c>
      <c r="M855" s="750" t="s">
        <v>8</v>
      </c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  <c r="AC855" s="226" t="str">
        <f>IF(ISNA(VLOOKUP(F855,NXT!$C$18:$C$347,1,0)),x,"")</f>
        <v/>
      </c>
    </row>
    <row r="856" spans="1:29" s="226" customFormat="1" ht="15.75" customHeight="1">
      <c r="A856" s="219" t="str">
        <f>IF(B856&lt;&gt;"",IF(AND(B856&gt;=_TM1,B856&lt;=_TM2,OR(TH!L856="1111",TH!M856="1111")),TH!D856,""),"")</f>
        <v/>
      </c>
      <c r="B856" s="36">
        <f t="shared" si="25"/>
        <v>10</v>
      </c>
      <c r="C856" s="37">
        <v>41213</v>
      </c>
      <c r="D856" s="205" t="s">
        <v>595</v>
      </c>
      <c r="E856" s="37">
        <v>41213</v>
      </c>
      <c r="F856" s="40" t="s">
        <v>650</v>
      </c>
      <c r="G856" s="627" t="s">
        <v>1154</v>
      </c>
      <c r="H856" s="7" t="s">
        <v>564</v>
      </c>
      <c r="I856" s="277"/>
      <c r="J856" s="277"/>
      <c r="K856" s="38">
        <v>372560</v>
      </c>
      <c r="L856" s="39" t="s">
        <v>9</v>
      </c>
      <c r="M856" s="750" t="s">
        <v>8</v>
      </c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29" s="226" customFormat="1" ht="15.75" customHeight="1">
      <c r="A857" s="219" t="str">
        <f>IF(B857&lt;&gt;"",IF(AND(B857&gt;=_TM1,B857&lt;=_TM2,OR(TH!L857="1111",TH!M857="1111")),TH!D857,""),"")</f>
        <v>C10</v>
      </c>
      <c r="B857" s="36">
        <f t="shared" si="25"/>
        <v>11</v>
      </c>
      <c r="C857" s="37">
        <v>41214</v>
      </c>
      <c r="D857" s="37" t="s">
        <v>566</v>
      </c>
      <c r="E857" s="37">
        <v>41214</v>
      </c>
      <c r="F857" s="40" t="s">
        <v>528</v>
      </c>
      <c r="G857" s="627" t="s">
        <v>447</v>
      </c>
      <c r="H857" s="45" t="s">
        <v>783</v>
      </c>
      <c r="I857" s="277"/>
      <c r="J857" s="277"/>
      <c r="K857" s="38">
        <v>62000000</v>
      </c>
      <c r="L857" s="39" t="s">
        <v>24</v>
      </c>
      <c r="M857" s="39" t="s">
        <v>49</v>
      </c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>x</v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29" s="226" customFormat="1" ht="15.75" customHeight="1">
      <c r="A858" s="219" t="str">
        <f>IF(B858&lt;&gt;"",IF(AND(B858&gt;=_TM1,B858&lt;=_TM2,OR(TH!L858="1111",TH!M858="1111")),TH!D858,""),"")</f>
        <v/>
      </c>
      <c r="B858" s="36">
        <f t="shared" si="25"/>
        <v>11</v>
      </c>
      <c r="C858" s="37">
        <v>41215</v>
      </c>
      <c r="D858" s="37" t="s">
        <v>451</v>
      </c>
      <c r="E858" s="37">
        <v>41215</v>
      </c>
      <c r="F858" s="40" t="s">
        <v>532</v>
      </c>
      <c r="G858" s="627" t="s">
        <v>447</v>
      </c>
      <c r="H858" s="45"/>
      <c r="I858" s="277"/>
      <c r="J858" s="277"/>
      <c r="K858" s="38">
        <v>5000000</v>
      </c>
      <c r="L858" s="39" t="s">
        <v>8</v>
      </c>
      <c r="M858" s="39" t="s">
        <v>24</v>
      </c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29" s="226" customFormat="1" ht="15.75" customHeight="1">
      <c r="A859" s="219" t="str">
        <f>IF(B859&lt;&gt;"",IF(AND(B859&gt;=_TM1,B859&lt;=_TM2,OR(TH!L859="1111",TH!M859="1111")),TH!D859,""),"")</f>
        <v/>
      </c>
      <c r="B859" s="36">
        <f t="shared" si="25"/>
        <v>11</v>
      </c>
      <c r="C859" s="37">
        <v>41215</v>
      </c>
      <c r="D859" s="37" t="s">
        <v>451</v>
      </c>
      <c r="E859" s="37">
        <v>41215</v>
      </c>
      <c r="F859" s="40" t="s">
        <v>453</v>
      </c>
      <c r="G859" s="627" t="s">
        <v>447</v>
      </c>
      <c r="H859" s="45"/>
      <c r="I859" s="277"/>
      <c r="J859" s="277"/>
      <c r="K859" s="38">
        <v>20000</v>
      </c>
      <c r="L859" s="39" t="s">
        <v>87</v>
      </c>
      <c r="M859" s="39" t="s">
        <v>24</v>
      </c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29" s="226" customFormat="1" ht="15.75" customHeight="1">
      <c r="A860" s="219" t="str">
        <f>IF(B860&lt;&gt;"",IF(AND(B860&gt;=_TM1,B860&lt;=_TM2,OR(TH!L860="1111",TH!M860="1111")),TH!D860,""),"")</f>
        <v/>
      </c>
      <c r="B860" s="36">
        <f t="shared" si="25"/>
        <v>11</v>
      </c>
      <c r="C860" s="37">
        <v>41215</v>
      </c>
      <c r="D860" s="37" t="s">
        <v>451</v>
      </c>
      <c r="E860" s="37">
        <v>41215</v>
      </c>
      <c r="F860" s="40" t="s">
        <v>532</v>
      </c>
      <c r="G860" s="627" t="s">
        <v>447</v>
      </c>
      <c r="H860" s="45"/>
      <c r="I860" s="277"/>
      <c r="J860" s="277"/>
      <c r="K860" s="38">
        <v>60000000</v>
      </c>
      <c r="L860" s="39" t="s">
        <v>8</v>
      </c>
      <c r="M860" s="39" t="s">
        <v>24</v>
      </c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29" s="226" customFormat="1" ht="15.75" customHeight="1">
      <c r="A861" s="219" t="str">
        <f>IF(B861&lt;&gt;"",IF(AND(B861&gt;=_TM1,B861&lt;=_TM2,OR(TH!L861="1111",TH!M861="1111")),TH!D861,""),"")</f>
        <v/>
      </c>
      <c r="B861" s="36">
        <f t="shared" si="25"/>
        <v>11</v>
      </c>
      <c r="C861" s="37">
        <v>41215</v>
      </c>
      <c r="D861" s="37" t="s">
        <v>451</v>
      </c>
      <c r="E861" s="37">
        <v>41215</v>
      </c>
      <c r="F861" s="40" t="s">
        <v>453</v>
      </c>
      <c r="G861" s="627" t="s">
        <v>447</v>
      </c>
      <c r="H861" s="45"/>
      <c r="I861" s="277"/>
      <c r="J861" s="277"/>
      <c r="K861" s="38">
        <v>30000</v>
      </c>
      <c r="L861" s="39" t="s">
        <v>87</v>
      </c>
      <c r="M861" s="39" t="s">
        <v>24</v>
      </c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29" s="226" customFormat="1" ht="15.75" customHeight="1">
      <c r="A862" s="219" t="str">
        <f>IF(B862&lt;&gt;"",IF(AND(B862&gt;=_TM1,B862&lt;=_TM2,OR(TH!L862="1111",TH!M862="1111")),TH!D862,""),"")</f>
        <v/>
      </c>
      <c r="B862" s="36">
        <f t="shared" si="25"/>
        <v>11</v>
      </c>
      <c r="C862" s="37">
        <v>41215</v>
      </c>
      <c r="D862" s="37" t="s">
        <v>451</v>
      </c>
      <c r="E862" s="37">
        <v>41215</v>
      </c>
      <c r="F862" s="40" t="s">
        <v>942</v>
      </c>
      <c r="G862" s="627" t="s">
        <v>447</v>
      </c>
      <c r="H862" s="45"/>
      <c r="I862" s="277"/>
      <c r="J862" s="277"/>
      <c r="K862" s="38">
        <v>18600</v>
      </c>
      <c r="L862" s="39" t="s">
        <v>87</v>
      </c>
      <c r="M862" s="39" t="s">
        <v>24</v>
      </c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29" s="226" customFormat="1" ht="15.75" customHeight="1">
      <c r="A863" s="219" t="str">
        <f>IF(B863&lt;&gt;"",IF(AND(B863&gt;=_TM1,B863&lt;=_TM2,OR(TH!L863="1111",TH!M863="1111")),TH!D863,""),"")</f>
        <v/>
      </c>
      <c r="B863" s="36">
        <f t="shared" si="25"/>
        <v>11</v>
      </c>
      <c r="C863" s="37">
        <v>41220</v>
      </c>
      <c r="D863" s="37" t="s">
        <v>450</v>
      </c>
      <c r="E863" s="37">
        <v>41220</v>
      </c>
      <c r="F863" s="40" t="s">
        <v>452</v>
      </c>
      <c r="G863" s="40" t="s">
        <v>447</v>
      </c>
      <c r="H863" s="207"/>
      <c r="I863" s="277"/>
      <c r="J863" s="277"/>
      <c r="K863" s="38">
        <v>41606356</v>
      </c>
      <c r="L863" s="39" t="s">
        <v>24</v>
      </c>
      <c r="M863" s="39" t="s">
        <v>352</v>
      </c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</row>
    <row r="864" spans="1:29" s="226" customFormat="1" ht="15.75" customHeight="1">
      <c r="A864" s="219" t="str">
        <f>IF(B864&lt;&gt;"",IF(AND(B864&gt;=_TM1,B864&lt;=_TM2,OR(TH!L864="1111",TH!M864="1111")),TH!D864,""),"")</f>
        <v/>
      </c>
      <c r="B864" s="36">
        <f t="shared" si="25"/>
        <v>11</v>
      </c>
      <c r="C864" s="37">
        <v>41221</v>
      </c>
      <c r="D864" s="37" t="s">
        <v>450</v>
      </c>
      <c r="E864" s="37">
        <v>41221</v>
      </c>
      <c r="F864" s="40" t="s">
        <v>452</v>
      </c>
      <c r="G864" s="40" t="s">
        <v>447</v>
      </c>
      <c r="H864" s="45"/>
      <c r="I864" s="277"/>
      <c r="J864" s="277"/>
      <c r="K864" s="38">
        <v>18293000</v>
      </c>
      <c r="L864" s="39" t="s">
        <v>24</v>
      </c>
      <c r="M864" s="39" t="s">
        <v>352</v>
      </c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</row>
    <row r="865" spans="1:29" s="226" customFormat="1" ht="15.75" customHeight="1">
      <c r="A865" s="219" t="str">
        <f>IF(B865&lt;&gt;"",IF(AND(B865&gt;=_TM1,B865&lt;=_TM2,OR(TH!L865="1111",TH!M865="1111")),TH!D865,""),"")</f>
        <v>T01</v>
      </c>
      <c r="B865" s="36">
        <f t="shared" si="25"/>
        <v>11</v>
      </c>
      <c r="C865" s="37">
        <v>41222</v>
      </c>
      <c r="D865" s="37" t="s">
        <v>540</v>
      </c>
      <c r="E865" s="37">
        <v>41222</v>
      </c>
      <c r="F865" s="40" t="s">
        <v>627</v>
      </c>
      <c r="G865" s="40" t="s">
        <v>447</v>
      </c>
      <c r="H865" s="45" t="s">
        <v>783</v>
      </c>
      <c r="I865" s="277"/>
      <c r="J865" s="277"/>
      <c r="K865" s="38">
        <v>41000000</v>
      </c>
      <c r="L865" s="39" t="s">
        <v>49</v>
      </c>
      <c r="M865" s="39" t="s">
        <v>24</v>
      </c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>x</v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29" s="226" customFormat="1" ht="15.75" customHeight="1">
      <c r="A866" s="219" t="str">
        <f>IF(B866&lt;&gt;"",IF(AND(B866&gt;=_TM1,B866&lt;=_TM2,OR(TH!L866="1111",TH!M866="1111")),TH!D866,""),"")</f>
        <v>T02</v>
      </c>
      <c r="B866" s="36">
        <f t="shared" si="25"/>
        <v>11</v>
      </c>
      <c r="C866" s="37">
        <v>41222</v>
      </c>
      <c r="D866" s="37" t="s">
        <v>541</v>
      </c>
      <c r="E866" s="37">
        <v>41222</v>
      </c>
      <c r="F866" s="40" t="s">
        <v>627</v>
      </c>
      <c r="G866" s="40" t="s">
        <v>447</v>
      </c>
      <c r="H866" s="45" t="s">
        <v>783</v>
      </c>
      <c r="I866" s="277"/>
      <c r="J866" s="277"/>
      <c r="K866" s="38">
        <v>19000000</v>
      </c>
      <c r="L866" s="39" t="s">
        <v>49</v>
      </c>
      <c r="M866" s="39" t="s">
        <v>24</v>
      </c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>x</v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29" s="226" customFormat="1" ht="15.75" customHeight="1">
      <c r="A867" s="219" t="str">
        <f>IF(B867&lt;&gt;"",IF(AND(B867&gt;=_TM1,B867&lt;=_TM2,OR(TH!L867="1111",TH!M867="1111")),TH!D867,""),"")</f>
        <v>C11</v>
      </c>
      <c r="B867" s="36">
        <f t="shared" si="25"/>
        <v>11</v>
      </c>
      <c r="C867" s="37">
        <v>41223</v>
      </c>
      <c r="D867" s="37" t="s">
        <v>567</v>
      </c>
      <c r="E867" s="37">
        <v>41223</v>
      </c>
      <c r="F867" s="40" t="s">
        <v>1155</v>
      </c>
      <c r="G867" s="40" t="s">
        <v>1156</v>
      </c>
      <c r="H867" s="45" t="s">
        <v>533</v>
      </c>
      <c r="I867" s="277"/>
      <c r="J867" s="277"/>
      <c r="K867" s="38">
        <v>4580000</v>
      </c>
      <c r="L867" s="39" t="s">
        <v>199</v>
      </c>
      <c r="M867" s="39" t="s">
        <v>49</v>
      </c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>x</v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29" s="226" customFormat="1" ht="15.75" customHeight="1">
      <c r="A868" s="219" t="str">
        <f>IF(B868&lt;&gt;"",IF(AND(B868&gt;=_TM1,B868&lt;=_TM2,OR(TH!L868="1111",TH!M868="1111")),TH!D868,""),"")</f>
        <v>C11</v>
      </c>
      <c r="B868" s="36">
        <f t="shared" si="25"/>
        <v>11</v>
      </c>
      <c r="C868" s="37">
        <v>41223</v>
      </c>
      <c r="D868" s="37" t="s">
        <v>567</v>
      </c>
      <c r="E868" s="37">
        <v>41223</v>
      </c>
      <c r="F868" s="40" t="s">
        <v>459</v>
      </c>
      <c r="G868" s="40" t="s">
        <v>1156</v>
      </c>
      <c r="H868" s="45" t="s">
        <v>533</v>
      </c>
      <c r="I868" s="277"/>
      <c r="J868" s="277"/>
      <c r="K868" s="38">
        <v>458000</v>
      </c>
      <c r="L868" s="39" t="s">
        <v>9</v>
      </c>
      <c r="M868" s="39" t="s">
        <v>49</v>
      </c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>x</v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29" s="226" customFormat="1" ht="15.75" customHeight="1">
      <c r="A869" s="219" t="str">
        <f>IF(B869&lt;&gt;"",IF(AND(B869&gt;=_TM1,B869&lt;=_TM2,OR(TH!L869="1111",TH!M869="1111")),TH!D869,""),"")</f>
        <v>C12</v>
      </c>
      <c r="B869" s="36">
        <f t="shared" si="25"/>
        <v>11</v>
      </c>
      <c r="C869" s="37">
        <v>41232</v>
      </c>
      <c r="D869" s="37" t="s">
        <v>568</v>
      </c>
      <c r="E869" s="37">
        <v>41232</v>
      </c>
      <c r="F869" s="40" t="s">
        <v>1157</v>
      </c>
      <c r="G869" s="40" t="s">
        <v>1158</v>
      </c>
      <c r="H869" s="45" t="s">
        <v>533</v>
      </c>
      <c r="I869" s="277"/>
      <c r="J869" s="277"/>
      <c r="K869" s="38">
        <v>1340000</v>
      </c>
      <c r="L869" s="39" t="s">
        <v>199</v>
      </c>
      <c r="M869" s="39" t="s">
        <v>49</v>
      </c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>x</v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29" s="226" customFormat="1" ht="15.75" customHeight="1">
      <c r="A870" s="219" t="str">
        <f>IF(B870&lt;&gt;"",IF(AND(B870&gt;=_TM1,B870&lt;=_TM2,OR(TH!L870="1111",TH!M870="1111")),TH!D870,""),"")</f>
        <v>C12</v>
      </c>
      <c r="B870" s="36">
        <f t="shared" si="25"/>
        <v>11</v>
      </c>
      <c r="C870" s="37">
        <v>41232</v>
      </c>
      <c r="D870" s="37" t="s">
        <v>568</v>
      </c>
      <c r="E870" s="37">
        <v>41232</v>
      </c>
      <c r="F870" s="40" t="s">
        <v>459</v>
      </c>
      <c r="G870" s="40" t="s">
        <v>1158</v>
      </c>
      <c r="H870" s="45" t="s">
        <v>533</v>
      </c>
      <c r="I870" s="277"/>
      <c r="J870" s="277"/>
      <c r="K870" s="38">
        <v>134000</v>
      </c>
      <c r="L870" s="39" t="s">
        <v>9</v>
      </c>
      <c r="M870" s="39" t="s">
        <v>49</v>
      </c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>x</v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29" s="226" customFormat="1" ht="15.75" customHeight="1">
      <c r="A871" s="219" t="str">
        <f>IF(B871&lt;&gt;"",IF(AND(B871&gt;=_TM1,B871&lt;=_TM2,OR(TH!L871="1111",TH!M871="1111")),TH!D871,""),"")</f>
        <v/>
      </c>
      <c r="B871" s="36">
        <f t="shared" si="25"/>
        <v>11</v>
      </c>
      <c r="C871" s="37">
        <v>41237</v>
      </c>
      <c r="D871" s="37" t="s">
        <v>450</v>
      </c>
      <c r="E871" s="37">
        <v>41237</v>
      </c>
      <c r="F871" s="40" t="s">
        <v>530</v>
      </c>
      <c r="G871" s="40" t="s">
        <v>447</v>
      </c>
      <c r="H871" s="45"/>
      <c r="I871" s="277"/>
      <c r="J871" s="277"/>
      <c r="K871" s="38">
        <v>10978</v>
      </c>
      <c r="L871" s="39" t="s">
        <v>24</v>
      </c>
      <c r="M871" s="39" t="s">
        <v>41</v>
      </c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29" s="226" customFormat="1" ht="15.75" customHeight="1">
      <c r="A872" s="219" t="str">
        <f>IF(B872&lt;&gt;"",IF(AND(B872&gt;=_TM1,B872&lt;=_TM2,OR(TH!L872="1111",TH!M872="1111")),TH!D872,""),"")</f>
        <v/>
      </c>
      <c r="B872" s="36">
        <f t="shared" ref="B872:B935" si="27">IF(C872&lt;&gt;"",MONTH(C872),"")</f>
        <v>11</v>
      </c>
      <c r="C872" s="37">
        <v>41239</v>
      </c>
      <c r="D872" s="37" t="s">
        <v>450</v>
      </c>
      <c r="E872" s="37">
        <v>41239</v>
      </c>
      <c r="F872" s="40" t="s">
        <v>452</v>
      </c>
      <c r="G872" s="40" t="s">
        <v>447</v>
      </c>
      <c r="H872" s="225"/>
      <c r="I872" s="278"/>
      <c r="J872" s="278"/>
      <c r="K872" s="38">
        <v>9064000</v>
      </c>
      <c r="L872" s="39" t="s">
        <v>24</v>
      </c>
      <c r="M872" s="39" t="s">
        <v>352</v>
      </c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</row>
    <row r="873" spans="1:29" s="226" customFormat="1" ht="15.75" customHeight="1">
      <c r="A873" s="219" t="str">
        <f>IF(B873&lt;&gt;"",IF(AND(B873&gt;=_TM1,B873&lt;=_TM2,OR(TH!L873="1111",TH!M873="1111")),TH!D873,""),"")</f>
        <v>T03</v>
      </c>
      <c r="B873" s="36">
        <f t="shared" si="27"/>
        <v>11</v>
      </c>
      <c r="C873" s="37">
        <v>41242</v>
      </c>
      <c r="D873" s="37" t="s">
        <v>569</v>
      </c>
      <c r="E873" s="37">
        <v>41242</v>
      </c>
      <c r="F873" s="40" t="s">
        <v>627</v>
      </c>
      <c r="G873" s="40" t="s">
        <v>447</v>
      </c>
      <c r="H873" s="45" t="s">
        <v>1159</v>
      </c>
      <c r="I873" s="277"/>
      <c r="J873" s="277"/>
      <c r="K873" s="38">
        <v>9000000</v>
      </c>
      <c r="L873" s="39" t="s">
        <v>49</v>
      </c>
      <c r="M873" s="39" t="s">
        <v>24</v>
      </c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>x</v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29" s="226" customFormat="1" ht="15.75" customHeight="1">
      <c r="A874" s="219" t="str">
        <f>IF(B874&lt;&gt;"",IF(AND(B874&gt;=_TM1,B874&lt;=_TM2,OR(TH!L874="1111",TH!M874="1111")),TH!D874,""),"")</f>
        <v/>
      </c>
      <c r="B874" s="36">
        <f t="shared" si="27"/>
        <v>12</v>
      </c>
      <c r="C874" s="37">
        <v>41244</v>
      </c>
      <c r="D874" s="37" t="s">
        <v>450</v>
      </c>
      <c r="E874" s="37">
        <v>41244</v>
      </c>
      <c r="F874" s="40" t="s">
        <v>452</v>
      </c>
      <c r="G874" s="40" t="s">
        <v>447</v>
      </c>
      <c r="H874" s="45"/>
      <c r="I874" s="277"/>
      <c r="J874" s="277"/>
      <c r="K874" s="38">
        <v>25265680</v>
      </c>
      <c r="L874" s="39" t="s">
        <v>24</v>
      </c>
      <c r="M874" s="39" t="s">
        <v>352</v>
      </c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</row>
    <row r="875" spans="1:29" s="226" customFormat="1" ht="15.75" customHeight="1">
      <c r="A875" s="219" t="str">
        <f>IF(B875&lt;&gt;"",IF(AND(B875&gt;=_TM1,B875&lt;=_TM2,OR(TH!L875="1111",TH!M875="1111")),TH!D875,""),"")</f>
        <v>C13</v>
      </c>
      <c r="B875" s="36">
        <f t="shared" si="27"/>
        <v>12</v>
      </c>
      <c r="C875" s="37">
        <v>41246</v>
      </c>
      <c r="D875" s="37" t="s">
        <v>570</v>
      </c>
      <c r="E875" s="37">
        <v>41246</v>
      </c>
      <c r="F875" s="40" t="s">
        <v>683</v>
      </c>
      <c r="G875" s="40" t="s">
        <v>1160</v>
      </c>
      <c r="H875" s="225" t="s">
        <v>685</v>
      </c>
      <c r="I875" s="278"/>
      <c r="J875" s="278"/>
      <c r="K875" s="38">
        <v>448464</v>
      </c>
      <c r="L875" s="39" t="s">
        <v>87</v>
      </c>
      <c r="M875" s="39" t="s">
        <v>49</v>
      </c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>x</v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29" s="226" customFormat="1" ht="15.75" customHeight="1">
      <c r="A876" s="219" t="str">
        <f>IF(B876&lt;&gt;"",IF(AND(B876&gt;=_TM1,B876&lt;=_TM2,OR(TH!L876="1111",TH!M876="1111")),TH!D876,""),"")</f>
        <v>C13</v>
      </c>
      <c r="B876" s="36">
        <f t="shared" si="27"/>
        <v>12</v>
      </c>
      <c r="C876" s="37">
        <v>41246</v>
      </c>
      <c r="D876" s="37" t="s">
        <v>570</v>
      </c>
      <c r="E876" s="37">
        <v>41246</v>
      </c>
      <c r="F876" s="40" t="s">
        <v>686</v>
      </c>
      <c r="G876" s="40" t="s">
        <v>1160</v>
      </c>
      <c r="H876" s="45" t="s">
        <v>685</v>
      </c>
      <c r="I876" s="277"/>
      <c r="J876" s="277"/>
      <c r="K876" s="38">
        <v>44847</v>
      </c>
      <c r="L876" s="39" t="s">
        <v>9</v>
      </c>
      <c r="M876" s="39" t="s">
        <v>49</v>
      </c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>x</v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29" s="226" customFormat="1" ht="15.75" customHeight="1">
      <c r="A877" s="219" t="str">
        <f>IF(B877&lt;&gt;"",IF(AND(B877&gt;=_TM1,B877&lt;=_TM2,OR(TH!L877="1111",TH!M877="1111")),TH!D877,""),"")</f>
        <v/>
      </c>
      <c r="B877" s="36">
        <f t="shared" si="27"/>
        <v>12</v>
      </c>
      <c r="C877" s="37">
        <v>41247</v>
      </c>
      <c r="D877" s="37" t="s">
        <v>450</v>
      </c>
      <c r="E877" s="37">
        <v>41247</v>
      </c>
      <c r="F877" s="40" t="s">
        <v>452</v>
      </c>
      <c r="G877" s="40" t="s">
        <v>447</v>
      </c>
      <c r="H877" s="45"/>
      <c r="I877" s="277"/>
      <c r="J877" s="277"/>
      <c r="K877" s="38">
        <v>10094700</v>
      </c>
      <c r="L877" s="39" t="s">
        <v>24</v>
      </c>
      <c r="M877" s="39" t="s">
        <v>352</v>
      </c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</row>
    <row r="878" spans="1:29" s="226" customFormat="1" ht="15.75" customHeight="1">
      <c r="A878" s="219" t="str">
        <f>IF(B878&lt;&gt;"",IF(AND(B878&gt;=_TM1,B878&lt;=_TM2,OR(TH!L878="1111",TH!M878="1111")),TH!D878,""),"")</f>
        <v>T04</v>
      </c>
      <c r="B878" s="36">
        <f t="shared" si="27"/>
        <v>12</v>
      </c>
      <c r="C878" s="37">
        <v>41247</v>
      </c>
      <c r="D878" s="37" t="s">
        <v>574</v>
      </c>
      <c r="E878" s="37">
        <v>41247</v>
      </c>
      <c r="F878" s="40" t="s">
        <v>627</v>
      </c>
      <c r="G878" s="627" t="s">
        <v>447</v>
      </c>
      <c r="H878" s="207" t="s">
        <v>783</v>
      </c>
      <c r="I878" s="277"/>
      <c r="J878" s="277"/>
      <c r="K878" s="38">
        <v>25000000</v>
      </c>
      <c r="L878" s="39" t="s">
        <v>49</v>
      </c>
      <c r="M878" s="39" t="s">
        <v>24</v>
      </c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>x</v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29" s="226" customFormat="1" ht="15.75" customHeight="1">
      <c r="A879" s="219" t="str">
        <f>IF(B879&lt;&gt;"",IF(AND(B879&gt;=_TM1,B879&lt;=_TM2,OR(TH!L879="1111",TH!M879="1111")),TH!D879,""),"")</f>
        <v/>
      </c>
      <c r="B879" s="36">
        <f t="shared" si="27"/>
        <v>12</v>
      </c>
      <c r="C879" s="37">
        <v>41251</v>
      </c>
      <c r="D879" s="205" t="s">
        <v>595</v>
      </c>
      <c r="E879" s="37">
        <v>41251</v>
      </c>
      <c r="F879" s="40" t="s">
        <v>1161</v>
      </c>
      <c r="G879" s="627" t="s">
        <v>1162</v>
      </c>
      <c r="H879" s="207" t="s">
        <v>558</v>
      </c>
      <c r="I879" s="277">
        <v>754</v>
      </c>
      <c r="J879" s="277">
        <v>13338</v>
      </c>
      <c r="K879" s="38">
        <v>10056852</v>
      </c>
      <c r="L879" s="39" t="s">
        <v>191</v>
      </c>
      <c r="M879" s="750" t="s">
        <v>8</v>
      </c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  <c r="AC879" s="226" t="str">
        <f>IF(ISNA(VLOOKUP(F879,NXT!$C$18:$C$347,1,0)),x,"")</f>
        <v/>
      </c>
    </row>
    <row r="880" spans="1:29" s="226" customFormat="1" ht="15.75" customHeight="1">
      <c r="A880" s="219" t="str">
        <f>IF(B880&lt;&gt;"",IF(AND(B880&gt;=_TM1,B880&lt;=_TM2,OR(TH!L880="1111",TH!M880="1111")),TH!D880,""),"")</f>
        <v/>
      </c>
      <c r="B880" s="36">
        <f t="shared" si="27"/>
        <v>12</v>
      </c>
      <c r="C880" s="37">
        <v>41251</v>
      </c>
      <c r="D880" s="205" t="s">
        <v>595</v>
      </c>
      <c r="E880" s="205">
        <v>41251</v>
      </c>
      <c r="F880" s="206" t="s">
        <v>1163</v>
      </c>
      <c r="G880" s="206" t="s">
        <v>1162</v>
      </c>
      <c r="H880" s="207" t="s">
        <v>558</v>
      </c>
      <c r="I880" s="277">
        <v>209</v>
      </c>
      <c r="J880" s="277">
        <v>18314</v>
      </c>
      <c r="K880" s="38">
        <v>3827626</v>
      </c>
      <c r="L880" s="208" t="s">
        <v>191</v>
      </c>
      <c r="M880" s="750" t="s">
        <v>8</v>
      </c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  <c r="AC880" s="226" t="str">
        <f>IF(ISNA(VLOOKUP(F880,NXT!$C$18:$C$347,1,0)),x,"")</f>
        <v/>
      </c>
    </row>
    <row r="881" spans="1:29" s="226" customFormat="1" ht="15.75" customHeight="1">
      <c r="A881" s="219" t="str">
        <f>IF(B881&lt;&gt;"",IF(AND(B881&gt;=_TM1,B881&lt;=_TM2,OR(TH!L881="1111",TH!M881="1111")),TH!D881,""),"")</f>
        <v/>
      </c>
      <c r="B881" s="36">
        <f t="shared" si="27"/>
        <v>12</v>
      </c>
      <c r="C881" s="37">
        <v>41251</v>
      </c>
      <c r="D881" s="205" t="s">
        <v>595</v>
      </c>
      <c r="E881" s="205">
        <v>41251</v>
      </c>
      <c r="F881" s="206" t="s">
        <v>1164</v>
      </c>
      <c r="G881" s="206" t="s">
        <v>1162</v>
      </c>
      <c r="H881" s="207" t="s">
        <v>558</v>
      </c>
      <c r="I881" s="277">
        <v>150</v>
      </c>
      <c r="J881" s="277">
        <v>28350</v>
      </c>
      <c r="K881" s="38">
        <v>4252500</v>
      </c>
      <c r="L881" s="208" t="s">
        <v>191</v>
      </c>
      <c r="M881" s="750" t="s">
        <v>8</v>
      </c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  <c r="AC881" s="226" t="str">
        <f>IF(ISNA(VLOOKUP(F881,NXT!$C$18:$C$347,1,0)),x,"")</f>
        <v/>
      </c>
    </row>
    <row r="882" spans="1:29" s="226" customFormat="1" ht="15.75" customHeight="1">
      <c r="A882" s="219" t="str">
        <f>IF(B882&lt;&gt;"",IF(AND(B882&gt;=_TM1,B882&lt;=_TM2,OR(TH!L882="1111",TH!M882="1111")),TH!D882,""),"")</f>
        <v/>
      </c>
      <c r="B882" s="36">
        <f t="shared" si="27"/>
        <v>12</v>
      </c>
      <c r="C882" s="37">
        <v>41251</v>
      </c>
      <c r="D882" s="205" t="s">
        <v>595</v>
      </c>
      <c r="E882" s="205">
        <v>41251</v>
      </c>
      <c r="F882" s="206" t="s">
        <v>559</v>
      </c>
      <c r="G882" s="206" t="s">
        <v>1162</v>
      </c>
      <c r="H882" s="207" t="s">
        <v>558</v>
      </c>
      <c r="I882" s="277"/>
      <c r="J882" s="277"/>
      <c r="K882" s="38">
        <v>1813698</v>
      </c>
      <c r="L882" s="208" t="s">
        <v>9</v>
      </c>
      <c r="M882" s="750" t="s">
        <v>8</v>
      </c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9" s="226" customFormat="1" ht="15.75" customHeight="1">
      <c r="A883" s="219" t="str">
        <f>IF(B883&lt;&gt;"",IF(AND(B883&gt;=_TM1,B883&lt;=_TM2,OR(TH!L883="1111",TH!M883="1111")),TH!D883,""),"")</f>
        <v/>
      </c>
      <c r="B883" s="36">
        <f t="shared" si="27"/>
        <v>12</v>
      </c>
      <c r="C883" s="37">
        <v>41253</v>
      </c>
      <c r="D883" s="205" t="s">
        <v>596</v>
      </c>
      <c r="E883" s="37">
        <v>41253</v>
      </c>
      <c r="F883" s="40" t="s">
        <v>1164</v>
      </c>
      <c r="G883" s="627" t="s">
        <v>1165</v>
      </c>
      <c r="H883" s="225" t="s">
        <v>558</v>
      </c>
      <c r="I883" s="278">
        <v>350</v>
      </c>
      <c r="J883" s="278">
        <v>28350</v>
      </c>
      <c r="K883" s="38">
        <v>9922500</v>
      </c>
      <c r="L883" s="208" t="s">
        <v>191</v>
      </c>
      <c r="M883" s="750" t="s">
        <v>8</v>
      </c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  <c r="AC883" s="226" t="str">
        <f>IF(ISNA(VLOOKUP(F883,NXT!$C$18:$C$347,1,0)),x,"")</f>
        <v/>
      </c>
    </row>
    <row r="884" spans="1:29" s="226" customFormat="1" ht="15.75" customHeight="1">
      <c r="A884" s="219" t="str">
        <f>IF(B884&lt;&gt;"",IF(AND(B884&gt;=_TM1,B884&lt;=_TM2,OR(TH!L884="1111",TH!M884="1111")),TH!D884,""),"")</f>
        <v/>
      </c>
      <c r="B884" s="36">
        <f t="shared" si="27"/>
        <v>12</v>
      </c>
      <c r="C884" s="37">
        <v>41253</v>
      </c>
      <c r="D884" s="205" t="s">
        <v>596</v>
      </c>
      <c r="E884" s="37">
        <v>41253</v>
      </c>
      <c r="F884" s="40" t="s">
        <v>1166</v>
      </c>
      <c r="G884" s="627" t="s">
        <v>1165</v>
      </c>
      <c r="H884" s="225" t="s">
        <v>558</v>
      </c>
      <c r="I884" s="278">
        <v>310</v>
      </c>
      <c r="J884" s="278">
        <v>20815</v>
      </c>
      <c r="K884" s="38">
        <v>6452650</v>
      </c>
      <c r="L884" s="208" t="s">
        <v>191</v>
      </c>
      <c r="M884" s="750" t="s">
        <v>8</v>
      </c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  <c r="AC884" s="226" t="str">
        <f>IF(ISNA(VLOOKUP(F884,NXT!$C$18:$C$347,1,0)),x,"")</f>
        <v/>
      </c>
    </row>
    <row r="885" spans="1:29" s="226" customFormat="1" ht="15.75" customHeight="1">
      <c r="A885" s="219" t="str">
        <f>IF(B885&lt;&gt;"",IF(AND(B885&gt;=_TM1,B885&lt;=_TM2,OR(TH!L885="1111",TH!M885="1111")),TH!D885,""),"")</f>
        <v/>
      </c>
      <c r="B885" s="36">
        <f t="shared" si="27"/>
        <v>12</v>
      </c>
      <c r="C885" s="37">
        <v>41253</v>
      </c>
      <c r="D885" s="205" t="s">
        <v>596</v>
      </c>
      <c r="E885" s="205">
        <v>41253</v>
      </c>
      <c r="F885" s="206" t="s">
        <v>1167</v>
      </c>
      <c r="G885" s="206" t="s">
        <v>1165</v>
      </c>
      <c r="H885" s="207" t="s">
        <v>558</v>
      </c>
      <c r="I885" s="277">
        <v>150</v>
      </c>
      <c r="J885" s="277">
        <v>11780</v>
      </c>
      <c r="K885" s="38">
        <v>1767000</v>
      </c>
      <c r="L885" s="208" t="s">
        <v>191</v>
      </c>
      <c r="M885" s="750" t="s">
        <v>8</v>
      </c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  <c r="AC885" s="226" t="str">
        <f>IF(ISNA(VLOOKUP(F885,NXT!$C$18:$C$347,1,0)),x,"")</f>
        <v/>
      </c>
    </row>
    <row r="886" spans="1:29" s="226" customFormat="1" ht="15.75" customHeight="1">
      <c r="A886" s="219" t="str">
        <f>IF(B886&lt;&gt;"",IF(AND(B886&gt;=_TM1,B886&lt;=_TM2,OR(TH!L886="1111",TH!M886="1111")),TH!D886,""),"")</f>
        <v/>
      </c>
      <c r="B886" s="36">
        <f t="shared" si="27"/>
        <v>12</v>
      </c>
      <c r="C886" s="37">
        <v>41253</v>
      </c>
      <c r="D886" s="205" t="s">
        <v>596</v>
      </c>
      <c r="E886" s="205">
        <v>41253</v>
      </c>
      <c r="F886" s="206" t="s">
        <v>559</v>
      </c>
      <c r="G886" s="206" t="s">
        <v>1165</v>
      </c>
      <c r="H886" s="207" t="s">
        <v>558</v>
      </c>
      <c r="I886" s="277"/>
      <c r="J886" s="277"/>
      <c r="K886" s="38">
        <v>1814215</v>
      </c>
      <c r="L886" s="208" t="s">
        <v>9</v>
      </c>
      <c r="M886" s="750" t="s">
        <v>8</v>
      </c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9" s="226" customFormat="1" ht="15.75" customHeight="1">
      <c r="A887" s="219" t="str">
        <f>IF(B887&lt;&gt;"",IF(AND(B887&gt;=_TM1,B887&lt;=_TM2,OR(TH!L887="1111",TH!M887="1111")),TH!D887,""),"")</f>
        <v/>
      </c>
      <c r="B887" s="36">
        <f t="shared" si="27"/>
        <v>12</v>
      </c>
      <c r="C887" s="37">
        <v>41254</v>
      </c>
      <c r="D887" s="205" t="s">
        <v>597</v>
      </c>
      <c r="E887" s="205">
        <v>41254</v>
      </c>
      <c r="F887" s="206" t="s">
        <v>1166</v>
      </c>
      <c r="G887" s="206" t="s">
        <v>1168</v>
      </c>
      <c r="H887" s="207" t="s">
        <v>558</v>
      </c>
      <c r="I887" s="277">
        <v>450</v>
      </c>
      <c r="J887" s="277">
        <v>20815</v>
      </c>
      <c r="K887" s="38">
        <v>9366750</v>
      </c>
      <c r="L887" s="208" t="s">
        <v>191</v>
      </c>
      <c r="M887" s="750" t="s">
        <v>8</v>
      </c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  <c r="AC887" s="226" t="str">
        <f>IF(ISNA(VLOOKUP(F887,NXT!$C$18:$C$347,1,0)),x,"")</f>
        <v/>
      </c>
    </row>
    <row r="888" spans="1:29" s="226" customFormat="1" ht="15.75" customHeight="1">
      <c r="A888" s="219" t="str">
        <f>IF(B888&lt;&gt;"",IF(AND(B888&gt;=_TM1,B888&lt;=_TM2,OR(TH!L888="1111",TH!M888="1111")),TH!D888,""),"")</f>
        <v/>
      </c>
      <c r="B888" s="36">
        <f t="shared" si="27"/>
        <v>12</v>
      </c>
      <c r="C888" s="37">
        <v>41254</v>
      </c>
      <c r="D888" s="205" t="s">
        <v>597</v>
      </c>
      <c r="E888" s="205">
        <v>41254</v>
      </c>
      <c r="F888" s="206" t="s">
        <v>1169</v>
      </c>
      <c r="G888" s="206" t="s">
        <v>1168</v>
      </c>
      <c r="H888" s="207" t="s">
        <v>558</v>
      </c>
      <c r="I888" s="277">
        <v>202</v>
      </c>
      <c r="J888" s="277">
        <v>20992</v>
      </c>
      <c r="K888" s="38">
        <v>4240384</v>
      </c>
      <c r="L888" s="208" t="s">
        <v>191</v>
      </c>
      <c r="M888" s="750" t="s">
        <v>8</v>
      </c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  <c r="AC888" s="226" t="str">
        <f>IF(ISNA(VLOOKUP(F888,NXT!$C$18:$C$347,1,0)),x,"")</f>
        <v/>
      </c>
    </row>
    <row r="889" spans="1:29" s="226" customFormat="1" ht="15.75" customHeight="1">
      <c r="A889" s="219" t="str">
        <f>IF(B889&lt;&gt;"",IF(AND(B889&gt;=_TM1,B889&lt;=_TM2,OR(TH!L889="1111",TH!M889="1111")),TH!D889,""),"")</f>
        <v/>
      </c>
      <c r="B889" s="36">
        <f t="shared" si="27"/>
        <v>12</v>
      </c>
      <c r="C889" s="37">
        <v>41254</v>
      </c>
      <c r="D889" s="205" t="s">
        <v>597</v>
      </c>
      <c r="E889" s="205">
        <v>41254</v>
      </c>
      <c r="F889" s="206" t="s">
        <v>1170</v>
      </c>
      <c r="G889" s="206" t="s">
        <v>1168</v>
      </c>
      <c r="H889" s="207" t="s">
        <v>558</v>
      </c>
      <c r="I889" s="277">
        <v>218</v>
      </c>
      <c r="J889" s="277">
        <v>20910</v>
      </c>
      <c r="K889" s="38">
        <v>4558380</v>
      </c>
      <c r="L889" s="208" t="s">
        <v>191</v>
      </c>
      <c r="M889" s="750" t="s">
        <v>8</v>
      </c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  <c r="AC889" s="226" t="str">
        <f>IF(ISNA(VLOOKUP(F889,NXT!$C$18:$C$347,1,0)),x,"")</f>
        <v/>
      </c>
    </row>
    <row r="890" spans="1:29" s="226" customFormat="1" ht="15.75" customHeight="1">
      <c r="A890" s="219" t="str">
        <f>IF(B890&lt;&gt;"",IF(AND(B890&gt;=_TM1,B890&lt;=_TM2,OR(TH!L890="1111",TH!M890="1111")),TH!D890,""),"")</f>
        <v/>
      </c>
      <c r="B890" s="36">
        <f t="shared" si="27"/>
        <v>12</v>
      </c>
      <c r="C890" s="37">
        <v>41254</v>
      </c>
      <c r="D890" s="205" t="s">
        <v>597</v>
      </c>
      <c r="E890" s="205">
        <v>41254</v>
      </c>
      <c r="F890" s="206" t="s">
        <v>559</v>
      </c>
      <c r="G890" s="206" t="s">
        <v>1168</v>
      </c>
      <c r="H890" s="207" t="s">
        <v>558</v>
      </c>
      <c r="I890" s="277"/>
      <c r="J890" s="277"/>
      <c r="K890" s="38">
        <v>1816551</v>
      </c>
      <c r="L890" s="208" t="s">
        <v>9</v>
      </c>
      <c r="M890" s="750" t="s">
        <v>8</v>
      </c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9" s="226" customFormat="1" ht="15.75" customHeight="1">
      <c r="A891" s="219" t="str">
        <f>IF(B891&lt;&gt;"",IF(AND(B891&gt;=_TM1,B891&lt;=_TM2,OR(TH!L891="1111",TH!M891="1111")),TH!D891,""),"")</f>
        <v>C14</v>
      </c>
      <c r="B891" s="36">
        <f t="shared" si="27"/>
        <v>12</v>
      </c>
      <c r="C891" s="37">
        <v>41256</v>
      </c>
      <c r="D891" s="205" t="s">
        <v>571</v>
      </c>
      <c r="E891" s="205">
        <v>41256</v>
      </c>
      <c r="F891" s="206" t="s">
        <v>528</v>
      </c>
      <c r="G891" s="206" t="s">
        <v>447</v>
      </c>
      <c r="H891" s="207" t="s">
        <v>783</v>
      </c>
      <c r="I891" s="277"/>
      <c r="J891" s="277"/>
      <c r="K891" s="38">
        <v>35000000</v>
      </c>
      <c r="L891" s="208" t="s">
        <v>24</v>
      </c>
      <c r="M891" s="208" t="s">
        <v>49</v>
      </c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>x</v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9" s="226" customFormat="1" ht="15.75" customHeight="1">
      <c r="A892" s="219" t="str">
        <f>IF(B892&lt;&gt;"",IF(AND(B892&gt;=_TM1,B892&lt;=_TM2,OR(TH!L892="1111",TH!M892="1111")),TH!D892,""),"")</f>
        <v/>
      </c>
      <c r="B892" s="36">
        <f t="shared" si="27"/>
        <v>12</v>
      </c>
      <c r="C892" s="37">
        <v>41256</v>
      </c>
      <c r="D892" s="205" t="s">
        <v>451</v>
      </c>
      <c r="E892" s="205">
        <v>41256</v>
      </c>
      <c r="F892" s="206" t="s">
        <v>532</v>
      </c>
      <c r="G892" s="206" t="s">
        <v>447</v>
      </c>
      <c r="H892" s="207"/>
      <c r="I892" s="277"/>
      <c r="J892" s="277"/>
      <c r="K892" s="38">
        <v>45000000</v>
      </c>
      <c r="L892" s="208" t="s">
        <v>8</v>
      </c>
      <c r="M892" s="208" t="s">
        <v>24</v>
      </c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9" s="226" customFormat="1" ht="15.75" customHeight="1">
      <c r="A893" s="219" t="str">
        <f>IF(B893&lt;&gt;"",IF(AND(B893&gt;=_TM1,B893&lt;=_TM2,OR(TH!L893="1111",TH!M893="1111")),TH!D893,""),"")</f>
        <v/>
      </c>
      <c r="B893" s="36">
        <f t="shared" si="27"/>
        <v>12</v>
      </c>
      <c r="C893" s="37">
        <v>41256</v>
      </c>
      <c r="D893" s="205" t="s">
        <v>451</v>
      </c>
      <c r="E893" s="205">
        <v>41256</v>
      </c>
      <c r="F893" s="206" t="s">
        <v>453</v>
      </c>
      <c r="G893" s="206" t="s">
        <v>447</v>
      </c>
      <c r="H893" s="207"/>
      <c r="I893" s="277"/>
      <c r="J893" s="277"/>
      <c r="K893" s="38">
        <v>22500</v>
      </c>
      <c r="L893" s="208" t="s">
        <v>87</v>
      </c>
      <c r="M893" s="208" t="s">
        <v>24</v>
      </c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9" s="226" customFormat="1" ht="15.75" customHeight="1">
      <c r="A894" s="219" t="str">
        <f>IF(B894&lt;&gt;"",IF(AND(B894&gt;=_TM1,B894&lt;=_TM2,OR(TH!L894="1111",TH!M894="1111")),TH!D894,""),"")</f>
        <v/>
      </c>
      <c r="B894" s="36">
        <f t="shared" si="27"/>
        <v>12</v>
      </c>
      <c r="C894" s="37">
        <v>41256</v>
      </c>
      <c r="D894" s="205" t="s">
        <v>451</v>
      </c>
      <c r="E894" s="205">
        <v>41256</v>
      </c>
      <c r="F894" s="206" t="s">
        <v>942</v>
      </c>
      <c r="G894" s="206" t="s">
        <v>447</v>
      </c>
      <c r="H894" s="207"/>
      <c r="I894" s="277"/>
      <c r="J894" s="277"/>
      <c r="K894" s="38">
        <v>10321</v>
      </c>
      <c r="L894" s="208" t="s">
        <v>87</v>
      </c>
      <c r="M894" s="208" t="s">
        <v>24</v>
      </c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9" s="226" customFormat="1" ht="15.75" customHeight="1">
      <c r="A895" s="219" t="str">
        <f>IF(B895&lt;&gt;"",IF(AND(B895&gt;=_TM1,B895&lt;=_TM2,OR(TH!L895="1111",TH!M895="1111")),TH!D895,""),"")</f>
        <v>C15</v>
      </c>
      <c r="B895" s="36">
        <f t="shared" si="27"/>
        <v>12</v>
      </c>
      <c r="C895" s="37">
        <v>41258</v>
      </c>
      <c r="D895" s="205" t="s">
        <v>572</v>
      </c>
      <c r="E895" s="205">
        <v>41258</v>
      </c>
      <c r="F895" s="206" t="s">
        <v>665</v>
      </c>
      <c r="G895" s="206" t="s">
        <v>1171</v>
      </c>
      <c r="H895" s="207" t="s">
        <v>667</v>
      </c>
      <c r="I895" s="277"/>
      <c r="J895" s="277"/>
      <c r="K895" s="38">
        <v>1866196</v>
      </c>
      <c r="L895" s="208" t="s">
        <v>87</v>
      </c>
      <c r="M895" s="208" t="s">
        <v>49</v>
      </c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>x</v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9" s="226" customFormat="1" ht="15.75" customHeight="1">
      <c r="A896" s="219" t="str">
        <f>IF(B896&lt;&gt;"",IF(AND(B896&gt;=_TM1,B896&lt;=_TM2,OR(TH!L896="1111",TH!M896="1111")),TH!D896,""),"")</f>
        <v>C15</v>
      </c>
      <c r="B896" s="36">
        <f t="shared" si="27"/>
        <v>12</v>
      </c>
      <c r="C896" s="37">
        <v>41258</v>
      </c>
      <c r="D896" s="205" t="s">
        <v>572</v>
      </c>
      <c r="E896" s="205">
        <v>41258</v>
      </c>
      <c r="F896" s="206" t="s">
        <v>668</v>
      </c>
      <c r="G896" s="206" t="s">
        <v>1171</v>
      </c>
      <c r="H896" s="207" t="s">
        <v>667</v>
      </c>
      <c r="I896" s="277"/>
      <c r="J896" s="277"/>
      <c r="K896" s="38">
        <v>186619</v>
      </c>
      <c r="L896" s="208" t="s">
        <v>9</v>
      </c>
      <c r="M896" s="208" t="s">
        <v>49</v>
      </c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>x</v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29" s="226" customFormat="1" ht="15.75" customHeight="1">
      <c r="A897" s="219" t="str">
        <f>IF(B897&lt;&gt;"",IF(AND(B897&gt;=_TM1,B897&lt;=_TM2,OR(TH!L897="1111",TH!M897="1111")),TH!D897,""),"")</f>
        <v/>
      </c>
      <c r="B897" s="36">
        <f t="shared" si="27"/>
        <v>12</v>
      </c>
      <c r="C897" s="37">
        <v>41267</v>
      </c>
      <c r="D897" s="205" t="s">
        <v>450</v>
      </c>
      <c r="E897" s="205">
        <v>41267</v>
      </c>
      <c r="F897" s="206" t="s">
        <v>452</v>
      </c>
      <c r="G897" s="206" t="s">
        <v>447</v>
      </c>
      <c r="H897" s="207"/>
      <c r="I897" s="277"/>
      <c r="J897" s="277"/>
      <c r="K897" s="38">
        <v>15067965</v>
      </c>
      <c r="L897" s="208" t="s">
        <v>24</v>
      </c>
      <c r="M897" s="208" t="s">
        <v>352</v>
      </c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</row>
    <row r="898" spans="1:29" s="226" customFormat="1" ht="15.75" customHeight="1">
      <c r="A898" s="219" t="str">
        <f>IF(B898&lt;&gt;"",IF(AND(B898&gt;=_TM1,B898&lt;=_TM2,OR(TH!L898="1111",TH!M898="1111")),TH!D898,""),"")</f>
        <v>C16</v>
      </c>
      <c r="B898" s="36">
        <f t="shared" si="27"/>
        <v>12</v>
      </c>
      <c r="C898" s="37">
        <v>41267</v>
      </c>
      <c r="D898" s="205" t="s">
        <v>573</v>
      </c>
      <c r="E898" s="205">
        <v>41267</v>
      </c>
      <c r="F898" s="206" t="s">
        <v>804</v>
      </c>
      <c r="G898" s="206" t="s">
        <v>1172</v>
      </c>
      <c r="H898" s="207" t="s">
        <v>533</v>
      </c>
      <c r="I898" s="277"/>
      <c r="J898" s="277"/>
      <c r="K898" s="38">
        <v>2600000</v>
      </c>
      <c r="L898" s="208" t="s">
        <v>199</v>
      </c>
      <c r="M898" s="208" t="s">
        <v>49</v>
      </c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>x</v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29" s="226" customFormat="1" ht="15.75" customHeight="1">
      <c r="A899" s="219" t="str">
        <f>IF(B899&lt;&gt;"",IF(AND(B899&gt;=_TM1,B899&lt;=_TM2,OR(TH!L899="1111",TH!M899="1111")),TH!D899,""),"")</f>
        <v>C16</v>
      </c>
      <c r="B899" s="36">
        <f t="shared" si="27"/>
        <v>12</v>
      </c>
      <c r="C899" s="37">
        <v>41267</v>
      </c>
      <c r="D899" s="205" t="s">
        <v>573</v>
      </c>
      <c r="E899" s="205">
        <v>41267</v>
      </c>
      <c r="F899" s="206" t="s">
        <v>459</v>
      </c>
      <c r="G899" s="206" t="s">
        <v>1172</v>
      </c>
      <c r="H899" s="207" t="s">
        <v>533</v>
      </c>
      <c r="I899" s="277"/>
      <c r="J899" s="277"/>
      <c r="K899" s="38">
        <v>260000</v>
      </c>
      <c r="L899" s="208" t="s">
        <v>9</v>
      </c>
      <c r="M899" s="208" t="s">
        <v>49</v>
      </c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>x</v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29" s="226" customFormat="1" ht="15.75" customHeight="1">
      <c r="A900" s="219" t="str">
        <f>IF(B900&lt;&gt;"",IF(AND(B900&gt;=_TM1,B900&lt;=_TM2,OR(TH!L900="1111",TH!M900="1111")),TH!D900,""),"")</f>
        <v/>
      </c>
      <c r="B900" s="36">
        <f t="shared" si="27"/>
        <v>12</v>
      </c>
      <c r="C900" s="37">
        <v>41268</v>
      </c>
      <c r="D900" s="205" t="s">
        <v>450</v>
      </c>
      <c r="E900" s="205">
        <v>41268</v>
      </c>
      <c r="F900" s="206" t="s">
        <v>452</v>
      </c>
      <c r="G900" s="206" t="s">
        <v>447</v>
      </c>
      <c r="H900" s="207"/>
      <c r="I900" s="277"/>
      <c r="J900" s="277"/>
      <c r="K900" s="38">
        <v>17039000</v>
      </c>
      <c r="L900" s="208" t="s">
        <v>24</v>
      </c>
      <c r="M900" s="208" t="s">
        <v>352</v>
      </c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</row>
    <row r="901" spans="1:29" s="226" customFormat="1" ht="15.75" customHeight="1">
      <c r="A901" s="219" t="str">
        <f>IF(B901&lt;&gt;"",IF(AND(B901&gt;=_TM1,B901&lt;=_TM2,OR(TH!L901="1111",TH!M901="1111")),TH!D901,""),"")</f>
        <v/>
      </c>
      <c r="B901" s="36">
        <f t="shared" si="27"/>
        <v>12</v>
      </c>
      <c r="C901" s="37">
        <v>41268</v>
      </c>
      <c r="D901" s="205" t="s">
        <v>450</v>
      </c>
      <c r="E901" s="205">
        <v>41268</v>
      </c>
      <c r="F901" s="206" t="s">
        <v>452</v>
      </c>
      <c r="G901" s="206" t="s">
        <v>447</v>
      </c>
      <c r="H901" s="207"/>
      <c r="I901" s="277"/>
      <c r="J901" s="277"/>
      <c r="K901" s="38">
        <v>6158000</v>
      </c>
      <c r="L901" s="208" t="s">
        <v>24</v>
      </c>
      <c r="M901" s="208" t="s">
        <v>352</v>
      </c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</row>
    <row r="902" spans="1:29" s="226" customFormat="1" ht="15.75" customHeight="1">
      <c r="A902" s="219" t="str">
        <f>IF(B902&lt;&gt;"",IF(AND(B902&gt;=_TM1,B902&lt;=_TM2,OR(TH!L902="1111",TH!M902="1111")),TH!D902,""),"")</f>
        <v>C17</v>
      </c>
      <c r="B902" s="36">
        <f t="shared" si="27"/>
        <v>12</v>
      </c>
      <c r="C902" s="37">
        <v>41268</v>
      </c>
      <c r="D902" s="37" t="s">
        <v>575</v>
      </c>
      <c r="E902" s="37">
        <v>41268</v>
      </c>
      <c r="F902" s="40" t="s">
        <v>528</v>
      </c>
      <c r="G902" s="627" t="s">
        <v>447</v>
      </c>
      <c r="H902" s="225" t="s">
        <v>783</v>
      </c>
      <c r="I902" s="278"/>
      <c r="J902" s="278"/>
      <c r="K902" s="38">
        <v>6000000</v>
      </c>
      <c r="L902" s="208" t="s">
        <v>24</v>
      </c>
      <c r="M902" s="39" t="s">
        <v>49</v>
      </c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>x</v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29" s="226" customFormat="1" ht="15.75" customHeight="1">
      <c r="A903" s="219" t="str">
        <f>IF(B903&lt;&gt;"",IF(AND(B903&gt;=_TM1,B903&lt;=_TM2,OR(TH!L903="1111",TH!M903="1111")),TH!D903,""),"")</f>
        <v/>
      </c>
      <c r="B903" s="36">
        <f t="shared" si="27"/>
        <v>12</v>
      </c>
      <c r="C903" s="37">
        <v>41268</v>
      </c>
      <c r="D903" s="37" t="s">
        <v>450</v>
      </c>
      <c r="E903" s="37">
        <v>41268</v>
      </c>
      <c r="F903" s="40" t="s">
        <v>530</v>
      </c>
      <c r="G903" s="627" t="s">
        <v>447</v>
      </c>
      <c r="H903" s="225"/>
      <c r="I903" s="278"/>
      <c r="J903" s="278"/>
      <c r="K903" s="38">
        <v>11977</v>
      </c>
      <c r="L903" s="208" t="s">
        <v>24</v>
      </c>
      <c r="M903" s="39" t="s">
        <v>41</v>
      </c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29" s="226" customFormat="1" ht="15.75" customHeight="1">
      <c r="A904" s="219" t="str">
        <f>IF(B904&lt;&gt;"",IF(AND(B904&gt;=_TM1,B904&lt;=_TM2,OR(TH!L904="1111",TH!M904="1111")),TH!D904,""),"")</f>
        <v>T05</v>
      </c>
      <c r="B904" s="36">
        <f t="shared" si="27"/>
        <v>12</v>
      </c>
      <c r="C904" s="37">
        <v>41268</v>
      </c>
      <c r="D904" s="205" t="s">
        <v>1186</v>
      </c>
      <c r="E904" s="205">
        <v>41268</v>
      </c>
      <c r="F904" s="206" t="s">
        <v>627</v>
      </c>
      <c r="G904" s="206" t="s">
        <v>447</v>
      </c>
      <c r="H904" s="207" t="s">
        <v>783</v>
      </c>
      <c r="I904" s="277"/>
      <c r="J904" s="277"/>
      <c r="K904" s="38">
        <v>38500000</v>
      </c>
      <c r="L904" s="208" t="s">
        <v>49</v>
      </c>
      <c r="M904" s="208" t="s">
        <v>24</v>
      </c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>x</v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29" s="226" customFormat="1" ht="15.75" customHeight="1">
      <c r="A905" s="219" t="str">
        <f>IF(B905&lt;&gt;"",IF(AND(B905&gt;=_TM1,B905&lt;=_TM2,OR(TH!L905="1111",TH!M905="1111")),TH!D905,""),"")</f>
        <v/>
      </c>
      <c r="B905" s="36">
        <f t="shared" si="27"/>
        <v>12</v>
      </c>
      <c r="C905" s="37">
        <v>41268</v>
      </c>
      <c r="D905" s="205" t="s">
        <v>451</v>
      </c>
      <c r="E905" s="205">
        <v>41268</v>
      </c>
      <c r="F905" s="206" t="s">
        <v>532</v>
      </c>
      <c r="G905" s="206" t="s">
        <v>447</v>
      </c>
      <c r="H905" s="207"/>
      <c r="I905" s="277"/>
      <c r="J905" s="277"/>
      <c r="K905" s="38">
        <v>6000000</v>
      </c>
      <c r="L905" s="208" t="s">
        <v>8</v>
      </c>
      <c r="M905" s="208" t="s">
        <v>24</v>
      </c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29" s="226" customFormat="1" ht="15.75" customHeight="1">
      <c r="A906" s="219" t="str">
        <f>IF(B906&lt;&gt;"",IF(AND(B906&gt;=_TM1,B906&lt;=_TM2,OR(TH!L906="1111",TH!M906="1111")),TH!D906,""),"")</f>
        <v/>
      </c>
      <c r="B906" s="36">
        <f t="shared" si="27"/>
        <v>12</v>
      </c>
      <c r="C906" s="37">
        <v>41268</v>
      </c>
      <c r="D906" s="205" t="s">
        <v>451</v>
      </c>
      <c r="E906" s="205">
        <v>41268</v>
      </c>
      <c r="F906" s="206" t="s">
        <v>453</v>
      </c>
      <c r="G906" s="206" t="s">
        <v>447</v>
      </c>
      <c r="H906" s="207"/>
      <c r="I906" s="277"/>
      <c r="J906" s="277"/>
      <c r="K906" s="38">
        <v>20000</v>
      </c>
      <c r="L906" s="208" t="s">
        <v>87</v>
      </c>
      <c r="M906" s="208" t="s">
        <v>24</v>
      </c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29" s="226" customFormat="1" ht="15.75" customHeight="1">
      <c r="A907" s="219" t="str">
        <f>IF(B907&lt;&gt;"",IF(AND(B907&gt;=_TM1,B907&lt;=_TM2,OR(TH!L907="1111",TH!M907="1111")),TH!D907,""),"")</f>
        <v>C18</v>
      </c>
      <c r="B907" s="36">
        <f t="shared" si="27"/>
        <v>12</v>
      </c>
      <c r="C907" s="37">
        <v>41268</v>
      </c>
      <c r="D907" s="205" t="s">
        <v>576</v>
      </c>
      <c r="E907" s="205">
        <v>41268</v>
      </c>
      <c r="F907" s="206" t="s">
        <v>1173</v>
      </c>
      <c r="G907" s="206" t="s">
        <v>1174</v>
      </c>
      <c r="H907" s="207" t="s">
        <v>1175</v>
      </c>
      <c r="I907" s="277"/>
      <c r="J907" s="277"/>
      <c r="K907" s="38">
        <v>1400000</v>
      </c>
      <c r="L907" s="208" t="s">
        <v>87</v>
      </c>
      <c r="M907" s="208" t="s">
        <v>49</v>
      </c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>x</v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29" s="226" customFormat="1" ht="15.75" customHeight="1">
      <c r="A908" s="219" t="str">
        <f>IF(B908&lt;&gt;"",IF(AND(B908&gt;=_TM1,B908&lt;=_TM2,OR(TH!L908="1111",TH!M908="1111")),TH!D908,""),"")</f>
        <v>C18</v>
      </c>
      <c r="B908" s="36">
        <f t="shared" si="27"/>
        <v>12</v>
      </c>
      <c r="C908" s="37">
        <v>41268</v>
      </c>
      <c r="D908" s="205" t="s">
        <v>576</v>
      </c>
      <c r="E908" s="205">
        <v>41268</v>
      </c>
      <c r="F908" s="206" t="s">
        <v>1176</v>
      </c>
      <c r="G908" s="206" t="s">
        <v>1174</v>
      </c>
      <c r="H908" s="207" t="s">
        <v>1175</v>
      </c>
      <c r="I908" s="277"/>
      <c r="J908" s="277"/>
      <c r="K908" s="38">
        <v>140000</v>
      </c>
      <c r="L908" s="208" t="s">
        <v>9</v>
      </c>
      <c r="M908" s="208" t="s">
        <v>49</v>
      </c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>x</v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29" s="226" customFormat="1" ht="15.75" customHeight="1">
      <c r="A909" s="219" t="str">
        <f>IF(B909&lt;&gt;"",IF(AND(B909&gt;=_TM1,B909&lt;=_TM2,OR(TH!L909="1111",TH!M909="1111")),TH!D909,""),"")</f>
        <v/>
      </c>
      <c r="B909" s="36">
        <f t="shared" si="27"/>
        <v>12</v>
      </c>
      <c r="C909" s="37">
        <v>41268</v>
      </c>
      <c r="D909" s="205" t="s">
        <v>598</v>
      </c>
      <c r="E909" s="205">
        <v>41268</v>
      </c>
      <c r="F909" s="206" t="s">
        <v>1177</v>
      </c>
      <c r="G909" s="206" t="s">
        <v>1178</v>
      </c>
      <c r="H909" s="207" t="s">
        <v>707</v>
      </c>
      <c r="I909" s="277">
        <v>60</v>
      </c>
      <c r="J909" s="277">
        <v>26179</v>
      </c>
      <c r="K909" s="38">
        <v>1570740</v>
      </c>
      <c r="L909" s="208" t="s">
        <v>191</v>
      </c>
      <c r="M909" s="750" t="s">
        <v>8</v>
      </c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  <c r="AC909" s="226" t="str">
        <f>IF(ISNA(VLOOKUP(F909,NXT!$C$18:$C$347,1,0)),x,"")</f>
        <v/>
      </c>
    </row>
    <row r="910" spans="1:29" s="226" customFormat="1" ht="15.75" customHeight="1">
      <c r="A910" s="219" t="str">
        <f>IF(B910&lt;&gt;"",IF(AND(B910&gt;=_TM1,B910&lt;=_TM2,OR(TH!L910="1111",TH!M910="1111")),TH!D910,""),"")</f>
        <v/>
      </c>
      <c r="B910" s="36">
        <f t="shared" si="27"/>
        <v>12</v>
      </c>
      <c r="C910" s="37">
        <v>41268</v>
      </c>
      <c r="D910" s="205" t="s">
        <v>598</v>
      </c>
      <c r="E910" s="205">
        <v>41268</v>
      </c>
      <c r="F910" s="206" t="s">
        <v>1179</v>
      </c>
      <c r="G910" s="206" t="s">
        <v>1178</v>
      </c>
      <c r="H910" s="207" t="s">
        <v>707</v>
      </c>
      <c r="I910" s="277">
        <v>650</v>
      </c>
      <c r="J910" s="277">
        <v>22663</v>
      </c>
      <c r="K910" s="38">
        <v>14730950</v>
      </c>
      <c r="L910" s="208" t="s">
        <v>191</v>
      </c>
      <c r="M910" s="750" t="s">
        <v>8</v>
      </c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  <c r="AC910" s="226" t="str">
        <f>IF(ISNA(VLOOKUP(F910,NXT!$C$18:$C$347,1,0)),x,"")</f>
        <v/>
      </c>
    </row>
    <row r="911" spans="1:29" s="226" customFormat="1" ht="15.75" customHeight="1">
      <c r="A911" s="219" t="str">
        <f>IF(B911&lt;&gt;"",IF(AND(B911&gt;=_TM1,B911&lt;=_TM2,OR(TH!L911="1111",TH!M911="1111")),TH!D911,""),"")</f>
        <v/>
      </c>
      <c r="B911" s="36">
        <f t="shared" si="27"/>
        <v>12</v>
      </c>
      <c r="C911" s="37">
        <v>41268</v>
      </c>
      <c r="D911" s="205" t="s">
        <v>598</v>
      </c>
      <c r="E911" s="205">
        <v>41268</v>
      </c>
      <c r="F911" s="206" t="s">
        <v>721</v>
      </c>
      <c r="G911" s="206" t="s">
        <v>1178</v>
      </c>
      <c r="H911" s="207" t="s">
        <v>707</v>
      </c>
      <c r="I911" s="277"/>
      <c r="J911" s="277"/>
      <c r="K911" s="38">
        <v>1630169</v>
      </c>
      <c r="L911" s="208" t="s">
        <v>9</v>
      </c>
      <c r="M911" s="750" t="s">
        <v>8</v>
      </c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29" s="226" customFormat="1" ht="15.75" customHeight="1">
      <c r="A912" s="219" t="str">
        <f>IF(B912&lt;&gt;"",IF(AND(B912&gt;=_TM1,B912&lt;=_TM2,OR(TH!L912="1111",TH!M912="1111")),TH!D912,""),"")</f>
        <v/>
      </c>
      <c r="B912" s="36">
        <f t="shared" si="27"/>
        <v>12</v>
      </c>
      <c r="C912" s="37">
        <v>41268</v>
      </c>
      <c r="D912" s="205" t="s">
        <v>599</v>
      </c>
      <c r="E912" s="205">
        <v>41268</v>
      </c>
      <c r="F912" s="206" t="s">
        <v>1180</v>
      </c>
      <c r="G912" s="206" t="s">
        <v>1181</v>
      </c>
      <c r="H912" s="207" t="s">
        <v>707</v>
      </c>
      <c r="I912" s="277">
        <v>517</v>
      </c>
      <c r="J912" s="277">
        <v>19982</v>
      </c>
      <c r="K912" s="38">
        <v>10330694</v>
      </c>
      <c r="L912" s="208" t="s">
        <v>191</v>
      </c>
      <c r="M912" s="750" t="s">
        <v>8</v>
      </c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  <c r="AC912" s="226" t="str">
        <f>IF(ISNA(VLOOKUP(F912,NXT!$C$18:$C$347,1,0)),x,"")</f>
        <v/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>
        <f t="shared" si="27"/>
        <v>12</v>
      </c>
      <c r="C913" s="37">
        <v>41268</v>
      </c>
      <c r="D913" s="205" t="s">
        <v>599</v>
      </c>
      <c r="E913" s="37">
        <v>41268</v>
      </c>
      <c r="F913" s="40" t="s">
        <v>721</v>
      </c>
      <c r="G913" s="627" t="s">
        <v>1181</v>
      </c>
      <c r="H913" s="207" t="s">
        <v>707</v>
      </c>
      <c r="I913" s="277"/>
      <c r="J913" s="277"/>
      <c r="K913" s="38">
        <v>1033069</v>
      </c>
      <c r="L913" s="208" t="s">
        <v>9</v>
      </c>
      <c r="M913" s="750" t="s">
        <v>8</v>
      </c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>
        <f t="shared" si="27"/>
        <v>12</v>
      </c>
      <c r="C914" s="37">
        <v>41269</v>
      </c>
      <c r="D914" s="37" t="s">
        <v>451</v>
      </c>
      <c r="E914" s="37">
        <v>41269</v>
      </c>
      <c r="F914" s="40" t="s">
        <v>942</v>
      </c>
      <c r="G914" s="627" t="s">
        <v>447</v>
      </c>
      <c r="H914" s="207"/>
      <c r="I914" s="277"/>
      <c r="J914" s="277"/>
      <c r="K914" s="38">
        <v>10000</v>
      </c>
      <c r="L914" s="208" t="s">
        <v>87</v>
      </c>
      <c r="M914" s="39" t="s">
        <v>24</v>
      </c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>
        <f t="shared" si="27"/>
        <v>12</v>
      </c>
      <c r="C915" s="37">
        <v>41270</v>
      </c>
      <c r="D915" s="205" t="s">
        <v>600</v>
      </c>
      <c r="E915" s="37">
        <v>41270</v>
      </c>
      <c r="F915" s="40" t="s">
        <v>1179</v>
      </c>
      <c r="G915" s="627" t="s">
        <v>1182</v>
      </c>
      <c r="H915" s="207" t="s">
        <v>707</v>
      </c>
      <c r="I915" s="277">
        <v>338</v>
      </c>
      <c r="J915" s="277">
        <v>22663</v>
      </c>
      <c r="K915" s="38">
        <v>7660094</v>
      </c>
      <c r="L915" s="39" t="s">
        <v>191</v>
      </c>
      <c r="M915" s="750" t="s">
        <v>8</v>
      </c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  <c r="AC915" s="226" t="str">
        <f>IF(ISNA(VLOOKUP(F915,NXT!$C$18:$C$347,1,0)),x,"")</f>
        <v/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>
        <f t="shared" si="27"/>
        <v>12</v>
      </c>
      <c r="C916" s="37">
        <v>41270</v>
      </c>
      <c r="D916" s="205" t="s">
        <v>600</v>
      </c>
      <c r="E916" s="37">
        <v>41270</v>
      </c>
      <c r="F916" s="40" t="s">
        <v>721</v>
      </c>
      <c r="G916" s="627" t="s">
        <v>1182</v>
      </c>
      <c r="H916" s="207" t="s">
        <v>707</v>
      </c>
      <c r="I916" s="277"/>
      <c r="J916" s="277"/>
      <c r="K916" s="38">
        <v>766009</v>
      </c>
      <c r="L916" s="39" t="s">
        <v>9</v>
      </c>
      <c r="M916" s="750" t="s">
        <v>8</v>
      </c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>
        <f t="shared" si="27"/>
        <v>12</v>
      </c>
      <c r="C917" s="37">
        <v>41271</v>
      </c>
      <c r="D917" s="205" t="s">
        <v>601</v>
      </c>
      <c r="E917" s="37">
        <v>41271</v>
      </c>
      <c r="F917" s="40" t="s">
        <v>1183</v>
      </c>
      <c r="G917" s="627" t="s">
        <v>1184</v>
      </c>
      <c r="H917" s="45" t="s">
        <v>707</v>
      </c>
      <c r="I917" s="277">
        <v>381</v>
      </c>
      <c r="J917" s="277">
        <v>19699</v>
      </c>
      <c r="K917" s="38">
        <v>7505319</v>
      </c>
      <c r="L917" s="39" t="s">
        <v>191</v>
      </c>
      <c r="M917" s="750" t="s">
        <v>8</v>
      </c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  <c r="AC917" s="226" t="str">
        <f>IF(ISNA(VLOOKUP(F917,NXT!$C$18:$C$347,1,0)),x,"")</f>
        <v/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>
        <f t="shared" si="27"/>
        <v>12</v>
      </c>
      <c r="C918" s="37">
        <v>41271</v>
      </c>
      <c r="D918" s="205" t="s">
        <v>601</v>
      </c>
      <c r="E918" s="37">
        <v>41271</v>
      </c>
      <c r="F918" s="40" t="s">
        <v>1185</v>
      </c>
      <c r="G918" s="627" t="s">
        <v>1184</v>
      </c>
      <c r="H918" s="45" t="s">
        <v>707</v>
      </c>
      <c r="I918" s="277">
        <v>50</v>
      </c>
      <c r="J918" s="277">
        <v>32832</v>
      </c>
      <c r="K918" s="38">
        <v>1641600</v>
      </c>
      <c r="L918" s="39" t="s">
        <v>191</v>
      </c>
      <c r="M918" s="750" t="s">
        <v>8</v>
      </c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  <c r="AC918" s="226" t="str">
        <f>IF(ISNA(VLOOKUP(F918,NXT!$C$18:$C$347,1,0)),x,"")</f>
        <v/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>
        <f t="shared" si="27"/>
        <v>12</v>
      </c>
      <c r="C919" s="37">
        <v>41271</v>
      </c>
      <c r="D919" s="205" t="s">
        <v>601</v>
      </c>
      <c r="E919" s="37">
        <v>41271</v>
      </c>
      <c r="F919" s="40" t="s">
        <v>721</v>
      </c>
      <c r="G919" s="627" t="s">
        <v>1184</v>
      </c>
      <c r="H919" s="45" t="s">
        <v>707</v>
      </c>
      <c r="I919" s="277"/>
      <c r="J919" s="277"/>
      <c r="K919" s="38">
        <v>914692</v>
      </c>
      <c r="L919" s="39" t="s">
        <v>9</v>
      </c>
      <c r="M919" s="750" t="s">
        <v>8</v>
      </c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27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27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27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27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27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27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27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27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27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27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27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27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27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27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27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27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28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28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28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28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28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28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28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28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28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28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28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28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28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28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28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28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28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28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28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28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28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28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28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28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28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7780776718</v>
      </c>
    </row>
  </sheetData>
  <autoFilter ref="A9:X960"/>
  <sortState ref="A24:AD438">
    <sortCondition ref="C24:C438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509</v>
      </c>
      <c r="I1" s="830"/>
    </row>
    <row r="2" spans="1:14">
      <c r="A2" s="829" t="str">
        <f>TH!A2</f>
        <v>Địa chỉ: Lô A14, Đường 4A, KCN Hải Sơn, Đức Hòa, Long An</v>
      </c>
      <c r="H2" s="831" t="s">
        <v>510</v>
      </c>
      <c r="I2" s="831"/>
    </row>
    <row r="3" spans="1:14">
      <c r="H3" s="831" t="s">
        <v>511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512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2012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4" t="s">
        <v>130</v>
      </c>
      <c r="I7" s="974"/>
      <c r="J7" s="836"/>
      <c r="K7" s="836"/>
      <c r="M7" s="942" t="s">
        <v>445</v>
      </c>
      <c r="N7" s="942"/>
    </row>
    <row r="8" spans="1:14" ht="23.25" customHeight="1" thickBot="1">
      <c r="A8" s="975" t="s">
        <v>513</v>
      </c>
      <c r="B8" s="977" t="s">
        <v>1</v>
      </c>
      <c r="C8" s="978"/>
      <c r="D8" s="979" t="s">
        <v>0</v>
      </c>
      <c r="E8" s="975" t="s">
        <v>514</v>
      </c>
      <c r="F8" s="973" t="s">
        <v>98</v>
      </c>
      <c r="G8" s="973"/>
      <c r="H8" s="977" t="s">
        <v>21</v>
      </c>
      <c r="I8" s="978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76"/>
      <c r="B9" s="827" t="s">
        <v>15</v>
      </c>
      <c r="C9" s="827" t="s">
        <v>32</v>
      </c>
      <c r="D9" s="980"/>
      <c r="E9" s="976"/>
      <c r="F9" s="848" t="s">
        <v>22</v>
      </c>
      <c r="G9" s="848" t="s">
        <v>23</v>
      </c>
      <c r="H9" s="827" t="s">
        <v>515</v>
      </c>
      <c r="I9" s="827" t="s">
        <v>23</v>
      </c>
      <c r="K9" s="185" t="s">
        <v>531</v>
      </c>
    </row>
    <row r="10" spans="1:14" ht="21.75" customHeight="1">
      <c r="A10" s="837"/>
      <c r="B10" s="837"/>
      <c r="C10" s="837"/>
      <c r="D10" s="838" t="s">
        <v>520</v>
      </c>
      <c r="E10" s="849"/>
      <c r="F10" s="837"/>
      <c r="G10" s="837"/>
      <c r="H10" s="845">
        <f>SUMIF(_M,"&lt;"&amp;$M$8,TH)</f>
        <v>1765016068</v>
      </c>
      <c r="I10" s="845">
        <f>SUMIF(_M,"&lt;"&amp;$M$8,TH)</f>
        <v>1765016068</v>
      </c>
    </row>
    <row r="11" spans="1:14" ht="21.75" customHeight="1">
      <c r="A11" s="891">
        <f ca="1">IF(ROWS($1:1)&gt;COUNT(Dong6),"",OFFSET(TH!C$1,SMALL(Dong6,ROWS($1:1)),))</f>
        <v>41090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41090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41002</v>
      </c>
      <c r="B12" s="890" t="str">
        <f ca="1">IF(ROWS($1:2)&gt;COUNT(Dong6),"",OFFSET(TH!D$1,SMALL(Dong6,ROWS($1:2)),))</f>
        <v>GBC</v>
      </c>
      <c r="C12" s="891">
        <f ca="1">IF(ROWS($1:2)&gt;COUNT(Dong6),"",OFFSET(TH!E$1,SMALL(Dong6,ROWS($1:2)),))</f>
        <v>41002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37537610</v>
      </c>
      <c r="I12" s="894">
        <f ca="1">IF(ROWS($1:2)&gt;COUNT(Dong6),"",OFFSET(TH!K$1,SMALL(Dong6,ROWS($1:2)),))</f>
        <v>37537610</v>
      </c>
    </row>
    <row r="13" spans="1:14" ht="21.75" customHeight="1">
      <c r="A13" s="891">
        <f ca="1">IF(ROWS($1:3)&gt;COUNT(Dong6),"",OFFSET(TH!C$1,SMALL(Dong6,ROWS($1:3)),))</f>
        <v>41002</v>
      </c>
      <c r="B13" s="890" t="str">
        <f ca="1">IF(ROWS($1:3)&gt;COUNT(Dong6),"",OFFSET(TH!D$1,SMALL(Dong6,ROWS($1:3)),))</f>
        <v>GBN</v>
      </c>
      <c r="C13" s="891">
        <f ca="1">IF(ROWS($1:3)&gt;COUNT(Dong6),"",OFFSET(TH!E$1,SMALL(Dong6,ROWS($1:3)),))</f>
        <v>41002</v>
      </c>
      <c r="D13" s="892" t="str">
        <f ca="1">IF(ROWS($1:3)&gt;COUNT(Dong6),"",OFFSET(TH!F$1,SMALL(Dong6,ROWS($1:3)),))</f>
        <v>Chi Sec nhập quỹ tiền mặt</v>
      </c>
      <c r="E13" s="890">
        <f t="shared" ca="1" si="0"/>
        <v>3</v>
      </c>
      <c r="F13" s="893" t="str">
        <f ca="1">IF(ROWS($1:3)&gt;COUNT(Dong6),"",OFFSET(TH!L$1,SMALL(Dong6,ROWS($1:3)),))</f>
        <v>1111</v>
      </c>
      <c r="G13" s="893" t="str">
        <f ca="1">IF(ROWS($1:3)&gt;COUNT(Dong6),"",OFFSET(TH!M$1,SMALL(Dong6,ROWS($1:3)),))</f>
        <v>1121</v>
      </c>
      <c r="H13" s="894">
        <f ca="1">IF(ROWS($1:3)&gt;COUNT(Dong6),"",OFFSET(TH!K$1,SMALL(Dong6,ROWS($1:3)),))</f>
        <v>21500000</v>
      </c>
      <c r="I13" s="894">
        <f ca="1">IF(ROWS($1:3)&gt;COUNT(Dong6),"",OFFSET(TH!K$1,SMALL(Dong6,ROWS($1:3)),))</f>
        <v>21500000</v>
      </c>
    </row>
    <row r="14" spans="1:14" ht="21.75" customHeight="1">
      <c r="A14" s="891">
        <f ca="1">IF(ROWS($1:4)&gt;COUNT(Dong6),"",OFFSET(TH!C$1,SMALL(Dong6,ROWS($1:4)),))</f>
        <v>41004</v>
      </c>
      <c r="B14" s="890" t="str">
        <f ca="1">IF(ROWS($1:4)&gt;COUNT(Dong6),"",OFFSET(TH!D$1,SMALL(Dong6,ROWS($1:4)),))</f>
        <v>GBC</v>
      </c>
      <c r="C14" s="891">
        <f ca="1">IF(ROWS($1:4)&gt;COUNT(Dong6),"",OFFSET(TH!E$1,SMALL(Dong6,ROWS($1:4)),))</f>
        <v>41004</v>
      </c>
      <c r="D14" s="892" t="str">
        <f ca="1">IF(ROWS($1:4)&gt;COUNT(Dong6),"",OFFSET(TH!F$1,SMALL(Dong6,ROWS($1:4)),))</f>
        <v>Thu tiền hàng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131</v>
      </c>
      <c r="H14" s="894">
        <f ca="1">IF(ROWS($1:4)&gt;COUNT(Dong6),"",OFFSET(TH!K$1,SMALL(Dong6,ROWS($1:4)),))</f>
        <v>57158000</v>
      </c>
      <c r="I14" s="894">
        <f ca="1">IF(ROWS($1:4)&gt;COUNT(Dong6),"",OFFSET(TH!K$1,SMALL(Dong6,ROWS($1:4)),))</f>
        <v>57158000</v>
      </c>
    </row>
    <row r="15" spans="1:14" ht="21.75" customHeight="1">
      <c r="A15" s="891">
        <f ca="1">IF(ROWS($1:5)&gt;COUNT(Dong6),"",OFFSET(TH!C$1,SMALL(Dong6,ROWS($1:5)),))</f>
        <v>41004</v>
      </c>
      <c r="B15" s="890" t="str">
        <f ca="1">IF(ROWS($1:5)&gt;COUNT(Dong6),"",OFFSET(TH!D$1,SMALL(Dong6,ROWS($1:5)),))</f>
        <v>GBN</v>
      </c>
      <c r="C15" s="891">
        <f ca="1">IF(ROWS($1:5)&gt;COUNT(Dong6),"",OFFSET(TH!E$1,SMALL(Dong6,ROWS($1:5)),))</f>
        <v>41004</v>
      </c>
      <c r="D15" s="892" t="str">
        <f ca="1">IF(ROWS($1:5)&gt;COUNT(Dong6),"",OFFSET(TH!F$1,SMALL(Dong6,ROWS($1:5)),))</f>
        <v>Chi Sec nhập quỹ tiền mặt</v>
      </c>
      <c r="E15" s="890">
        <f t="shared" ca="1" si="0"/>
        <v>5</v>
      </c>
      <c r="F15" s="893" t="str">
        <f ca="1">IF(ROWS($1:5)&gt;COUNT(Dong6),"",OFFSET(TH!L$1,SMALL(Dong6,ROWS($1:5)),))</f>
        <v>1111</v>
      </c>
      <c r="G15" s="893" t="str">
        <f ca="1">IF(ROWS($1:5)&gt;COUNT(Dong6),"",OFFSET(TH!M$1,SMALL(Dong6,ROWS($1:5)),))</f>
        <v>1121</v>
      </c>
      <c r="H15" s="894">
        <f ca="1">IF(ROWS($1:5)&gt;COUNT(Dong6),"",OFFSET(TH!K$1,SMALL(Dong6,ROWS($1:5)),))</f>
        <v>37500000</v>
      </c>
      <c r="I15" s="894">
        <f ca="1">IF(ROWS($1:5)&gt;COUNT(Dong6),"",OFFSET(TH!K$1,SMALL(Dong6,ROWS($1:5)),))</f>
        <v>37500000</v>
      </c>
    </row>
    <row r="16" spans="1:14" ht="21.75" customHeight="1">
      <c r="A16" s="891">
        <f ca="1">IF(ROWS($1:6)&gt;COUNT(Dong6),"",OFFSET(TH!C$1,SMALL(Dong6,ROWS($1:6)),))</f>
        <v>41008</v>
      </c>
      <c r="B16" s="890" t="str">
        <f ca="1">IF(ROWS($1:6)&gt;COUNT(Dong6),"",OFFSET(TH!D$1,SMALL(Dong6,ROWS($1:6)),))</f>
        <v>GBC</v>
      </c>
      <c r="C16" s="891">
        <f ca="1">IF(ROWS($1:6)&gt;COUNT(Dong6),"",OFFSET(TH!E$1,SMALL(Dong6,ROWS($1:6)),))</f>
        <v>41008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9004336</v>
      </c>
      <c r="I16" s="894">
        <f ca="1">IF(ROWS($1:6)&gt;COUNT(Dong6),"",OFFSET(TH!K$1,SMALL(Dong6,ROWS($1:6)),))</f>
        <v>9004336</v>
      </c>
    </row>
    <row r="17" spans="1:9" ht="21.75" customHeight="1">
      <c r="A17" s="891">
        <f ca="1">IF(ROWS($1:7)&gt;COUNT(Dong6),"",OFFSET(TH!C$1,SMALL(Dong6,ROWS($1:7)),))</f>
        <v>41009</v>
      </c>
      <c r="B17" s="890" t="str">
        <f ca="1">IF(ROWS($1:7)&gt;COUNT(Dong6),"",OFFSET(TH!D$1,SMALL(Dong6,ROWS($1:7)),))</f>
        <v>GBN</v>
      </c>
      <c r="C17" s="891">
        <f ca="1">IF(ROWS($1:7)&gt;COUNT(Dong6),"",OFFSET(TH!E$1,SMALL(Dong6,ROWS($1:7)),))</f>
        <v>41009</v>
      </c>
      <c r="D17" s="892" t="str">
        <f ca="1">IF(ROWS($1:7)&gt;COUNT(Dong6),"",OFFSET(TH!F$1,SMALL(Dong6,ROWS($1:7)),))</f>
        <v>Chi Sec nhập quỹ tiền mặt</v>
      </c>
      <c r="E17" s="890">
        <f t="shared" ca="1" si="0"/>
        <v>7</v>
      </c>
      <c r="F17" s="893" t="str">
        <f ca="1">IF(ROWS($1:7)&gt;COUNT(Dong6),"",OFFSET(TH!L$1,SMALL(Dong6,ROWS($1:7)),))</f>
        <v>1111</v>
      </c>
      <c r="G17" s="893" t="str">
        <f ca="1">IF(ROWS($1:7)&gt;COUNT(Dong6),"",OFFSET(TH!M$1,SMALL(Dong6,ROWS($1:7)),))</f>
        <v>1121</v>
      </c>
      <c r="H17" s="894">
        <f ca="1">IF(ROWS($1:7)&gt;COUNT(Dong6),"",OFFSET(TH!K$1,SMALL(Dong6,ROWS($1:7)),))</f>
        <v>30000000</v>
      </c>
      <c r="I17" s="894">
        <f ca="1">IF(ROWS($1:7)&gt;COUNT(Dong6),"",OFFSET(TH!K$1,SMALL(Dong6,ROWS($1:7)),))</f>
        <v>30000000</v>
      </c>
    </row>
    <row r="18" spans="1:9" ht="21.75" customHeight="1">
      <c r="A18" s="891">
        <f ca="1">IF(ROWS($1:8)&gt;COUNT(Dong6),"",OFFSET(TH!C$1,SMALL(Dong6,ROWS($1:8)),))</f>
        <v>41009</v>
      </c>
      <c r="B18" s="890" t="str">
        <f ca="1">IF(ROWS($1:8)&gt;COUNT(Dong6),"",OFFSET(TH!D$1,SMALL(Dong6,ROWS($1:8)),))</f>
        <v>GBN</v>
      </c>
      <c r="C18" s="891">
        <f ca="1">IF(ROWS($1:8)&gt;COUNT(Dong6),"",OFFSET(TH!E$1,SMALL(Dong6,ROWS($1:8)),))</f>
        <v>41009</v>
      </c>
      <c r="D18" s="892" t="str">
        <f ca="1">IF(ROWS($1:8)&gt;COUNT(Dong6),"",OFFSET(TH!F$1,SMALL(Dong6,ROWS($1:8)),))</f>
        <v>Thanh toán tiền hàng</v>
      </c>
      <c r="E18" s="890">
        <f t="shared" ca="1" si="0"/>
        <v>8</v>
      </c>
      <c r="F18" s="893" t="str">
        <f ca="1">IF(ROWS($1:8)&gt;COUNT(Dong6),"",OFFSET(TH!L$1,SMALL(Dong6,ROWS($1:8)),))</f>
        <v>331</v>
      </c>
      <c r="G18" s="893" t="str">
        <f ca="1">IF(ROWS($1:8)&gt;COUNT(Dong6),"",OFFSET(TH!M$1,SMALL(Dong6,ROWS($1:8)),))</f>
        <v>1121</v>
      </c>
      <c r="H18" s="894">
        <f ca="1">IF(ROWS($1:8)&gt;COUNT(Dong6),"",OFFSET(TH!K$1,SMALL(Dong6,ROWS($1:8)),))</f>
        <v>35000000</v>
      </c>
      <c r="I18" s="894">
        <f ca="1">IF(ROWS($1:8)&gt;COUNT(Dong6),"",OFFSET(TH!K$1,SMALL(Dong6,ROWS($1:8)),))</f>
        <v>35000000</v>
      </c>
    </row>
    <row r="19" spans="1:9" ht="21.75" customHeight="1">
      <c r="A19" s="891">
        <f ca="1">IF(ROWS($1:9)&gt;COUNT(Dong6),"",OFFSET(TH!C$1,SMALL(Dong6,ROWS($1:9)),))</f>
        <v>41009</v>
      </c>
      <c r="B19" s="890" t="str">
        <f ca="1">IF(ROWS($1:9)&gt;COUNT(Dong6),"",OFFSET(TH!D$1,SMALL(Dong6,ROWS($1:9)),))</f>
        <v>GBN</v>
      </c>
      <c r="C19" s="891">
        <f ca="1">IF(ROWS($1:9)&gt;COUNT(Dong6),"",OFFSET(TH!E$1,SMALL(Dong6,ROWS($1:9)),))</f>
        <v>41009</v>
      </c>
      <c r="D19" s="892" t="str">
        <f ca="1">IF(ROWS($1:9)&gt;COUNT(Dong6),"",OFFSET(TH!F$1,SMALL(Dong6,ROWS($1:9)),))</f>
        <v>Phí chuyển tiền</v>
      </c>
      <c r="E19" s="890">
        <f t="shared" ca="1" si="0"/>
        <v>9</v>
      </c>
      <c r="F19" s="893" t="str">
        <f ca="1">IF(ROWS($1:9)&gt;COUNT(Dong6),"",OFFSET(TH!L$1,SMALL(Dong6,ROWS($1:9)),))</f>
        <v>642</v>
      </c>
      <c r="G19" s="893" t="str">
        <f ca="1">IF(ROWS($1:9)&gt;COUNT(Dong6),"",OFFSET(TH!M$1,SMALL(Dong6,ROWS($1:9)),))</f>
        <v>1121</v>
      </c>
      <c r="H19" s="894">
        <f ca="1">IF(ROWS($1:9)&gt;COUNT(Dong6),"",OFFSET(TH!K$1,SMALL(Dong6,ROWS($1:9)),))</f>
        <v>10000</v>
      </c>
      <c r="I19" s="894">
        <f ca="1">IF(ROWS($1:9)&gt;COUNT(Dong6),"",OFFSET(TH!K$1,SMALL(Dong6,ROWS($1:9)),))</f>
        <v>10000</v>
      </c>
    </row>
    <row r="20" spans="1:9" ht="21.75" customHeight="1">
      <c r="A20" s="891">
        <f ca="1">IF(ROWS($1:10)&gt;COUNT(Dong6),"",OFFSET(TH!C$1,SMALL(Dong6,ROWS($1:10)),))</f>
        <v>41010</v>
      </c>
      <c r="B20" s="890" t="str">
        <f ca="1">IF(ROWS($1:10)&gt;COUNT(Dong6),"",OFFSET(TH!D$1,SMALL(Dong6,ROWS($1:10)),))</f>
        <v>GBC</v>
      </c>
      <c r="C20" s="891">
        <f ca="1">IF(ROWS($1:10)&gt;COUNT(Dong6),"",OFFSET(TH!E$1,SMALL(Dong6,ROWS($1:10)),))</f>
        <v>41010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25000000</v>
      </c>
      <c r="I20" s="894">
        <f ca="1">IF(ROWS($1:10)&gt;COUNT(Dong6),"",OFFSET(TH!K$1,SMALL(Dong6,ROWS($1:10)),))</f>
        <v>25000000</v>
      </c>
    </row>
    <row r="21" spans="1:9" ht="21.75" customHeight="1">
      <c r="A21" s="891">
        <f ca="1">IF(ROWS($1:11)&gt;COUNT(Dong6),"",OFFSET(TH!C$1,SMALL(Dong6,ROWS($1:11)),))</f>
        <v>41012</v>
      </c>
      <c r="B21" s="890" t="str">
        <f ca="1">IF(ROWS($1:11)&gt;COUNT(Dong6),"",OFFSET(TH!D$1,SMALL(Dong6,ROWS($1:11)),))</f>
        <v>GBN</v>
      </c>
      <c r="C21" s="891">
        <f ca="1">IF(ROWS($1:11)&gt;COUNT(Dong6),"",OFFSET(TH!E$1,SMALL(Dong6,ROWS($1:11)),))</f>
        <v>41012</v>
      </c>
      <c r="D21" s="892" t="str">
        <f ca="1">IF(ROWS($1:11)&gt;COUNT(Dong6),"",OFFSET(TH!F$1,SMALL(Dong6,ROWS($1:11)),))</f>
        <v>Thanh toán tiền hàng</v>
      </c>
      <c r="E21" s="890">
        <f t="shared" ca="1" si="0"/>
        <v>11</v>
      </c>
      <c r="F21" s="893" t="str">
        <f ca="1">IF(ROWS($1:11)&gt;COUNT(Dong6),"",OFFSET(TH!L$1,SMALL(Dong6,ROWS($1:11)),))</f>
        <v>331</v>
      </c>
      <c r="G21" s="893" t="str">
        <f ca="1">IF(ROWS($1:11)&gt;COUNT(Dong6),"",OFFSET(TH!M$1,SMALL(Dong6,ROWS($1:11)),))</f>
        <v>1121</v>
      </c>
      <c r="H21" s="894">
        <f ca="1">IF(ROWS($1:11)&gt;COUNT(Dong6),"",OFFSET(TH!K$1,SMALL(Dong6,ROWS($1:11)),))</f>
        <v>26477546</v>
      </c>
      <c r="I21" s="894">
        <f ca="1">IF(ROWS($1:11)&gt;COUNT(Dong6),"",OFFSET(TH!K$1,SMALL(Dong6,ROWS($1:11)),))</f>
        <v>26477546</v>
      </c>
    </row>
    <row r="22" spans="1:9" ht="21.75" customHeight="1">
      <c r="A22" s="891">
        <f ca="1">IF(ROWS($1:12)&gt;COUNT(Dong6),"",OFFSET(TH!C$1,SMALL(Dong6,ROWS($1:12)),))</f>
        <v>41012</v>
      </c>
      <c r="B22" s="890" t="str">
        <f ca="1">IF(ROWS($1:12)&gt;COUNT(Dong6),"",OFFSET(TH!D$1,SMALL(Dong6,ROWS($1:12)),))</f>
        <v>GBN</v>
      </c>
      <c r="C22" s="891">
        <f ca="1">IF(ROWS($1:12)&gt;COUNT(Dong6),"",OFFSET(TH!E$1,SMALL(Dong6,ROWS($1:12)),))</f>
        <v>41012</v>
      </c>
      <c r="D22" s="892" t="str">
        <f ca="1">IF(ROWS($1:12)&gt;COUNT(Dong6),"",OFFSET(TH!F$1,SMALL(Dong6,ROWS($1:12)),))</f>
        <v>Phí chuyển tiền</v>
      </c>
      <c r="E22" s="890">
        <f t="shared" ca="1" si="0"/>
        <v>12</v>
      </c>
      <c r="F22" s="893" t="str">
        <f ca="1">IF(ROWS($1:12)&gt;COUNT(Dong6),"",OFFSET(TH!L$1,SMALL(Dong6,ROWS($1:12)),))</f>
        <v>642</v>
      </c>
      <c r="G22" s="893" t="str">
        <f ca="1">IF(ROWS($1:12)&gt;COUNT(Dong6),"",OFFSET(TH!M$1,SMALL(Dong6,ROWS($1:12)),))</f>
        <v>1121</v>
      </c>
      <c r="H22" s="894">
        <f ca="1">IF(ROWS($1:12)&gt;COUNT(Dong6),"",OFFSET(TH!K$1,SMALL(Dong6,ROWS($1:12)),))</f>
        <v>20000</v>
      </c>
      <c r="I22" s="894">
        <f ca="1">IF(ROWS($1:12)&gt;COUNT(Dong6),"",OFFSET(TH!K$1,SMALL(Dong6,ROWS($1:12)),))</f>
        <v>20000</v>
      </c>
    </row>
    <row r="23" spans="1:9" ht="21.75" customHeight="1">
      <c r="A23" s="891">
        <f ca="1">IF(ROWS($1:13)&gt;COUNT(Dong6),"",OFFSET(TH!C$1,SMALL(Dong6,ROWS($1:13)),))</f>
        <v>41012</v>
      </c>
      <c r="B23" s="890" t="str">
        <f ca="1">IF(ROWS($1:13)&gt;COUNT(Dong6),"",OFFSET(TH!D$1,SMALL(Dong6,ROWS($1:13)),))</f>
        <v>NL/N01</v>
      </c>
      <c r="C23" s="891">
        <f ca="1">IF(ROWS($1:13)&gt;COUNT(Dong6),"",OFFSET(TH!E$1,SMALL(Dong6,ROWS($1:13)),))</f>
        <v>41012</v>
      </c>
      <c r="D23" s="892" t="str">
        <f ca="1">IF(ROWS($1:13)&gt;COUNT(Dong6),"",OFFSET(TH!F$1,SMALL(Dong6,ROWS($1:13)),))</f>
        <v>Giấy 3 lớp (162x110)</v>
      </c>
      <c r="E23" s="890">
        <f t="shared" ca="1" si="0"/>
        <v>13</v>
      </c>
      <c r="F23" s="893" t="str">
        <f ca="1">IF(ROWS($1:13)&gt;COUNT(Dong6),"",OFFSET(TH!L$1,SMALL(Dong6,ROWS($1:13)),))</f>
        <v>1521</v>
      </c>
      <c r="G23" s="893" t="str">
        <f ca="1">IF(ROWS($1:13)&gt;COUNT(Dong6),"",OFFSET(TH!M$1,SMALL(Dong6,ROWS($1:13)),))</f>
        <v>331</v>
      </c>
      <c r="H23" s="894">
        <f ca="1">IF(ROWS($1:13)&gt;COUNT(Dong6),"",OFFSET(TH!K$1,SMALL(Dong6,ROWS($1:13)),))</f>
        <v>3104140</v>
      </c>
      <c r="I23" s="894">
        <f ca="1">IF(ROWS($1:13)&gt;COUNT(Dong6),"",OFFSET(TH!K$1,SMALL(Dong6,ROWS($1:13)),))</f>
        <v>3104140</v>
      </c>
    </row>
    <row r="24" spans="1:9" ht="21.75" customHeight="1">
      <c r="A24" s="891">
        <f ca="1">IF(ROWS($1:14)&gt;COUNT(Dong6),"",OFFSET(TH!C$1,SMALL(Dong6,ROWS($1:14)),))</f>
        <v>41012</v>
      </c>
      <c r="B24" s="890" t="str">
        <f ca="1">IF(ROWS($1:14)&gt;COUNT(Dong6),"",OFFSET(TH!D$1,SMALL(Dong6,ROWS($1:14)),))</f>
        <v>NL/N01</v>
      </c>
      <c r="C24" s="891">
        <f ca="1">IF(ROWS($1:14)&gt;COUNT(Dong6),"",OFFSET(TH!E$1,SMALL(Dong6,ROWS($1:14)),))</f>
        <v>41012</v>
      </c>
      <c r="D24" s="892" t="str">
        <f ca="1">IF(ROWS($1:14)&gt;COUNT(Dong6),"",OFFSET(TH!F$1,SMALL(Dong6,ROWS($1:14)),))</f>
        <v>Giấy 3 lớp (171x115)</v>
      </c>
      <c r="E24" s="890">
        <f t="shared" ca="1" si="0"/>
        <v>14</v>
      </c>
      <c r="F24" s="893" t="str">
        <f ca="1">IF(ROWS($1:14)&gt;COUNT(Dong6),"",OFFSET(TH!L$1,SMALL(Dong6,ROWS($1:14)),))</f>
        <v>1521</v>
      </c>
      <c r="G24" s="893" t="str">
        <f ca="1">IF(ROWS($1:14)&gt;COUNT(Dong6),"",OFFSET(TH!M$1,SMALL(Dong6,ROWS($1:14)),))</f>
        <v>331</v>
      </c>
      <c r="H24" s="894">
        <f ca="1">IF(ROWS($1:14)&gt;COUNT(Dong6),"",OFFSET(TH!K$1,SMALL(Dong6,ROWS($1:14)),))</f>
        <v>4479840</v>
      </c>
      <c r="I24" s="894">
        <f ca="1">IF(ROWS($1:14)&gt;COUNT(Dong6),"",OFFSET(TH!K$1,SMALL(Dong6,ROWS($1:14)),))</f>
        <v>4479840</v>
      </c>
    </row>
    <row r="25" spans="1:9" ht="21.75" customHeight="1">
      <c r="A25" s="891">
        <f ca="1">IF(ROWS($1:15)&gt;COUNT(Dong6),"",OFFSET(TH!C$1,SMALL(Dong6,ROWS($1:15)),))</f>
        <v>41012</v>
      </c>
      <c r="B25" s="890" t="str">
        <f ca="1">IF(ROWS($1:15)&gt;COUNT(Dong6),"",OFFSET(TH!D$1,SMALL(Dong6,ROWS($1:15)),))</f>
        <v>NL/N01</v>
      </c>
      <c r="C25" s="891">
        <f ca="1">IF(ROWS($1:15)&gt;COUNT(Dong6),"",OFFSET(TH!E$1,SMALL(Dong6,ROWS($1:15)),))</f>
        <v>41012</v>
      </c>
      <c r="D25" s="892" t="str">
        <f ca="1">IF(ROWS($1:15)&gt;COUNT(Dong6),"",OFFSET(TH!F$1,SMALL(Dong6,ROWS($1:15)),))</f>
        <v>Giấy 3 lớp (175x125)</v>
      </c>
      <c r="E25" s="890">
        <f t="shared" ca="1" si="0"/>
        <v>15</v>
      </c>
      <c r="F25" s="893" t="str">
        <f ca="1">IF(ROWS($1:15)&gt;COUNT(Dong6),"",OFFSET(TH!L$1,SMALL(Dong6,ROWS($1:15)),))</f>
        <v>1521</v>
      </c>
      <c r="G25" s="893" t="str">
        <f ca="1">IF(ROWS($1:15)&gt;COUNT(Dong6),"",OFFSET(TH!M$1,SMALL(Dong6,ROWS($1:15)),))</f>
        <v>331</v>
      </c>
      <c r="H25" s="894">
        <f ca="1">IF(ROWS($1:15)&gt;COUNT(Dong6),"",OFFSET(TH!K$1,SMALL(Dong6,ROWS($1:15)),))</f>
        <v>7621120</v>
      </c>
      <c r="I25" s="894">
        <f ca="1">IF(ROWS($1:15)&gt;COUNT(Dong6),"",OFFSET(TH!K$1,SMALL(Dong6,ROWS($1:15)),))</f>
        <v>7621120</v>
      </c>
    </row>
    <row r="26" spans="1:9" ht="21.75" customHeight="1">
      <c r="A26" s="891">
        <f ca="1">IF(ROWS($1:16)&gt;COUNT(Dong6),"",OFFSET(TH!C$1,SMALL(Dong6,ROWS($1:16)),))</f>
        <v>41012</v>
      </c>
      <c r="B26" s="890" t="str">
        <f ca="1">IF(ROWS($1:16)&gt;COUNT(Dong6),"",OFFSET(TH!D$1,SMALL(Dong6,ROWS($1:16)),))</f>
        <v>NL/N01</v>
      </c>
      <c r="C26" s="891">
        <f ca="1">IF(ROWS($1:16)&gt;COUNT(Dong6),"",OFFSET(TH!E$1,SMALL(Dong6,ROWS($1:16)),))</f>
        <v>41012</v>
      </c>
      <c r="D26" s="892" t="str">
        <f ca="1">IF(ROWS($1:16)&gt;COUNT(Dong6),"",OFFSET(TH!F$1,SMALL(Dong6,ROWS($1:16)),))</f>
        <v>Giấy 3 lớp (181x125)</v>
      </c>
      <c r="E26" s="890">
        <f t="shared" ca="1" si="0"/>
        <v>16</v>
      </c>
      <c r="F26" s="893" t="str">
        <f ca="1">IF(ROWS($1:16)&gt;COUNT(Dong6),"",OFFSET(TH!L$1,SMALL(Dong6,ROWS($1:16)),))</f>
        <v>1521</v>
      </c>
      <c r="G26" s="893" t="str">
        <f ca="1">IF(ROWS($1:16)&gt;COUNT(Dong6),"",OFFSET(TH!M$1,SMALL(Dong6,ROWS($1:16)),))</f>
        <v>331</v>
      </c>
      <c r="H26" s="894">
        <f ca="1">IF(ROWS($1:16)&gt;COUNT(Dong6),"",OFFSET(TH!K$1,SMALL(Dong6,ROWS($1:16)),))</f>
        <v>1515900</v>
      </c>
      <c r="I26" s="894">
        <f ca="1">IF(ROWS($1:16)&gt;COUNT(Dong6),"",OFFSET(TH!K$1,SMALL(Dong6,ROWS($1:16)),))</f>
        <v>1515900</v>
      </c>
    </row>
    <row r="27" spans="1:9" ht="21.75" customHeight="1">
      <c r="A27" s="891">
        <f ca="1">IF(ROWS($1:17)&gt;COUNT(Dong6),"",OFFSET(TH!C$1,SMALL(Dong6,ROWS($1:17)),))</f>
        <v>41012</v>
      </c>
      <c r="B27" s="890" t="str">
        <f ca="1">IF(ROWS($1:17)&gt;COUNT(Dong6),"",OFFSET(TH!D$1,SMALL(Dong6,ROWS($1:17)),))</f>
        <v>NL/N01</v>
      </c>
      <c r="C27" s="891">
        <f ca="1">IF(ROWS($1:17)&gt;COUNT(Dong6),"",OFFSET(TH!E$1,SMALL(Dong6,ROWS($1:17)),))</f>
        <v>41012</v>
      </c>
      <c r="D27" s="892" t="str">
        <f ca="1">IF(ROWS($1:17)&gt;COUNT(Dong6),"",OFFSET(TH!F$1,SMALL(Dong6,ROWS($1:17)),))</f>
        <v>Giấy 3 lớp (205x145)</v>
      </c>
      <c r="E27" s="890">
        <f t="shared" ca="1" si="0"/>
        <v>17</v>
      </c>
      <c r="F27" s="893" t="str">
        <f ca="1">IF(ROWS($1:17)&gt;COUNT(Dong6),"",OFFSET(TH!L$1,SMALL(Dong6,ROWS($1:17)),))</f>
        <v>1521</v>
      </c>
      <c r="G27" s="893" t="str">
        <f ca="1">IF(ROWS($1:17)&gt;COUNT(Dong6),"",OFFSET(TH!M$1,SMALL(Dong6,ROWS($1:17)),))</f>
        <v>331</v>
      </c>
      <c r="H27" s="894">
        <f ca="1">IF(ROWS($1:17)&gt;COUNT(Dong6),"",OFFSET(TH!K$1,SMALL(Dong6,ROWS($1:17)),))</f>
        <v>25014496</v>
      </c>
      <c r="I27" s="894">
        <f ca="1">IF(ROWS($1:17)&gt;COUNT(Dong6),"",OFFSET(TH!K$1,SMALL(Dong6,ROWS($1:17)),))</f>
        <v>25014496</v>
      </c>
    </row>
    <row r="28" spans="1:9" ht="21.75" customHeight="1">
      <c r="A28" s="891">
        <f ca="1">IF(ROWS($1:18)&gt;COUNT(Dong6),"",OFFSET(TH!C$1,SMALL(Dong6,ROWS($1:18)),))</f>
        <v>41012</v>
      </c>
      <c r="B28" s="890" t="str">
        <f ca="1">IF(ROWS($1:18)&gt;COUNT(Dong6),"",OFFSET(TH!D$1,SMALL(Dong6,ROWS($1:18)),))</f>
        <v>NL/N01</v>
      </c>
      <c r="C28" s="891">
        <f ca="1">IF(ROWS($1:18)&gt;COUNT(Dong6),"",OFFSET(TH!E$1,SMALL(Dong6,ROWS($1:18)),))</f>
        <v>41012</v>
      </c>
      <c r="D28" s="892" t="str">
        <f ca="1">IF(ROWS($1:18)&gt;COUNT(Dong6),"",OFFSET(TH!F$1,SMALL(Dong6,ROWS($1:18)),))</f>
        <v>Giấy 3 lớp (225x145)</v>
      </c>
      <c r="E28" s="890">
        <f t="shared" ca="1" si="0"/>
        <v>18</v>
      </c>
      <c r="F28" s="893" t="str">
        <f ca="1">IF(ROWS($1:18)&gt;COUNT(Dong6),"",OFFSET(TH!L$1,SMALL(Dong6,ROWS($1:18)),))</f>
        <v>1521</v>
      </c>
      <c r="G28" s="893" t="str">
        <f ca="1">IF(ROWS($1:18)&gt;COUNT(Dong6),"",OFFSET(TH!M$1,SMALL(Dong6,ROWS($1:18)),))</f>
        <v>331</v>
      </c>
      <c r="H28" s="894">
        <f ca="1">IF(ROWS($1:18)&gt;COUNT(Dong6),"",OFFSET(TH!K$1,SMALL(Dong6,ROWS($1:18)),))</f>
        <v>3497440</v>
      </c>
      <c r="I28" s="894">
        <f ca="1">IF(ROWS($1:18)&gt;COUNT(Dong6),"",OFFSET(TH!K$1,SMALL(Dong6,ROWS($1:18)),))</f>
        <v>3497440</v>
      </c>
    </row>
    <row r="29" spans="1:9" ht="21.75" customHeight="1">
      <c r="A29" s="891">
        <f ca="1">IF(ROWS($1:19)&gt;COUNT(Dong6),"",OFFSET(TH!C$1,SMALL(Dong6,ROWS($1:19)),))</f>
        <v>41012</v>
      </c>
      <c r="B29" s="890" t="str">
        <f ca="1">IF(ROWS($1:19)&gt;COUNT(Dong6),"",OFFSET(TH!D$1,SMALL(Dong6,ROWS($1:19)),))</f>
        <v>NL/N01</v>
      </c>
      <c r="C29" s="891">
        <f ca="1">IF(ROWS($1:19)&gt;COUNT(Dong6),"",OFFSET(TH!E$1,SMALL(Dong6,ROWS($1:19)),))</f>
        <v>41012</v>
      </c>
      <c r="D29" s="892" t="str">
        <f ca="1">IF(ROWS($1:19)&gt;COUNT(Dong6),"",OFFSET(TH!F$1,SMALL(Dong6,ROWS($1:19)),))</f>
        <v>Giấy 3 lớp (197x145)</v>
      </c>
      <c r="E29" s="890">
        <f t="shared" ca="1" si="0"/>
        <v>19</v>
      </c>
      <c r="F29" s="893" t="str">
        <f ca="1">IF(ROWS($1:19)&gt;COUNT(Dong6),"",OFFSET(TH!L$1,SMALL(Dong6,ROWS($1:19)),))</f>
        <v>1521</v>
      </c>
      <c r="G29" s="893" t="str">
        <f ca="1">IF(ROWS($1:19)&gt;COUNT(Dong6),"",OFFSET(TH!M$1,SMALL(Dong6,ROWS($1:19)),))</f>
        <v>331</v>
      </c>
      <c r="H29" s="894">
        <f ca="1">IF(ROWS($1:19)&gt;COUNT(Dong6),"",OFFSET(TH!K$1,SMALL(Dong6,ROWS($1:19)),))</f>
        <v>22966800</v>
      </c>
      <c r="I29" s="894">
        <f ca="1">IF(ROWS($1:19)&gt;COUNT(Dong6),"",OFFSET(TH!K$1,SMALL(Dong6,ROWS($1:19)),))</f>
        <v>22966800</v>
      </c>
    </row>
    <row r="30" spans="1:9" ht="21.75" customHeight="1">
      <c r="A30" s="891">
        <f ca="1">IF(ROWS($1:20)&gt;COUNT(Dong6),"",OFFSET(TH!C$1,SMALL(Dong6,ROWS($1:20)),))</f>
        <v>41012</v>
      </c>
      <c r="B30" s="890" t="str">
        <f ca="1">IF(ROWS($1:20)&gt;COUNT(Dong6),"",OFFSET(TH!D$1,SMALL(Dong6,ROWS($1:20)),))</f>
        <v>NL/N01</v>
      </c>
      <c r="C30" s="891">
        <f ca="1">IF(ROWS($1:20)&gt;COUNT(Dong6),"",OFFSET(TH!E$1,SMALL(Dong6,ROWS($1:20)),))</f>
        <v>41012</v>
      </c>
      <c r="D30" s="892" t="str">
        <f ca="1">IF(ROWS($1:20)&gt;COUNT(Dong6),"",OFFSET(TH!F$1,SMALL(Dong6,ROWS($1:20)),))</f>
        <v>Giấy 3 lớp (217x160)</v>
      </c>
      <c r="E30" s="890">
        <f t="shared" ca="1" si="0"/>
        <v>20</v>
      </c>
      <c r="F30" s="893" t="str">
        <f ca="1">IF(ROWS($1:20)&gt;COUNT(Dong6),"",OFFSET(TH!L$1,SMALL(Dong6,ROWS($1:20)),))</f>
        <v>1521</v>
      </c>
      <c r="G30" s="893" t="str">
        <f ca="1">IF(ROWS($1:20)&gt;COUNT(Dong6),"",OFFSET(TH!M$1,SMALL(Dong6,ROWS($1:20)),))</f>
        <v>331</v>
      </c>
      <c r="H30" s="894">
        <f ca="1">IF(ROWS($1:20)&gt;COUNT(Dong6),"",OFFSET(TH!K$1,SMALL(Dong6,ROWS($1:20)),))</f>
        <v>2791440</v>
      </c>
      <c r="I30" s="894">
        <f ca="1">IF(ROWS($1:20)&gt;COUNT(Dong6),"",OFFSET(TH!K$1,SMALL(Dong6,ROWS($1:20)),))</f>
        <v>2791440</v>
      </c>
    </row>
    <row r="31" spans="1:9" ht="21.75" customHeight="1">
      <c r="A31" s="891">
        <f ca="1">IF(ROWS($1:21)&gt;COUNT(Dong6),"",OFFSET(TH!C$1,SMALL(Dong6,ROWS($1:21)),))</f>
        <v>41012</v>
      </c>
      <c r="B31" s="890" t="str">
        <f ca="1">IF(ROWS($1:21)&gt;COUNT(Dong6),"",OFFSET(TH!D$1,SMALL(Dong6,ROWS($1:21)),))</f>
        <v>NL/N01</v>
      </c>
      <c r="C31" s="891">
        <f ca="1">IF(ROWS($1:21)&gt;COUNT(Dong6),"",OFFSET(TH!E$1,SMALL(Dong6,ROWS($1:21)),))</f>
        <v>41012</v>
      </c>
      <c r="D31" s="892" t="str">
        <f ca="1">IF(ROWS($1:21)&gt;COUNT(Dong6),"",OFFSET(TH!F$1,SMALL(Dong6,ROWS($1:21)),))</f>
        <v>Giấy 3 lớp (219x160)</v>
      </c>
      <c r="E31" s="890">
        <f t="shared" ca="1" si="0"/>
        <v>21</v>
      </c>
      <c r="F31" s="893" t="str">
        <f ca="1">IF(ROWS($1:21)&gt;COUNT(Dong6),"",OFFSET(TH!L$1,SMALL(Dong6,ROWS($1:21)),))</f>
        <v>1521</v>
      </c>
      <c r="G31" s="893" t="str">
        <f ca="1">IF(ROWS($1:21)&gt;COUNT(Dong6),"",OFFSET(TH!M$1,SMALL(Dong6,ROWS($1:21)),))</f>
        <v>331</v>
      </c>
      <c r="H31" s="894">
        <f ca="1">IF(ROWS($1:21)&gt;COUNT(Dong6),"",OFFSET(TH!K$1,SMALL(Dong6,ROWS($1:21)),))</f>
        <v>3052010</v>
      </c>
      <c r="I31" s="894">
        <f ca="1">IF(ROWS($1:21)&gt;COUNT(Dong6),"",OFFSET(TH!K$1,SMALL(Dong6,ROWS($1:21)),))</f>
        <v>3052010</v>
      </c>
    </row>
    <row r="32" spans="1:9" ht="21.75" customHeight="1">
      <c r="A32" s="891">
        <f ca="1">IF(ROWS($1:22)&gt;COUNT(Dong6),"",OFFSET(TH!C$1,SMALL(Dong6,ROWS($1:22)),))</f>
        <v>41012</v>
      </c>
      <c r="B32" s="890" t="str">
        <f ca="1">IF(ROWS($1:22)&gt;COUNT(Dong6),"",OFFSET(TH!D$1,SMALL(Dong6,ROWS($1:22)),))</f>
        <v>NL/N01</v>
      </c>
      <c r="C32" s="891">
        <f ca="1">IF(ROWS($1:22)&gt;COUNT(Dong6),"",OFFSET(TH!E$1,SMALL(Dong6,ROWS($1:22)),))</f>
        <v>41012</v>
      </c>
      <c r="D32" s="892" t="str">
        <f ca="1">IF(ROWS($1:22)&gt;COUNT(Dong6),"",OFFSET(TH!F$1,SMALL(Dong6,ROWS($1:22)),))</f>
        <v>VAT Giấy</v>
      </c>
      <c r="E32" s="890">
        <f t="shared" ca="1" si="0"/>
        <v>22</v>
      </c>
      <c r="F32" s="893" t="str">
        <f ca="1">IF(ROWS($1:22)&gt;COUNT(Dong6),"",OFFSET(TH!L$1,SMALL(Dong6,ROWS($1:22)),))</f>
        <v>1331</v>
      </c>
      <c r="G32" s="893" t="str">
        <f ca="1">IF(ROWS($1:22)&gt;COUNT(Dong6),"",OFFSET(TH!M$1,SMALL(Dong6,ROWS($1:22)),))</f>
        <v>331</v>
      </c>
      <c r="H32" s="894">
        <f ca="1">IF(ROWS($1:22)&gt;COUNT(Dong6),"",OFFSET(TH!K$1,SMALL(Dong6,ROWS($1:22)),))</f>
        <v>7404319</v>
      </c>
      <c r="I32" s="894">
        <f ca="1">IF(ROWS($1:22)&gt;COUNT(Dong6),"",OFFSET(TH!K$1,SMALL(Dong6,ROWS($1:22)),))</f>
        <v>7404319</v>
      </c>
    </row>
    <row r="33" spans="1:9" ht="21.75" customHeight="1">
      <c r="A33" s="891">
        <f ca="1">IF(ROWS($1:23)&gt;COUNT(Dong6),"",OFFSET(TH!C$1,SMALL(Dong6,ROWS($1:23)),))</f>
        <v>41012</v>
      </c>
      <c r="B33" s="890" t="str">
        <f ca="1">IF(ROWS($1:23)&gt;COUNT(Dong6),"",OFFSET(TH!D$1,SMALL(Dong6,ROWS($1:23)),))</f>
        <v>NL/N02</v>
      </c>
      <c r="C33" s="891">
        <f ca="1">IF(ROWS($1:23)&gt;COUNT(Dong6),"",OFFSET(TH!E$1,SMALL(Dong6,ROWS($1:23)),))</f>
        <v>41012</v>
      </c>
      <c r="D33" s="892" t="str">
        <f ca="1">IF(ROWS($1:23)&gt;COUNT(Dong6),"",OFFSET(TH!F$1,SMALL(Dong6,ROWS($1:23)),))</f>
        <v>Giấy 3 lớp (225x85)</v>
      </c>
      <c r="E33" s="890">
        <f t="shared" ca="1" si="0"/>
        <v>23</v>
      </c>
      <c r="F33" s="893" t="str">
        <f ca="1">IF(ROWS($1:23)&gt;COUNT(Dong6),"",OFFSET(TH!L$1,SMALL(Dong6,ROWS($1:23)),))</f>
        <v>1521</v>
      </c>
      <c r="G33" s="893" t="str">
        <f ca="1">IF(ROWS($1:23)&gt;COUNT(Dong6),"",OFFSET(TH!M$1,SMALL(Dong6,ROWS($1:23)),))</f>
        <v>331</v>
      </c>
      <c r="H33" s="894">
        <f ca="1">IF(ROWS($1:23)&gt;COUNT(Dong6),"",OFFSET(TH!K$1,SMALL(Dong6,ROWS($1:23)),))</f>
        <v>1281400</v>
      </c>
      <c r="I33" s="894">
        <f ca="1">IF(ROWS($1:23)&gt;COUNT(Dong6),"",OFFSET(TH!K$1,SMALL(Dong6,ROWS($1:23)),))</f>
        <v>1281400</v>
      </c>
    </row>
    <row r="34" spans="1:9" ht="21.75" customHeight="1">
      <c r="A34" s="891">
        <f ca="1">IF(ROWS($1:24)&gt;COUNT(Dong6),"",OFFSET(TH!C$1,SMALL(Dong6,ROWS($1:24)),))</f>
        <v>41012</v>
      </c>
      <c r="B34" s="890" t="str">
        <f ca="1">IF(ROWS($1:24)&gt;COUNT(Dong6),"",OFFSET(TH!D$1,SMALL(Dong6,ROWS($1:24)),))</f>
        <v>NL/N02</v>
      </c>
      <c r="C34" s="891">
        <f ca="1">IF(ROWS($1:24)&gt;COUNT(Dong6),"",OFFSET(TH!E$1,SMALL(Dong6,ROWS($1:24)),))</f>
        <v>41012</v>
      </c>
      <c r="D34" s="892" t="str">
        <f ca="1">IF(ROWS($1:24)&gt;COUNT(Dong6),"",OFFSET(TH!F$1,SMALL(Dong6,ROWS($1:24)),))</f>
        <v>Giấy 3 lớp (242x85)</v>
      </c>
      <c r="E34" s="890">
        <f t="shared" ca="1" si="0"/>
        <v>24</v>
      </c>
      <c r="F34" s="893" t="str">
        <f ca="1">IF(ROWS($1:24)&gt;COUNT(Dong6),"",OFFSET(TH!L$1,SMALL(Dong6,ROWS($1:24)),))</f>
        <v>1521</v>
      </c>
      <c r="G34" s="893" t="str">
        <f ca="1">IF(ROWS($1:24)&gt;COUNT(Dong6),"",OFFSET(TH!M$1,SMALL(Dong6,ROWS($1:24)),))</f>
        <v>331</v>
      </c>
      <c r="H34" s="894">
        <f ca="1">IF(ROWS($1:24)&gt;COUNT(Dong6),"",OFFSET(TH!K$1,SMALL(Dong6,ROWS($1:24)),))</f>
        <v>1378200</v>
      </c>
      <c r="I34" s="894">
        <f ca="1">IF(ROWS($1:24)&gt;COUNT(Dong6),"",OFFSET(TH!K$1,SMALL(Dong6,ROWS($1:24)),))</f>
        <v>1378200</v>
      </c>
    </row>
    <row r="35" spans="1:9" ht="21.75" customHeight="1">
      <c r="A35" s="891">
        <f ca="1">IF(ROWS($1:25)&gt;COUNT(Dong6),"",OFFSET(TH!C$1,SMALL(Dong6,ROWS($1:25)),))</f>
        <v>41012</v>
      </c>
      <c r="B35" s="890" t="str">
        <f ca="1">IF(ROWS($1:25)&gt;COUNT(Dong6),"",OFFSET(TH!D$1,SMALL(Dong6,ROWS($1:25)),))</f>
        <v>NL/N02</v>
      </c>
      <c r="C35" s="891">
        <f ca="1">IF(ROWS($1:25)&gt;COUNT(Dong6),"",OFFSET(TH!E$1,SMALL(Dong6,ROWS($1:25)),))</f>
        <v>41012</v>
      </c>
      <c r="D35" s="892" t="str">
        <f ca="1">IF(ROWS($1:25)&gt;COUNT(Dong6),"",OFFSET(TH!F$1,SMALL(Dong6,ROWS($1:25)),))</f>
        <v>Giấy 3 lớp (149x115)</v>
      </c>
      <c r="E35" s="890">
        <f t="shared" ca="1" si="0"/>
        <v>25</v>
      </c>
      <c r="F35" s="893" t="str">
        <f ca="1">IF(ROWS($1:25)&gt;COUNT(Dong6),"",OFFSET(TH!L$1,SMALL(Dong6,ROWS($1:25)),))</f>
        <v>1521</v>
      </c>
      <c r="G35" s="893" t="str">
        <f ca="1">IF(ROWS($1:25)&gt;COUNT(Dong6),"",OFFSET(TH!M$1,SMALL(Dong6,ROWS($1:25)),))</f>
        <v>331</v>
      </c>
      <c r="H35" s="894">
        <f ca="1">IF(ROWS($1:25)&gt;COUNT(Dong6),"",OFFSET(TH!K$1,SMALL(Dong6,ROWS($1:25)),))</f>
        <v>2870000</v>
      </c>
      <c r="I35" s="894">
        <f ca="1">IF(ROWS($1:25)&gt;COUNT(Dong6),"",OFFSET(TH!K$1,SMALL(Dong6,ROWS($1:25)),))</f>
        <v>2870000</v>
      </c>
    </row>
    <row r="36" spans="1:9" ht="21.75" customHeight="1">
      <c r="A36" s="891">
        <f ca="1">IF(ROWS($1:26)&gt;COUNT(Dong6),"",OFFSET(TH!C$1,SMALL(Dong6,ROWS($1:26)),))</f>
        <v>41012</v>
      </c>
      <c r="B36" s="890" t="str">
        <f ca="1">IF(ROWS($1:26)&gt;COUNT(Dong6),"",OFFSET(TH!D$1,SMALL(Dong6,ROWS($1:26)),))</f>
        <v>NL/N02</v>
      </c>
      <c r="C36" s="891">
        <f ca="1">IF(ROWS($1:26)&gt;COUNT(Dong6),"",OFFSET(TH!E$1,SMALL(Dong6,ROWS($1:26)),))</f>
        <v>41012</v>
      </c>
      <c r="D36" s="892" t="str">
        <f ca="1">IF(ROWS($1:26)&gt;COUNT(Dong6),"",OFFSET(TH!F$1,SMALL(Dong6,ROWS($1:26)),))</f>
        <v>Giấy 5 lớp (205x140)</v>
      </c>
      <c r="E36" s="890">
        <f t="shared" ca="1" si="0"/>
        <v>26</v>
      </c>
      <c r="F36" s="893" t="str">
        <f ca="1">IF(ROWS($1:26)&gt;COUNT(Dong6),"",OFFSET(TH!L$1,SMALL(Dong6,ROWS($1:26)),))</f>
        <v>1521</v>
      </c>
      <c r="G36" s="893" t="str">
        <f ca="1">IF(ROWS($1:26)&gt;COUNT(Dong6),"",OFFSET(TH!M$1,SMALL(Dong6,ROWS($1:26)),))</f>
        <v>331</v>
      </c>
      <c r="H36" s="894">
        <f ca="1">IF(ROWS($1:26)&gt;COUNT(Dong6),"",OFFSET(TH!K$1,SMALL(Dong6,ROWS($1:26)),))</f>
        <v>2203012</v>
      </c>
      <c r="I36" s="894">
        <f ca="1">IF(ROWS($1:26)&gt;COUNT(Dong6),"",OFFSET(TH!K$1,SMALL(Dong6,ROWS($1:26)),))</f>
        <v>2203012</v>
      </c>
    </row>
    <row r="37" spans="1:9" ht="21.75" customHeight="1">
      <c r="A37" s="891">
        <f ca="1">IF(ROWS($1:27)&gt;COUNT(Dong6),"",OFFSET(TH!C$1,SMALL(Dong6,ROWS($1:27)),))</f>
        <v>41012</v>
      </c>
      <c r="B37" s="890" t="str">
        <f ca="1">IF(ROWS($1:27)&gt;COUNT(Dong6),"",OFFSET(TH!D$1,SMALL(Dong6,ROWS($1:27)),))</f>
        <v>NL/N02</v>
      </c>
      <c r="C37" s="891">
        <f ca="1">IF(ROWS($1:27)&gt;COUNT(Dong6),"",OFFSET(TH!E$1,SMALL(Dong6,ROWS($1:27)),))</f>
        <v>41012</v>
      </c>
      <c r="D37" s="892" t="str">
        <f ca="1">IF(ROWS($1:27)&gt;COUNT(Dong6),"",OFFSET(TH!F$1,SMALL(Dong6,ROWS($1:27)),))</f>
        <v>Giấy 5 lớp (128x90)</v>
      </c>
      <c r="E37" s="890">
        <f t="shared" ca="1" si="0"/>
        <v>27</v>
      </c>
      <c r="F37" s="893" t="str">
        <f ca="1">IF(ROWS($1:27)&gt;COUNT(Dong6),"",OFFSET(TH!L$1,SMALL(Dong6,ROWS($1:27)),))</f>
        <v>1521</v>
      </c>
      <c r="G37" s="893" t="str">
        <f ca="1">IF(ROWS($1:27)&gt;COUNT(Dong6),"",OFFSET(TH!M$1,SMALL(Dong6,ROWS($1:27)),))</f>
        <v>331</v>
      </c>
      <c r="H37" s="894">
        <f ca="1">IF(ROWS($1:27)&gt;COUNT(Dong6),"",OFFSET(TH!K$1,SMALL(Dong6,ROWS($1:27)),))</f>
        <v>3723200</v>
      </c>
      <c r="I37" s="894">
        <f ca="1">IF(ROWS($1:27)&gt;COUNT(Dong6),"",OFFSET(TH!K$1,SMALL(Dong6,ROWS($1:27)),))</f>
        <v>3723200</v>
      </c>
    </row>
    <row r="38" spans="1:9" ht="21.75" customHeight="1">
      <c r="A38" s="891">
        <f ca="1">IF(ROWS($1:28)&gt;COUNT(Dong6),"",OFFSET(TH!C$1,SMALL(Dong6,ROWS($1:28)),))</f>
        <v>41012</v>
      </c>
      <c r="B38" s="890" t="str">
        <f ca="1">IF(ROWS($1:28)&gt;COUNT(Dong6),"",OFFSET(TH!D$1,SMALL(Dong6,ROWS($1:28)),))</f>
        <v>NL/N02</v>
      </c>
      <c r="C38" s="891">
        <f ca="1">IF(ROWS($1:28)&gt;COUNT(Dong6),"",OFFSET(TH!E$1,SMALL(Dong6,ROWS($1:28)),))</f>
        <v>41012</v>
      </c>
      <c r="D38" s="892" t="str">
        <f ca="1">IF(ROWS($1:28)&gt;COUNT(Dong6),"",OFFSET(TH!F$1,SMALL(Dong6,ROWS($1:28)),))</f>
        <v>Giấy 5 lớp (137x115)</v>
      </c>
      <c r="E38" s="890">
        <f t="shared" ca="1" si="0"/>
        <v>28</v>
      </c>
      <c r="F38" s="893" t="str">
        <f ca="1">IF(ROWS($1:28)&gt;COUNT(Dong6),"",OFFSET(TH!L$1,SMALL(Dong6,ROWS($1:28)),))</f>
        <v>1521</v>
      </c>
      <c r="G38" s="893" t="str">
        <f ca="1">IF(ROWS($1:28)&gt;COUNT(Dong6),"",OFFSET(TH!M$1,SMALL(Dong6,ROWS($1:28)),))</f>
        <v>331</v>
      </c>
      <c r="H38" s="894">
        <f ca="1">IF(ROWS($1:28)&gt;COUNT(Dong6),"",OFFSET(TH!K$1,SMALL(Dong6,ROWS($1:28)),))</f>
        <v>7956500</v>
      </c>
      <c r="I38" s="894">
        <f ca="1">IF(ROWS($1:28)&gt;COUNT(Dong6),"",OFFSET(TH!K$1,SMALL(Dong6,ROWS($1:28)),))</f>
        <v>7956500</v>
      </c>
    </row>
    <row r="39" spans="1:9" ht="21.75" customHeight="1">
      <c r="A39" s="891">
        <f ca="1">IF(ROWS($1:29)&gt;COUNT(Dong6),"",OFFSET(TH!C$1,SMALL(Dong6,ROWS($1:29)),))</f>
        <v>41012</v>
      </c>
      <c r="B39" s="890" t="str">
        <f ca="1">IF(ROWS($1:29)&gt;COUNT(Dong6),"",OFFSET(TH!D$1,SMALL(Dong6,ROWS($1:29)),))</f>
        <v>NL/N02</v>
      </c>
      <c r="C39" s="891">
        <f ca="1">IF(ROWS($1:29)&gt;COUNT(Dong6),"",OFFSET(TH!E$1,SMALL(Dong6,ROWS($1:29)),))</f>
        <v>41012</v>
      </c>
      <c r="D39" s="892" t="str">
        <f ca="1">IF(ROWS($1:29)&gt;COUNT(Dong6),"",OFFSET(TH!F$1,SMALL(Dong6,ROWS($1:29)),))</f>
        <v>Giấy 5 lớp (149x115)</v>
      </c>
      <c r="E39" s="890">
        <f t="shared" ca="1" si="0"/>
        <v>29</v>
      </c>
      <c r="F39" s="893" t="str">
        <f ca="1">IF(ROWS($1:29)&gt;COUNT(Dong6),"",OFFSET(TH!L$1,SMALL(Dong6,ROWS($1:29)),))</f>
        <v>1521</v>
      </c>
      <c r="G39" s="893" t="str">
        <f ca="1">IF(ROWS($1:29)&gt;COUNT(Dong6),"",OFFSET(TH!M$1,SMALL(Dong6,ROWS($1:29)),))</f>
        <v>331</v>
      </c>
      <c r="H39" s="894">
        <f ca="1">IF(ROWS($1:29)&gt;COUNT(Dong6),"",OFFSET(TH!K$1,SMALL(Dong6,ROWS($1:29)),))</f>
        <v>865300</v>
      </c>
      <c r="I39" s="894">
        <f ca="1">IF(ROWS($1:29)&gt;COUNT(Dong6),"",OFFSET(TH!K$1,SMALL(Dong6,ROWS($1:29)),))</f>
        <v>865300</v>
      </c>
    </row>
    <row r="40" spans="1:9" ht="21.75" customHeight="1">
      <c r="A40" s="891">
        <f ca="1">IF(ROWS($1:30)&gt;COUNT(Dong6),"",OFFSET(TH!C$1,SMALL(Dong6,ROWS($1:30)),))</f>
        <v>41012</v>
      </c>
      <c r="B40" s="890" t="str">
        <f ca="1">IF(ROWS($1:30)&gt;COUNT(Dong6),"",OFFSET(TH!D$1,SMALL(Dong6,ROWS($1:30)),))</f>
        <v>NL/N02</v>
      </c>
      <c r="C40" s="891">
        <f ca="1">IF(ROWS($1:30)&gt;COUNT(Dong6),"",OFFSET(TH!E$1,SMALL(Dong6,ROWS($1:30)),))</f>
        <v>41012</v>
      </c>
      <c r="D40" s="892" t="str">
        <f ca="1">IF(ROWS($1:30)&gt;COUNT(Dong6),"",OFFSET(TH!F$1,SMALL(Dong6,ROWS($1:30)),))</f>
        <v>Giấy 5 lớp (147x125)</v>
      </c>
      <c r="E40" s="890">
        <f t="shared" ca="1" si="0"/>
        <v>30</v>
      </c>
      <c r="F40" s="893" t="str">
        <f ca="1">IF(ROWS($1:30)&gt;COUNT(Dong6),"",OFFSET(TH!L$1,SMALL(Dong6,ROWS($1:30)),))</f>
        <v>1521</v>
      </c>
      <c r="G40" s="893" t="str">
        <f ca="1">IF(ROWS($1:30)&gt;COUNT(Dong6),"",OFFSET(TH!M$1,SMALL(Dong6,ROWS($1:30)),))</f>
        <v>331</v>
      </c>
      <c r="H40" s="894">
        <f ca="1">IF(ROWS($1:30)&gt;COUNT(Dong6),"",OFFSET(TH!K$1,SMALL(Dong6,ROWS($1:30)),))</f>
        <v>6495650</v>
      </c>
      <c r="I40" s="894">
        <f ca="1">IF(ROWS($1:30)&gt;COUNT(Dong6),"",OFFSET(TH!K$1,SMALL(Dong6,ROWS($1:30)),))</f>
        <v>6495650</v>
      </c>
    </row>
    <row r="41" spans="1:9" ht="21.75" customHeight="1">
      <c r="A41" s="891">
        <f ca="1">IF(ROWS($1:31)&gt;COUNT(Dong6),"",OFFSET(TH!C$1,SMALL(Dong6,ROWS($1:31)),))</f>
        <v>41012</v>
      </c>
      <c r="B41" s="890" t="str">
        <f ca="1">IF(ROWS($1:31)&gt;COUNT(Dong6),"",OFFSET(TH!D$1,SMALL(Dong6,ROWS($1:31)),))</f>
        <v>NL/N02</v>
      </c>
      <c r="C41" s="891">
        <f ca="1">IF(ROWS($1:31)&gt;COUNT(Dong6),"",OFFSET(TH!E$1,SMALL(Dong6,ROWS($1:31)),))</f>
        <v>41012</v>
      </c>
      <c r="D41" s="892" t="str">
        <f ca="1">IF(ROWS($1:31)&gt;COUNT(Dong6),"",OFFSET(TH!F$1,SMALL(Dong6,ROWS($1:31)),))</f>
        <v>VAT Giấy</v>
      </c>
      <c r="E41" s="890">
        <f t="shared" ca="1" si="0"/>
        <v>31</v>
      </c>
      <c r="F41" s="893" t="str">
        <f ca="1">IF(ROWS($1:31)&gt;COUNT(Dong6),"",OFFSET(TH!L$1,SMALL(Dong6,ROWS($1:31)),))</f>
        <v>1331</v>
      </c>
      <c r="G41" s="893" t="str">
        <f ca="1">IF(ROWS($1:31)&gt;COUNT(Dong6),"",OFFSET(TH!M$1,SMALL(Dong6,ROWS($1:31)),))</f>
        <v>331</v>
      </c>
      <c r="H41" s="894">
        <f ca="1">IF(ROWS($1:31)&gt;COUNT(Dong6),"",OFFSET(TH!K$1,SMALL(Dong6,ROWS($1:31)),))</f>
        <v>2677326</v>
      </c>
      <c r="I41" s="894">
        <f ca="1">IF(ROWS($1:31)&gt;COUNT(Dong6),"",OFFSET(TH!K$1,SMALL(Dong6,ROWS($1:31)),))</f>
        <v>2677326</v>
      </c>
    </row>
    <row r="42" spans="1:9" ht="21.75" customHeight="1">
      <c r="A42" s="891">
        <f ca="1">IF(ROWS($1:32)&gt;COUNT(Dong6),"",OFFSET(TH!C$1,SMALL(Dong6,ROWS($1:32)),))</f>
        <v>41013</v>
      </c>
      <c r="B42" s="890" t="str">
        <f ca="1">IF(ROWS($1:32)&gt;COUNT(Dong6),"",OFFSET(TH!D$1,SMALL(Dong6,ROWS($1:32)),))</f>
        <v>NL/N03</v>
      </c>
      <c r="C42" s="891">
        <f ca="1">IF(ROWS($1:32)&gt;COUNT(Dong6),"",OFFSET(TH!E$1,SMALL(Dong6,ROWS($1:32)),))</f>
        <v>41013</v>
      </c>
      <c r="D42" s="892" t="str">
        <f ca="1">IF(ROWS($1:32)&gt;COUNT(Dong6),"",OFFSET(TH!F$1,SMALL(Dong6,ROWS($1:32)),))</f>
        <v>Giấy 3 lớp (86x145)</v>
      </c>
      <c r="E42" s="890">
        <f t="shared" ca="1" si="0"/>
        <v>32</v>
      </c>
      <c r="F42" s="893" t="str">
        <f ca="1">IF(ROWS($1:32)&gt;COUNT(Dong6),"",OFFSET(TH!L$1,SMALL(Dong6,ROWS($1:32)),))</f>
        <v>1521</v>
      </c>
      <c r="G42" s="893" t="str">
        <f ca="1">IF(ROWS($1:32)&gt;COUNT(Dong6),"",OFFSET(TH!M$1,SMALL(Dong6,ROWS($1:32)),))</f>
        <v>331</v>
      </c>
      <c r="H42" s="894">
        <f ca="1">IF(ROWS($1:32)&gt;COUNT(Dong6),"",OFFSET(TH!K$1,SMALL(Dong6,ROWS($1:32)),))</f>
        <v>3273550</v>
      </c>
      <c r="I42" s="894">
        <f ca="1">IF(ROWS($1:32)&gt;COUNT(Dong6),"",OFFSET(TH!K$1,SMALL(Dong6,ROWS($1:32)),))</f>
        <v>3273550</v>
      </c>
    </row>
    <row r="43" spans="1:9" ht="21.75" customHeight="1">
      <c r="A43" s="891">
        <f ca="1">IF(ROWS($1:33)&gt;COUNT(Dong6),"",OFFSET(TH!C$1,SMALL(Dong6,ROWS($1:33)),))</f>
        <v>41013</v>
      </c>
      <c r="B43" s="890" t="str">
        <f ca="1">IF(ROWS($1:33)&gt;COUNT(Dong6),"",OFFSET(TH!D$1,SMALL(Dong6,ROWS($1:33)),))</f>
        <v>NL/N03</v>
      </c>
      <c r="C43" s="891">
        <f ca="1">IF(ROWS($1:33)&gt;COUNT(Dong6),"",OFFSET(TH!E$1,SMALL(Dong6,ROWS($1:33)),))</f>
        <v>41013</v>
      </c>
      <c r="D43" s="892" t="str">
        <f ca="1">IF(ROWS($1:33)&gt;COUNT(Dong6),"",OFFSET(TH!F$1,SMALL(Dong6,ROWS($1:33)),))</f>
        <v>Giấy 3 lớp (86x145)</v>
      </c>
      <c r="E43" s="890">
        <f t="shared" ca="1" si="0"/>
        <v>33</v>
      </c>
      <c r="F43" s="893" t="str">
        <f ca="1">IF(ROWS($1:33)&gt;COUNT(Dong6),"",OFFSET(TH!L$1,SMALL(Dong6,ROWS($1:33)),))</f>
        <v>1521</v>
      </c>
      <c r="G43" s="893" t="str">
        <f ca="1">IF(ROWS($1:33)&gt;COUNT(Dong6),"",OFFSET(TH!M$1,SMALL(Dong6,ROWS($1:33)),))</f>
        <v>331</v>
      </c>
      <c r="H43" s="894">
        <f ca="1">IF(ROWS($1:33)&gt;COUNT(Dong6),"",OFFSET(TH!K$1,SMALL(Dong6,ROWS($1:33)),))</f>
        <v>1420350</v>
      </c>
      <c r="I43" s="894">
        <f ca="1">IF(ROWS($1:33)&gt;COUNT(Dong6),"",OFFSET(TH!K$1,SMALL(Dong6,ROWS($1:33)),))</f>
        <v>1420350</v>
      </c>
    </row>
    <row r="44" spans="1:9" ht="21.75" customHeight="1">
      <c r="A44" s="891">
        <f ca="1">IF(ROWS($1:34)&gt;COUNT(Dong6),"",OFFSET(TH!C$1,SMALL(Dong6,ROWS($1:34)),))</f>
        <v>41013</v>
      </c>
      <c r="B44" s="890" t="str">
        <f ca="1">IF(ROWS($1:34)&gt;COUNT(Dong6),"",OFFSET(TH!D$1,SMALL(Dong6,ROWS($1:34)),))</f>
        <v>NL/N03</v>
      </c>
      <c r="C44" s="891">
        <f ca="1">IF(ROWS($1:34)&gt;COUNT(Dong6),"",OFFSET(TH!E$1,SMALL(Dong6,ROWS($1:34)),))</f>
        <v>41013</v>
      </c>
      <c r="D44" s="892" t="str">
        <f ca="1">IF(ROWS($1:34)&gt;COUNT(Dong6),"",OFFSET(TH!F$1,SMALL(Dong6,ROWS($1:34)),))</f>
        <v>Giấy 3 lớp (139x120)</v>
      </c>
      <c r="E44" s="890">
        <f t="shared" ca="1" si="0"/>
        <v>34</v>
      </c>
      <c r="F44" s="893" t="str">
        <f ca="1">IF(ROWS($1:34)&gt;COUNT(Dong6),"",OFFSET(TH!L$1,SMALL(Dong6,ROWS($1:34)),))</f>
        <v>1521</v>
      </c>
      <c r="G44" s="893" t="str">
        <f ca="1">IF(ROWS($1:34)&gt;COUNT(Dong6),"",OFFSET(TH!M$1,SMALL(Dong6,ROWS($1:34)),))</f>
        <v>331</v>
      </c>
      <c r="H44" s="894">
        <f ca="1">IF(ROWS($1:34)&gt;COUNT(Dong6),"",OFFSET(TH!K$1,SMALL(Dong6,ROWS($1:34)),))</f>
        <v>1676400</v>
      </c>
      <c r="I44" s="894">
        <f ca="1">IF(ROWS($1:34)&gt;COUNT(Dong6),"",OFFSET(TH!K$1,SMALL(Dong6,ROWS($1:34)),))</f>
        <v>1676400</v>
      </c>
    </row>
    <row r="45" spans="1:9" ht="21.75" customHeight="1">
      <c r="A45" s="891">
        <f ca="1">IF(ROWS($1:35)&gt;COUNT(Dong6),"",OFFSET(TH!C$1,SMALL(Dong6,ROWS($1:35)),))</f>
        <v>41013</v>
      </c>
      <c r="B45" s="890" t="str">
        <f ca="1">IF(ROWS($1:35)&gt;COUNT(Dong6),"",OFFSET(TH!D$1,SMALL(Dong6,ROWS($1:35)),))</f>
        <v>NL/N03</v>
      </c>
      <c r="C45" s="891">
        <f ca="1">IF(ROWS($1:35)&gt;COUNT(Dong6),"",OFFSET(TH!E$1,SMALL(Dong6,ROWS($1:35)),))</f>
        <v>41013</v>
      </c>
      <c r="D45" s="892" t="str">
        <f ca="1">IF(ROWS($1:35)&gt;COUNT(Dong6),"",OFFSET(TH!F$1,SMALL(Dong6,ROWS($1:35)),))</f>
        <v>Giấy 3 lớp (150x125)</v>
      </c>
      <c r="E45" s="890">
        <f t="shared" ca="1" si="0"/>
        <v>35</v>
      </c>
      <c r="F45" s="893" t="str">
        <f ca="1">IF(ROWS($1:35)&gt;COUNT(Dong6),"",OFFSET(TH!L$1,SMALL(Dong6,ROWS($1:35)),))</f>
        <v>1521</v>
      </c>
      <c r="G45" s="893" t="str">
        <f ca="1">IF(ROWS($1:35)&gt;COUNT(Dong6),"",OFFSET(TH!M$1,SMALL(Dong6,ROWS($1:35)),))</f>
        <v>331</v>
      </c>
      <c r="H45" s="894">
        <f ca="1">IF(ROWS($1:35)&gt;COUNT(Dong6),"",OFFSET(TH!K$1,SMALL(Dong6,ROWS($1:35)),))</f>
        <v>2512600</v>
      </c>
      <c r="I45" s="894">
        <f ca="1">IF(ROWS($1:35)&gt;COUNT(Dong6),"",OFFSET(TH!K$1,SMALL(Dong6,ROWS($1:35)),))</f>
        <v>2512600</v>
      </c>
    </row>
    <row r="46" spans="1:9" ht="21.75" customHeight="1">
      <c r="A46" s="891">
        <f ca="1">IF(ROWS($1:36)&gt;COUNT(Dong6),"",OFFSET(TH!C$1,SMALL(Dong6,ROWS($1:36)),))</f>
        <v>41013</v>
      </c>
      <c r="B46" s="890" t="str">
        <f ca="1">IF(ROWS($1:36)&gt;COUNT(Dong6),"",OFFSET(TH!D$1,SMALL(Dong6,ROWS($1:36)),))</f>
        <v>NL/N03</v>
      </c>
      <c r="C46" s="891">
        <f ca="1">IF(ROWS($1:36)&gt;COUNT(Dong6),"",OFFSET(TH!E$1,SMALL(Dong6,ROWS($1:36)),))</f>
        <v>41013</v>
      </c>
      <c r="D46" s="892" t="str">
        <f ca="1">IF(ROWS($1:36)&gt;COUNT(Dong6),"",OFFSET(TH!F$1,SMALL(Dong6,ROWS($1:36)),))</f>
        <v>Giấy 3 lớp (160x145)</v>
      </c>
      <c r="E46" s="890">
        <f t="shared" ca="1" si="0"/>
        <v>36</v>
      </c>
      <c r="F46" s="893" t="str">
        <f ca="1">IF(ROWS($1:36)&gt;COUNT(Dong6),"",OFFSET(TH!L$1,SMALL(Dong6,ROWS($1:36)),))</f>
        <v>1521</v>
      </c>
      <c r="G46" s="893" t="str">
        <f ca="1">IF(ROWS($1:36)&gt;COUNT(Dong6),"",OFFSET(TH!M$1,SMALL(Dong6,ROWS($1:36)),))</f>
        <v>331</v>
      </c>
      <c r="H46" s="894">
        <f ca="1">IF(ROWS($1:36)&gt;COUNT(Dong6),"",OFFSET(TH!K$1,SMALL(Dong6,ROWS($1:36)),))</f>
        <v>1554400</v>
      </c>
      <c r="I46" s="894">
        <f ca="1">IF(ROWS($1:36)&gt;COUNT(Dong6),"",OFFSET(TH!K$1,SMALL(Dong6,ROWS($1:36)),))</f>
        <v>1554400</v>
      </c>
    </row>
    <row r="47" spans="1:9" ht="21.75" customHeight="1">
      <c r="A47" s="891">
        <f ca="1">IF(ROWS($1:37)&gt;COUNT(Dong6),"",OFFSET(TH!C$1,SMALL(Dong6,ROWS($1:37)),))</f>
        <v>41013</v>
      </c>
      <c r="B47" s="890" t="str">
        <f ca="1">IF(ROWS($1:37)&gt;COUNT(Dong6),"",OFFSET(TH!D$1,SMALL(Dong6,ROWS($1:37)),))</f>
        <v>NL/N03</v>
      </c>
      <c r="C47" s="891">
        <f ca="1">IF(ROWS($1:37)&gt;COUNT(Dong6),"",OFFSET(TH!E$1,SMALL(Dong6,ROWS($1:37)),))</f>
        <v>41013</v>
      </c>
      <c r="D47" s="892" t="str">
        <f ca="1">IF(ROWS($1:37)&gt;COUNT(Dong6),"",OFFSET(TH!F$1,SMALL(Dong6,ROWS($1:37)),))</f>
        <v>Giấy 5 lớp (156x95)</v>
      </c>
      <c r="E47" s="890">
        <f t="shared" ca="1" si="0"/>
        <v>37</v>
      </c>
      <c r="F47" s="893" t="str">
        <f ca="1">IF(ROWS($1:37)&gt;COUNT(Dong6),"",OFFSET(TH!L$1,SMALL(Dong6,ROWS($1:37)),))</f>
        <v>1521</v>
      </c>
      <c r="G47" s="893" t="str">
        <f ca="1">IF(ROWS($1:37)&gt;COUNT(Dong6),"",OFFSET(TH!M$1,SMALL(Dong6,ROWS($1:37)),))</f>
        <v>331</v>
      </c>
      <c r="H47" s="894">
        <f ca="1">IF(ROWS($1:37)&gt;COUNT(Dong6),"",OFFSET(TH!K$1,SMALL(Dong6,ROWS($1:37)),))</f>
        <v>4312500</v>
      </c>
      <c r="I47" s="894">
        <f ca="1">IF(ROWS($1:37)&gt;COUNT(Dong6),"",OFFSET(TH!K$1,SMALL(Dong6,ROWS($1:37)),))</f>
        <v>4312500</v>
      </c>
    </row>
    <row r="48" spans="1:9" ht="21.75" customHeight="1">
      <c r="A48" s="891">
        <f ca="1">IF(ROWS($1:38)&gt;COUNT(Dong6),"",OFFSET(TH!C$1,SMALL(Dong6,ROWS($1:38)),))</f>
        <v>41013</v>
      </c>
      <c r="B48" s="890" t="str">
        <f ca="1">IF(ROWS($1:38)&gt;COUNT(Dong6),"",OFFSET(TH!D$1,SMALL(Dong6,ROWS($1:38)),))</f>
        <v>NL/N03</v>
      </c>
      <c r="C48" s="891">
        <f ca="1">IF(ROWS($1:38)&gt;COUNT(Dong6),"",OFFSET(TH!E$1,SMALL(Dong6,ROWS($1:38)),))</f>
        <v>41013</v>
      </c>
      <c r="D48" s="892" t="str">
        <f ca="1">IF(ROWS($1:38)&gt;COUNT(Dong6),"",OFFSET(TH!F$1,SMALL(Dong6,ROWS($1:38)),))</f>
        <v>Giấy 5 lớp (168x115)</v>
      </c>
      <c r="E48" s="890">
        <f t="shared" ca="1" si="0"/>
        <v>38</v>
      </c>
      <c r="F48" s="893" t="str">
        <f ca="1">IF(ROWS($1:38)&gt;COUNT(Dong6),"",OFFSET(TH!L$1,SMALL(Dong6,ROWS($1:38)),))</f>
        <v>1521</v>
      </c>
      <c r="G48" s="893" t="str">
        <f ca="1">IF(ROWS($1:38)&gt;COUNT(Dong6),"",OFFSET(TH!M$1,SMALL(Dong6,ROWS($1:38)),))</f>
        <v>331</v>
      </c>
      <c r="H48" s="894">
        <f ca="1">IF(ROWS($1:38)&gt;COUNT(Dong6),"",OFFSET(TH!K$1,SMALL(Dong6,ROWS($1:38)),))</f>
        <v>9756500</v>
      </c>
      <c r="I48" s="894">
        <f ca="1">IF(ROWS($1:38)&gt;COUNT(Dong6),"",OFFSET(TH!K$1,SMALL(Dong6,ROWS($1:38)),))</f>
        <v>9756500</v>
      </c>
    </row>
    <row r="49" spans="1:10" ht="21.75" customHeight="1">
      <c r="A49" s="891">
        <f ca="1">IF(ROWS($1:39)&gt;COUNT(Dong6),"",OFFSET(TH!C$1,SMALL(Dong6,ROWS($1:39)),))</f>
        <v>41013</v>
      </c>
      <c r="B49" s="890" t="str">
        <f ca="1">IF(ROWS($1:39)&gt;COUNT(Dong6),"",OFFSET(TH!D$1,SMALL(Dong6,ROWS($1:39)),))</f>
        <v>NL/N03</v>
      </c>
      <c r="C49" s="891">
        <f ca="1">IF(ROWS($1:39)&gt;COUNT(Dong6),"",OFFSET(TH!E$1,SMALL(Dong6,ROWS($1:39)),))</f>
        <v>41013</v>
      </c>
      <c r="D49" s="892" t="str">
        <f ca="1">IF(ROWS($1:39)&gt;COUNT(Dong6),"",OFFSET(TH!F$1,SMALL(Dong6,ROWS($1:39)),))</f>
        <v>Giấy 5 lớp (156x145)</v>
      </c>
      <c r="E49" s="890">
        <f t="shared" ca="1" si="0"/>
        <v>39</v>
      </c>
      <c r="F49" s="893" t="str">
        <f ca="1">IF(ROWS($1:39)&gt;COUNT(Dong6),"",OFFSET(TH!L$1,SMALL(Dong6,ROWS($1:39)),))</f>
        <v>1521</v>
      </c>
      <c r="G49" s="893" t="str">
        <f ca="1">IF(ROWS($1:39)&gt;COUNT(Dong6),"",OFFSET(TH!M$1,SMALL(Dong6,ROWS($1:39)),))</f>
        <v>331</v>
      </c>
      <c r="H49" s="894">
        <f ca="1">IF(ROWS($1:39)&gt;COUNT(Dong6),"",OFFSET(TH!K$1,SMALL(Dong6,ROWS($1:39)),))</f>
        <v>22846000</v>
      </c>
      <c r="I49" s="894">
        <f ca="1">IF(ROWS($1:39)&gt;COUNT(Dong6),"",OFFSET(TH!K$1,SMALL(Dong6,ROWS($1:39)),))</f>
        <v>22846000</v>
      </c>
    </row>
    <row r="50" spans="1:10" ht="21.75" customHeight="1">
      <c r="A50" s="891">
        <f ca="1">IF(ROWS($1:40)&gt;COUNT(Dong6),"",OFFSET(TH!C$1,SMALL(Dong6,ROWS($1:40)),))</f>
        <v>41013</v>
      </c>
      <c r="B50" s="890" t="str">
        <f ca="1">IF(ROWS($1:40)&gt;COUNT(Dong6),"",OFFSET(TH!D$1,SMALL(Dong6,ROWS($1:40)),))</f>
        <v>NL/N03</v>
      </c>
      <c r="C50" s="891">
        <f ca="1">IF(ROWS($1:40)&gt;COUNT(Dong6),"",OFFSET(TH!E$1,SMALL(Dong6,ROWS($1:40)),))</f>
        <v>41013</v>
      </c>
      <c r="D50" s="892" t="str">
        <f ca="1">IF(ROWS($1:40)&gt;COUNT(Dong6),"",OFFSET(TH!F$1,SMALL(Dong6,ROWS($1:40)),))</f>
        <v>VAT Giấy</v>
      </c>
      <c r="E50" s="890">
        <f t="shared" ca="1" si="0"/>
        <v>40</v>
      </c>
      <c r="F50" s="893" t="str">
        <f ca="1">IF(ROWS($1:40)&gt;COUNT(Dong6),"",OFFSET(TH!L$1,SMALL(Dong6,ROWS($1:40)),))</f>
        <v>1331</v>
      </c>
      <c r="G50" s="893" t="str">
        <f ca="1">IF(ROWS($1:40)&gt;COUNT(Dong6),"",OFFSET(TH!M$1,SMALL(Dong6,ROWS($1:40)),))</f>
        <v>331</v>
      </c>
      <c r="H50" s="894">
        <f ca="1">IF(ROWS($1:40)&gt;COUNT(Dong6),"",OFFSET(TH!K$1,SMALL(Dong6,ROWS($1:40)),))</f>
        <v>4735230</v>
      </c>
      <c r="I50" s="894">
        <f ca="1">IF(ROWS($1:40)&gt;COUNT(Dong6),"",OFFSET(TH!K$1,SMALL(Dong6,ROWS($1:40)),))</f>
        <v>4735230</v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521</v>
      </c>
      <c r="E52" s="843" t="s">
        <v>19</v>
      </c>
      <c r="F52" s="843"/>
      <c r="G52" s="843" t="s">
        <v>19</v>
      </c>
      <c r="H52" s="847">
        <f ca="1">SUBTOTAL(9,$H$10:$H$51)</f>
        <v>2207209183</v>
      </c>
      <c r="I52" s="847">
        <f ca="1">SUBTOTAL(9,I10:I51)</f>
        <v>2207209183</v>
      </c>
    </row>
    <row r="53" spans="1:10">
      <c r="A53" s="844" t="s">
        <v>516</v>
      </c>
    </row>
    <row r="54" spans="1:10">
      <c r="A54" s="844" t="str">
        <f ca="1">"- Ngày mở sổ: "&amp;DAY($A$11)&amp;"/"&amp;MONTH($A$11)&amp;"/ " &amp;YEAR($A$11)</f>
        <v>- Ngày mở sổ: 30/6/ 2012</v>
      </c>
    </row>
    <row r="56" spans="1:10">
      <c r="H56" s="831" t="s">
        <v>517</v>
      </c>
      <c r="I56" s="831"/>
      <c r="J56" s="831"/>
    </row>
    <row r="57" spans="1:10">
      <c r="B57" s="831" t="s">
        <v>518</v>
      </c>
      <c r="D57" s="831" t="s">
        <v>12</v>
      </c>
      <c r="H57" s="831" t="s">
        <v>519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5" t="s">
        <v>161</v>
      </c>
      <c r="H2" s="985"/>
      <c r="I2" s="985"/>
    </row>
    <row r="3" spans="1:9" ht="15.75" customHeight="1">
      <c r="A3" s="1" t="str">
        <f>TH!A2</f>
        <v>Địa chỉ: Lô A14, Đường 4A, KCN Hải Sơn, Đức Hòa, Long An</v>
      </c>
      <c r="G3" s="986" t="s">
        <v>126</v>
      </c>
      <c r="H3" s="986"/>
      <c r="I3" s="986"/>
    </row>
    <row r="4" spans="1:9">
      <c r="F4" s="17"/>
      <c r="G4" s="986"/>
      <c r="H4" s="986"/>
      <c r="I4" s="986"/>
    </row>
    <row r="5" spans="1:9" ht="17.25" customHeight="1">
      <c r="A5" s="987" t="s">
        <v>163</v>
      </c>
      <c r="B5" s="987"/>
      <c r="C5" s="987"/>
      <c r="D5" s="987"/>
      <c r="E5" s="987"/>
      <c r="F5" s="987"/>
      <c r="G5" s="987"/>
      <c r="H5" s="987"/>
      <c r="I5" s="987"/>
    </row>
    <row r="6" spans="1:9">
      <c r="A6" s="988" t="s">
        <v>164</v>
      </c>
      <c r="B6" s="989"/>
      <c r="C6" s="989"/>
      <c r="D6" s="989"/>
      <c r="E6" s="989"/>
      <c r="F6" s="989"/>
      <c r="G6" s="989"/>
      <c r="H6" s="989"/>
      <c r="I6" s="989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89" t="s">
        <v>29</v>
      </c>
      <c r="B9" s="990"/>
      <c r="C9" s="990"/>
      <c r="D9" s="990"/>
      <c r="E9" s="990"/>
      <c r="F9" s="990"/>
      <c r="G9" s="990"/>
      <c r="H9" s="990"/>
      <c r="I9" s="990"/>
    </row>
    <row r="10" spans="1:9" ht="9.75" customHeight="1">
      <c r="C10" s="991"/>
      <c r="D10" s="992"/>
      <c r="E10" s="992"/>
      <c r="F10" s="992"/>
      <c r="G10" s="992"/>
      <c r="H10" s="992"/>
      <c r="I10" s="992"/>
    </row>
    <row r="11" spans="1:9" s="18" customFormat="1" ht="19.5" customHeight="1">
      <c r="A11" s="993" t="s">
        <v>20</v>
      </c>
      <c r="B11" s="983" t="s">
        <v>1</v>
      </c>
      <c r="C11" s="994"/>
      <c r="D11" s="993" t="s">
        <v>0</v>
      </c>
      <c r="E11" s="993" t="s">
        <v>14</v>
      </c>
      <c r="F11" s="983" t="s">
        <v>21</v>
      </c>
      <c r="G11" s="994"/>
      <c r="H11" s="983" t="s">
        <v>31</v>
      </c>
      <c r="I11" s="984"/>
    </row>
    <row r="12" spans="1:9" s="18" customFormat="1" ht="32.25" customHeight="1">
      <c r="A12" s="993"/>
      <c r="B12" s="259" t="s">
        <v>15</v>
      </c>
      <c r="C12" s="259" t="s">
        <v>32</v>
      </c>
      <c r="D12" s="993"/>
      <c r="E12" s="993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1" t="s">
        <v>168</v>
      </c>
      <c r="F27" s="981"/>
      <c r="G27" s="981"/>
      <c r="H27" s="981"/>
      <c r="I27" s="981"/>
    </row>
    <row r="28" spans="1:9" s="18" customFormat="1" ht="12.75">
      <c r="A28" s="981" t="s">
        <v>11</v>
      </c>
      <c r="B28" s="981"/>
      <c r="C28" s="981"/>
      <c r="D28" s="981"/>
      <c r="E28" s="981" t="s">
        <v>12</v>
      </c>
      <c r="F28" s="981"/>
      <c r="G28" s="981"/>
      <c r="H28" s="981"/>
      <c r="I28" s="981"/>
    </row>
    <row r="29" spans="1:9" s="18" customFormat="1" ht="12.75">
      <c r="A29" s="981" t="s">
        <v>13</v>
      </c>
      <c r="B29" s="981"/>
      <c r="C29" s="981"/>
      <c r="D29" s="981"/>
      <c r="E29" s="981" t="s">
        <v>13</v>
      </c>
      <c r="F29" s="981"/>
      <c r="G29" s="981"/>
      <c r="H29" s="981"/>
      <c r="I29" s="981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82" t="s">
        <v>172</v>
      </c>
      <c r="B36" s="982"/>
      <c r="C36" s="982"/>
      <c r="D36" s="982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5" t="s">
        <v>125</v>
      </c>
      <c r="H1" s="985"/>
      <c r="I1" s="985"/>
      <c r="J1" s="985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6" t="s">
        <v>126</v>
      </c>
      <c r="H2" s="986"/>
      <c r="I2" s="986"/>
      <c r="J2" s="986"/>
    </row>
    <row r="3" spans="1:15" s="3" customFormat="1" ht="16.5" customHeight="1">
      <c r="A3" s="4"/>
      <c r="B3" s="16"/>
      <c r="C3" s="114"/>
      <c r="D3" s="114"/>
      <c r="E3" s="16"/>
      <c r="G3" s="986"/>
      <c r="H3" s="986"/>
      <c r="I3" s="986"/>
      <c r="J3" s="986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5" t="s">
        <v>127</v>
      </c>
      <c r="B5" s="995"/>
      <c r="C5" s="995"/>
      <c r="D5" s="995"/>
      <c r="E5" s="995"/>
      <c r="F5" s="995"/>
      <c r="G5" s="995"/>
      <c r="H5" s="995"/>
      <c r="I5" s="995"/>
      <c r="J5" s="995"/>
    </row>
    <row r="6" spans="1:15" ht="14.25" customHeight="1">
      <c r="A6" s="997" t="str">
        <f>$L$11&amp;" / 2015"</f>
        <v>Quý IV / 2015</v>
      </c>
      <c r="B6" s="997"/>
      <c r="C6" s="997"/>
      <c r="D6" s="997"/>
      <c r="E6" s="997"/>
      <c r="F6" s="997"/>
      <c r="G6" s="997"/>
      <c r="H6" s="997"/>
      <c r="I6" s="997"/>
      <c r="J6" s="997"/>
    </row>
    <row r="7" spans="1:15">
      <c r="A7" s="996" t="s">
        <v>128</v>
      </c>
      <c r="B7" s="996"/>
      <c r="C7" s="996"/>
      <c r="D7" s="996"/>
      <c r="E7" s="996"/>
      <c r="F7" s="996"/>
      <c r="G7" s="996"/>
      <c r="H7" s="996"/>
      <c r="I7" s="996"/>
      <c r="J7" s="996"/>
    </row>
    <row r="8" spans="1:15">
      <c r="A8" s="996" t="s">
        <v>129</v>
      </c>
      <c r="B8" s="996"/>
      <c r="C8" s="996"/>
      <c r="D8" s="996"/>
      <c r="E8" s="996"/>
      <c r="F8" s="996"/>
      <c r="G8" s="996"/>
      <c r="H8" s="996"/>
      <c r="I8" s="996"/>
      <c r="J8" s="996"/>
    </row>
    <row r="9" spans="1:15">
      <c r="A9" s="117"/>
      <c r="I9" s="117" t="s">
        <v>130</v>
      </c>
    </row>
    <row r="10" spans="1:15" ht="33" customHeight="1" thickBot="1">
      <c r="A10" s="999" t="s">
        <v>20</v>
      </c>
      <c r="B10" s="999" t="s">
        <v>131</v>
      </c>
      <c r="C10" s="998" t="s">
        <v>132</v>
      </c>
      <c r="D10" s="998"/>
      <c r="E10" s="998" t="s">
        <v>0</v>
      </c>
      <c r="F10" s="999" t="s">
        <v>14</v>
      </c>
      <c r="G10" s="998" t="s">
        <v>21</v>
      </c>
      <c r="H10" s="998"/>
      <c r="I10" s="998" t="s">
        <v>133</v>
      </c>
      <c r="J10" s="998" t="s">
        <v>134</v>
      </c>
      <c r="L10" s="759"/>
      <c r="N10" s="942" t="s">
        <v>445</v>
      </c>
      <c r="O10" s="942"/>
    </row>
    <row r="11" spans="1:15" ht="24" customHeight="1" thickBot="1">
      <c r="A11" s="1000"/>
      <c r="B11" s="1000"/>
      <c r="C11" s="118" t="s">
        <v>135</v>
      </c>
      <c r="D11" s="118" t="s">
        <v>136</v>
      </c>
      <c r="E11" s="998"/>
      <c r="F11" s="1000"/>
      <c r="G11" s="118" t="s">
        <v>22</v>
      </c>
      <c r="H11" s="118" t="s">
        <v>23</v>
      </c>
      <c r="I11" s="998"/>
      <c r="J11" s="998"/>
      <c r="L11" s="185" t="s">
        <v>620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1547536341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41184</v>
      </c>
      <c r="B14" s="125">
        <f ca="1">IF(ROWS($1:1)&gt;COUNT(Dong1),"",OFFSET(TH!E$1,SMALL(Dong1,ROWS($1:1)),))</f>
        <v>41184</v>
      </c>
      <c r="C14" s="126" t="str">
        <f ca="1">IF(ROWS($1:1)&gt;COUNT(Dong1),"",IF(OFFSET(TH!L$1,SMALL(Dong1,ROWS($1:1)),)="1111",OFFSET(TH!D$1,SMALL(Dong1,ROWS($1:1)),),""))</f>
        <v/>
      </c>
      <c r="D14" s="127" t="str">
        <f ca="1">IF(ROWS($1:1)&gt;COUNT(Dong1),"",IF(OFFSET(TH!M$1,SMALL(Dong1,ROWS($1:1)),)="1111",OFFSET(TH!D$1,SMALL(Dong1,ROWS($1:1)),),""))</f>
        <v>C01</v>
      </c>
      <c r="E14" s="244" t="str">
        <f ca="1">IF(ROWS($1:1)&gt;COUNT(Dong1),"",OFFSET(TH!F$1,SMALL(Dong1,ROWS($1:1)),))</f>
        <v>Nộp tiền mặt vào tài khoản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0</v>
      </c>
      <c r="H14" s="128">
        <f ca="1">IF(ROWS($1:1)&gt;COUNT(Dong1),"",IF(OFFSET(TH!M$1,SMALL(Dong1,ROWS($1:1)),)="1111",OFFSET(TH!K$1,SMALL(Dong1,ROWS($1:1)),),0))</f>
        <v>5000000</v>
      </c>
      <c r="I14" s="126">
        <f ca="1">IF(E14&lt;&gt;"",I13+G14-H14,0)</f>
        <v>1542536341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41191</v>
      </c>
      <c r="B15" s="125">
        <f ca="1">IF(ROWS($1:2)&gt;COUNT(Dong1),"",OFFSET(TH!E$1,SMALL(Dong1,ROWS($1:2)),))</f>
        <v>41191</v>
      </c>
      <c r="C15" s="126" t="str">
        <f ca="1">IF(ROWS($1:2)&gt;COUNT(Dong1),"",IF(OFFSET(TH!L$1,SMALL(Dong1,ROWS($1:2)),)="1111",OFFSET(TH!D$1,SMALL(Dong1,ROWS($1:2)),),""))</f>
        <v/>
      </c>
      <c r="D15" s="127" t="str">
        <f ca="1">IF(ROWS($1:2)&gt;COUNT(Dong1),"",IF(OFFSET(TH!M$1,SMALL(Dong1,ROWS($1:2)),)="1111",OFFSET(TH!D$1,SMALL(Dong1,ROWS($1:2)),),""))</f>
        <v>C02</v>
      </c>
      <c r="E15" s="244" t="str">
        <f ca="1">IF(ROWS($1:2)&gt;COUNT(Dong1),"",OFFSET(TH!F$1,SMALL(Dong1,ROWS($1:2)),))</f>
        <v>Nộp tiền mặt vào tài khoản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0</v>
      </c>
      <c r="H15" s="128">
        <f ca="1">IF(ROWS($1:2)&gt;COUNT(Dong1),"",IF(OFFSET(TH!M$1,SMALL(Dong1,ROWS($1:2)),)="1111",OFFSET(TH!K$1,SMALL(Dong1,ROWS($1:2)),),0))</f>
        <v>48000000</v>
      </c>
      <c r="I15" s="126">
        <f t="shared" ref="I15:I58" ca="1" si="0">IF(E15&lt;&gt;"",I14+G15-H15,0)</f>
        <v>1494536341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41197</v>
      </c>
      <c r="B16" s="125">
        <f ca="1">IF(ROWS($1:3)&gt;COUNT(Dong1),"",OFFSET(TH!E$1,SMALL(Dong1,ROWS($1:3)),))</f>
        <v>41197</v>
      </c>
      <c r="C16" s="126" t="str">
        <f ca="1">IF(ROWS($1:3)&gt;COUNT(Dong1),"",IF(OFFSET(TH!L$1,SMALL(Dong1,ROWS($1:3)),)="1111",OFFSET(TH!D$1,SMALL(Dong1,ROWS($1:3)),),""))</f>
        <v>T01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8000000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1502536341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41197</v>
      </c>
      <c r="B17" s="125">
        <f ca="1">IF(ROWS($1:4)&gt;COUNT(Dong1),"",OFFSET(TH!E$1,SMALL(Dong1,ROWS($1:4)),))</f>
        <v>41197</v>
      </c>
      <c r="C17" s="126" t="str">
        <f ca="1">IF(ROWS($1:4)&gt;COUNT(Dong1),"",IF(OFFSET(TH!L$1,SMALL(Dong1,ROWS($1:4)),)="1111",OFFSET(TH!D$1,SMALL(Dong1,ROWS($1:4)),),""))</f>
        <v/>
      </c>
      <c r="D17" s="127" t="str">
        <f ca="1">IF(ROWS($1:4)&gt;COUNT(Dong1),"",IF(OFFSET(TH!M$1,SMALL(Dong1,ROWS($1:4)),)="1111",OFFSET(TH!D$1,SMALL(Dong1,ROWS($1:4)),),""))</f>
        <v>C03</v>
      </c>
      <c r="E17" s="244" t="str">
        <f ca="1">IF(ROWS($1:4)&gt;COUNT(Dong1),"",OFFSET(TH!F$1,SMALL(Dong1,ROWS($1:4)),))</f>
        <v>Mực in V-FLEX 8841 Violet</v>
      </c>
      <c r="F17" s="129" t="str">
        <f ca="1">IF(ROWS($1:4)&gt;COUNT(Dong1),"",IF(OFFSET(TH!M$1,SMALL(Dong1,ROWS($1:4)),)="1111",OFFSET(TH!L$1,SMALL(Dong1,ROWS($1:4)),),OFFSET(TH!M$1,SMALL(Dong1,ROWS($1:4)),)))</f>
        <v>154</v>
      </c>
      <c r="G17" s="130">
        <f ca="1">IF(ROWS($1:4)&gt;COUNT(Dong1),"",IF(OFFSET(TH!L$1,SMALL(Dong1,ROWS($1:4)),)="1111",OFFSET(TH!K$1,SMALL(Dong1,ROWS($1:4)),),0))</f>
        <v>0</v>
      </c>
      <c r="H17" s="128">
        <f ca="1">IF(ROWS($1:4)&gt;COUNT(Dong1),"",IF(OFFSET(TH!M$1,SMALL(Dong1,ROWS($1:4)),)="1111",OFFSET(TH!K$1,SMALL(Dong1,ROWS($1:4)),),0))</f>
        <v>2000000</v>
      </c>
      <c r="I17" s="126">
        <f t="shared" ca="1" si="0"/>
        <v>1500536341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41197</v>
      </c>
      <c r="B18" s="125">
        <f ca="1">IF(ROWS($1:5)&gt;COUNT(Dong1),"",OFFSET(TH!E$1,SMALL(Dong1,ROWS($1:5)),))</f>
        <v>41197</v>
      </c>
      <c r="C18" s="126" t="str">
        <f ca="1">IF(ROWS($1:5)&gt;COUNT(Dong1),"",IF(OFFSET(TH!L$1,SMALL(Dong1,ROWS($1:5)),)="1111",OFFSET(TH!D$1,SMALL(Dong1,ROWS($1:5)),),""))</f>
        <v/>
      </c>
      <c r="D18" s="127" t="str">
        <f ca="1">IF(ROWS($1:5)&gt;COUNT(Dong1),"",IF(OFFSET(TH!M$1,SMALL(Dong1,ROWS($1:5)),)="1111",OFFSET(TH!D$1,SMALL(Dong1,ROWS($1:5)),),""))</f>
        <v>C03</v>
      </c>
      <c r="E18" s="244" t="str">
        <f ca="1">IF(ROWS($1:5)&gt;COUNT(Dong1),"",OFFSET(TH!F$1,SMALL(Dong1,ROWS($1:5)),))</f>
        <v>VAT Mực in</v>
      </c>
      <c r="F18" s="129" t="str">
        <f ca="1">IF(ROWS($1:5)&gt;COUNT(Dong1),"",IF(OFFSET(TH!M$1,SMALL(Dong1,ROWS($1:5)),)="1111",OFFSET(TH!L$1,SMALL(Dong1,ROWS($1:5)),),OFFSET(TH!M$1,SMALL(Dong1,ROWS($1:5)),)))</f>
        <v>1331</v>
      </c>
      <c r="G18" s="130">
        <f ca="1">IF(ROWS($1:5)&gt;COUNT(Dong1),"",IF(OFFSET(TH!L$1,SMALL(Dong1,ROWS($1:5)),)="1111",OFFSET(TH!K$1,SMALL(Dong1,ROWS($1:5)),),0))</f>
        <v>0</v>
      </c>
      <c r="H18" s="128">
        <f ca="1">IF(ROWS($1:5)&gt;COUNT(Dong1),"",IF(OFFSET(TH!M$1,SMALL(Dong1,ROWS($1:5)),)="1111",OFFSET(TH!K$1,SMALL(Dong1,ROWS($1:5)),),0))</f>
        <v>200000</v>
      </c>
      <c r="I18" s="126">
        <f t="shared" ca="1" si="0"/>
        <v>1500336341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41199</v>
      </c>
      <c r="B19" s="125">
        <f ca="1">IF(ROWS($1:6)&gt;COUNT(Dong1),"",OFFSET(TH!E$1,SMALL(Dong1,ROWS($1:6)),))</f>
        <v>41199</v>
      </c>
      <c r="C19" s="126" t="str">
        <f ca="1">IF(ROWS($1:6)&gt;COUNT(Dong1),"",IF(OFFSET(TH!L$1,SMALL(Dong1,ROWS($1:6)),)="1111",OFFSET(TH!D$1,SMALL(Dong1,ROWS($1:6)),),""))</f>
        <v/>
      </c>
      <c r="D19" s="127" t="str">
        <f ca="1">IF(ROWS($1:6)&gt;COUNT(Dong1),"",IF(OFFSET(TH!M$1,SMALL(Dong1,ROWS($1:6)),)="1111",OFFSET(TH!D$1,SMALL(Dong1,ROWS($1:6)),),""))</f>
        <v>C04</v>
      </c>
      <c r="E19" s="244" t="str">
        <f ca="1">IF(ROWS($1:6)&gt;COUNT(Dong1),"",OFFSET(TH!F$1,SMALL(Dong1,ROWS($1:6)),))</f>
        <v>Nộp tiền mặt vào tài khoản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0</v>
      </c>
      <c r="H19" s="128">
        <f ca="1">IF(ROWS($1:6)&gt;COUNT(Dong1),"",IF(OFFSET(TH!M$1,SMALL(Dong1,ROWS($1:6)),)="1111",OFFSET(TH!K$1,SMALL(Dong1,ROWS($1:6)),),0))</f>
        <v>55000000</v>
      </c>
      <c r="I19" s="126">
        <f t="shared" ca="1" si="0"/>
        <v>1445336341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41205</v>
      </c>
      <c r="B20" s="125">
        <f ca="1">IF(ROWS($1:7)&gt;COUNT(Dong1),"",OFFSET(TH!E$1,SMALL(Dong1,ROWS($1:7)),))</f>
        <v>41205</v>
      </c>
      <c r="C20" s="126" t="str">
        <f ca="1">IF(ROWS($1:7)&gt;COUNT(Dong1),"",IF(OFFSET(TH!L$1,SMALL(Dong1,ROWS($1:7)),)="1111",OFFSET(TH!D$1,SMALL(Dong1,ROWS($1:7)),),""))</f>
        <v/>
      </c>
      <c r="D20" s="127" t="str">
        <f ca="1">IF(ROWS($1:7)&gt;COUNT(Dong1),"",IF(OFFSET(TH!M$1,SMALL(Dong1,ROWS($1:7)),)="1111",OFFSET(TH!D$1,SMALL(Dong1,ROWS($1:7)),),""))</f>
        <v>C05</v>
      </c>
      <c r="E20" s="244" t="str">
        <f ca="1">IF(ROWS($1:7)&gt;COUNT(Dong1),"",OFFSET(TH!F$1,SMALL(Dong1,ROWS($1:7)),))</f>
        <v>Mực in V-FLEX 6412 Red</v>
      </c>
      <c r="F20" s="129" t="str">
        <f ca="1">IF(ROWS($1:7)&gt;COUNT(Dong1),"",IF(OFFSET(TH!M$1,SMALL(Dong1,ROWS($1:7)),)="1111",OFFSET(TH!L$1,SMALL(Dong1,ROWS($1:7)),),OFFSET(TH!M$1,SMALL(Dong1,ROWS($1:7)),)))</f>
        <v>154</v>
      </c>
      <c r="G20" s="130">
        <f ca="1">IF(ROWS($1:7)&gt;COUNT(Dong1),"",IF(OFFSET(TH!L$1,SMALL(Dong1,ROWS($1:7)),)="1111",OFFSET(TH!K$1,SMALL(Dong1,ROWS($1:7)),),0))</f>
        <v>0</v>
      </c>
      <c r="H20" s="128">
        <f ca="1">IF(ROWS($1:7)&gt;COUNT(Dong1),"",IF(OFFSET(TH!M$1,SMALL(Dong1,ROWS($1:7)),)="1111",OFFSET(TH!K$1,SMALL(Dong1,ROWS($1:7)),),0))</f>
        <v>3900000</v>
      </c>
      <c r="I20" s="126">
        <f t="shared" ca="1" si="0"/>
        <v>1441436341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41205</v>
      </c>
      <c r="B21" s="125">
        <f ca="1">IF(ROWS($1:8)&gt;COUNT(Dong1),"",OFFSET(TH!E$1,SMALL(Dong1,ROWS($1:8)),))</f>
        <v>41205</v>
      </c>
      <c r="C21" s="126" t="str">
        <f ca="1">IF(ROWS($1:8)&gt;COUNT(Dong1),"",IF(OFFSET(TH!L$1,SMALL(Dong1,ROWS($1:8)),)="1111",OFFSET(TH!D$1,SMALL(Dong1,ROWS($1:8)),),""))</f>
        <v/>
      </c>
      <c r="D21" s="127" t="str">
        <f ca="1">IF(ROWS($1:8)&gt;COUNT(Dong1),"",IF(OFFSET(TH!M$1,SMALL(Dong1,ROWS($1:8)),)="1111",OFFSET(TH!D$1,SMALL(Dong1,ROWS($1:8)),),""))</f>
        <v>C05</v>
      </c>
      <c r="E21" s="244" t="str">
        <f ca="1">IF(ROWS($1:8)&gt;COUNT(Dong1),"",OFFSET(TH!F$1,SMALL(Dong1,ROWS($1:8)),))</f>
        <v>VAT Mực in</v>
      </c>
      <c r="F21" s="129" t="str">
        <f ca="1">IF(ROWS($1:8)&gt;COUNT(Dong1),"",IF(OFFSET(TH!M$1,SMALL(Dong1,ROWS($1:8)),)="1111",OFFSET(TH!L$1,SMALL(Dong1,ROWS($1:8)),),OFFSET(TH!M$1,SMALL(Dong1,ROWS($1:8)),)))</f>
        <v>1331</v>
      </c>
      <c r="G21" s="130">
        <f ca="1">IF(ROWS($1:8)&gt;COUNT(Dong1),"",IF(OFFSET(TH!L$1,SMALL(Dong1,ROWS($1:8)),)="1111",OFFSET(TH!K$1,SMALL(Dong1,ROWS($1:8)),),0))</f>
        <v>0</v>
      </c>
      <c r="H21" s="128">
        <f ca="1">IF(ROWS($1:8)&gt;COUNT(Dong1),"",IF(OFFSET(TH!M$1,SMALL(Dong1,ROWS($1:8)),)="1111",OFFSET(TH!K$1,SMALL(Dong1,ROWS($1:8)),),0))</f>
        <v>390000</v>
      </c>
      <c r="I21" s="126">
        <f t="shared" ca="1" si="0"/>
        <v>1441046341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41206</v>
      </c>
      <c r="B22" s="125">
        <f ca="1">IF(ROWS($1:9)&gt;COUNT(Dong1),"",OFFSET(TH!E$1,SMALL(Dong1,ROWS($1:9)),))</f>
        <v>41206</v>
      </c>
      <c r="C22" s="126" t="str">
        <f ca="1">IF(ROWS($1:9)&gt;COUNT(Dong1),"",IF(OFFSET(TH!L$1,SMALL(Dong1,ROWS($1:9)),)="1111",OFFSET(TH!D$1,SMALL(Dong1,ROWS($1:9)),),""))</f>
        <v/>
      </c>
      <c r="D22" s="127" t="str">
        <f ca="1">IF(ROWS($1:9)&gt;COUNT(Dong1),"",IF(OFFSET(TH!M$1,SMALL(Dong1,ROWS($1:9)),)="1111",OFFSET(TH!D$1,SMALL(Dong1,ROWS($1:9)),),""))</f>
        <v>C06</v>
      </c>
      <c r="E22" s="244" t="str">
        <f ca="1">IF(ROWS($1:9)&gt;COUNT(Dong1),"",OFFSET(TH!F$1,SMALL(Dong1,ROWS($1:9)),))</f>
        <v>Nộp tiền mặt vào tài khoản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0</v>
      </c>
      <c r="H22" s="128">
        <f ca="1">IF(ROWS($1:9)&gt;COUNT(Dong1),"",IF(OFFSET(TH!M$1,SMALL(Dong1,ROWS($1:9)),)="1111",OFFSET(TH!K$1,SMALL(Dong1,ROWS($1:9)),),0))</f>
        <v>4300000</v>
      </c>
      <c r="I22" s="126">
        <f t="shared" ca="1" si="0"/>
        <v>1436746341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41207</v>
      </c>
      <c r="B23" s="125">
        <f ca="1">IF(ROWS($1:10)&gt;COUNT(Dong1),"",OFFSET(TH!E$1,SMALL(Dong1,ROWS($1:10)),))</f>
        <v>41207</v>
      </c>
      <c r="C23" s="126" t="str">
        <f ca="1">IF(ROWS($1:10)&gt;COUNT(Dong1),"",IF(OFFSET(TH!L$1,SMALL(Dong1,ROWS($1:10)),)="1111",OFFSET(TH!D$1,SMALL(Dong1,ROWS($1:10)),),""))</f>
        <v/>
      </c>
      <c r="D23" s="127" t="str">
        <f ca="1">IF(ROWS($1:10)&gt;COUNT(Dong1),"",IF(OFFSET(TH!M$1,SMALL(Dong1,ROWS($1:10)),)="1111",OFFSET(TH!D$1,SMALL(Dong1,ROWS($1:10)),),""))</f>
        <v>C07</v>
      </c>
      <c r="E23" s="244" t="str">
        <f ca="1">IF(ROWS($1:10)&gt;COUNT(Dong1),"",OFFSET(TH!F$1,SMALL(Dong1,ROWS($1:10)),))</f>
        <v>Mực in V-FLEX 8869 Blue</v>
      </c>
      <c r="F23" s="129" t="str">
        <f ca="1">IF(ROWS($1:10)&gt;COUNT(Dong1),"",IF(OFFSET(TH!M$1,SMALL(Dong1,ROWS($1:10)),)="1111",OFFSET(TH!L$1,SMALL(Dong1,ROWS($1:10)),),OFFSET(TH!M$1,SMALL(Dong1,ROWS($1:10)),)))</f>
        <v>154</v>
      </c>
      <c r="G23" s="130">
        <f ca="1">IF(ROWS($1:10)&gt;COUNT(Dong1),"",IF(OFFSET(TH!L$1,SMALL(Dong1,ROWS($1:10)),)="1111",OFFSET(TH!K$1,SMALL(Dong1,ROWS($1:10)),),0))</f>
        <v>0</v>
      </c>
      <c r="H23" s="128">
        <f ca="1">IF(ROWS($1:10)&gt;COUNT(Dong1),"",IF(OFFSET(TH!M$1,SMALL(Dong1,ROWS($1:10)),)="1111",OFFSET(TH!K$1,SMALL(Dong1,ROWS($1:10)),),0))</f>
        <v>1380000</v>
      </c>
      <c r="I23" s="126">
        <f t="shared" ca="1" si="0"/>
        <v>1435366341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41207</v>
      </c>
      <c r="B24" s="125">
        <f ca="1">IF(ROWS($1:11)&gt;COUNT(Dong1),"",OFFSET(TH!E$1,SMALL(Dong1,ROWS($1:11)),))</f>
        <v>41207</v>
      </c>
      <c r="C24" s="126" t="str">
        <f ca="1">IF(ROWS($1:11)&gt;COUNT(Dong1),"",IF(OFFSET(TH!L$1,SMALL(Dong1,ROWS($1:11)),)="1111",OFFSET(TH!D$1,SMALL(Dong1,ROWS($1:11)),),""))</f>
        <v/>
      </c>
      <c r="D24" s="127" t="str">
        <f ca="1">IF(ROWS($1:11)&gt;COUNT(Dong1),"",IF(OFFSET(TH!M$1,SMALL(Dong1,ROWS($1:11)),)="1111",OFFSET(TH!D$1,SMALL(Dong1,ROWS($1:11)),),""))</f>
        <v>C07</v>
      </c>
      <c r="E24" s="244" t="str">
        <f ca="1">IF(ROWS($1:11)&gt;COUNT(Dong1),"",OFFSET(TH!F$1,SMALL(Dong1,ROWS($1:11)),))</f>
        <v>VAT Mực in</v>
      </c>
      <c r="F24" s="129" t="str">
        <f ca="1">IF(ROWS($1:11)&gt;COUNT(Dong1),"",IF(OFFSET(TH!M$1,SMALL(Dong1,ROWS($1:11)),)="1111",OFFSET(TH!L$1,SMALL(Dong1,ROWS($1:11)),),OFFSET(TH!M$1,SMALL(Dong1,ROWS($1:11)),)))</f>
        <v>1331</v>
      </c>
      <c r="G24" s="130">
        <f ca="1">IF(ROWS($1:11)&gt;COUNT(Dong1),"",IF(OFFSET(TH!L$1,SMALL(Dong1,ROWS($1:11)),)="1111",OFFSET(TH!K$1,SMALL(Dong1,ROWS($1:11)),),0))</f>
        <v>0</v>
      </c>
      <c r="H24" s="128">
        <f ca="1">IF(ROWS($1:11)&gt;COUNT(Dong1),"",IF(OFFSET(TH!M$1,SMALL(Dong1,ROWS($1:11)),)="1111",OFFSET(TH!K$1,SMALL(Dong1,ROWS($1:11)),),0))</f>
        <v>138000</v>
      </c>
      <c r="I24" s="126">
        <f t="shared" ca="1" si="0"/>
        <v>1435228341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41209</v>
      </c>
      <c r="B25" s="125">
        <f ca="1">IF(ROWS($1:12)&gt;COUNT(Dong1),"",OFFSET(TH!E$1,SMALL(Dong1,ROWS($1:12)),))</f>
        <v>41209</v>
      </c>
      <c r="C25" s="126" t="str">
        <f ca="1">IF(ROWS($1:12)&gt;COUNT(Dong1),"",IF(OFFSET(TH!L$1,SMALL(Dong1,ROWS($1:12)),)="1111",OFFSET(TH!D$1,SMALL(Dong1,ROWS($1:12)),),""))</f>
        <v/>
      </c>
      <c r="D25" s="127" t="str">
        <f ca="1">IF(ROWS($1:12)&gt;COUNT(Dong1),"",IF(OFFSET(TH!M$1,SMALL(Dong1,ROWS($1:12)),)="1111",OFFSET(TH!D$1,SMALL(Dong1,ROWS($1:12)),),""))</f>
        <v>C08</v>
      </c>
      <c r="E25" s="244" t="str">
        <f ca="1">IF(ROWS($1:12)&gt;COUNT(Dong1),"",OFFSET(TH!F$1,SMALL(Dong1,ROWS($1:12)),))</f>
        <v>Nộp tiền mặt vào tài khoản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0</v>
      </c>
      <c r="H25" s="128">
        <f ca="1">IF(ROWS($1:12)&gt;COUNT(Dong1),"",IF(OFFSET(TH!M$1,SMALL(Dong1,ROWS($1:12)),)="1111",OFFSET(TH!K$1,SMALL(Dong1,ROWS($1:12)),),0))</f>
        <v>100000</v>
      </c>
      <c r="I25" s="126">
        <f t="shared" ca="1" si="0"/>
        <v>1435128341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41211</v>
      </c>
      <c r="B26" s="125">
        <f ca="1">IF(ROWS($1:13)&gt;COUNT(Dong1),"",OFFSET(TH!E$1,SMALL(Dong1,ROWS($1:13)),))</f>
        <v>41211</v>
      </c>
      <c r="C26" s="126" t="str">
        <f ca="1">IF(ROWS($1:13)&gt;COUNT(Dong1),"",IF(OFFSET(TH!L$1,SMALL(Dong1,ROWS($1:13)),)="1111",OFFSET(TH!D$1,SMALL(Dong1,ROWS($1:13)),),""))</f>
        <v/>
      </c>
      <c r="D26" s="127" t="str">
        <f ca="1">IF(ROWS($1:13)&gt;COUNT(Dong1),"",IF(OFFSET(TH!M$1,SMALL(Dong1,ROWS($1:13)),)="1111",OFFSET(TH!D$1,SMALL(Dong1,ROWS($1:13)),),""))</f>
        <v>C09</v>
      </c>
      <c r="E26" s="244" t="str">
        <f ca="1">IF(ROWS($1:13)&gt;COUNT(Dong1),"",OFFSET(TH!F$1,SMALL(Dong1,ROWS($1:13)),))</f>
        <v>Nộp tiền mặt vào tài khoản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0</v>
      </c>
      <c r="H26" s="128">
        <f ca="1">IF(ROWS($1:13)&gt;COUNT(Dong1),"",IF(OFFSET(TH!M$1,SMALL(Dong1,ROWS($1:13)),)="1111",OFFSET(TH!K$1,SMALL(Dong1,ROWS($1:13)),),0))</f>
        <v>50000000</v>
      </c>
      <c r="I26" s="126">
        <f t="shared" ca="1" si="0"/>
        <v>1385128341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41214</v>
      </c>
      <c r="B27" s="125">
        <f ca="1">IF(ROWS($1:14)&gt;COUNT(Dong1),"",OFFSET(TH!E$1,SMALL(Dong1,ROWS($1:14)),))</f>
        <v>41214</v>
      </c>
      <c r="C27" s="126" t="str">
        <f ca="1">IF(ROWS($1:14)&gt;COUNT(Dong1),"",IF(OFFSET(TH!L$1,SMALL(Dong1,ROWS($1:14)),)="1111",OFFSET(TH!D$1,SMALL(Dong1,ROWS($1:14)),),""))</f>
        <v/>
      </c>
      <c r="D27" s="127" t="str">
        <f ca="1">IF(ROWS($1:14)&gt;COUNT(Dong1),"",IF(OFFSET(TH!M$1,SMALL(Dong1,ROWS($1:14)),)="1111",OFFSET(TH!D$1,SMALL(Dong1,ROWS($1:14)),),""))</f>
        <v>C10</v>
      </c>
      <c r="E27" s="244" t="str">
        <f ca="1">IF(ROWS($1:14)&gt;COUNT(Dong1),"",OFFSET(TH!F$1,SMALL(Dong1,ROWS($1:14)),))</f>
        <v>Nộp tiền mặt vào tài khoản</v>
      </c>
      <c r="F27" s="129" t="str">
        <f ca="1">IF(ROWS($1:14)&gt;COUNT(Dong1),"",IF(OFFSET(TH!M$1,SMALL(Dong1,ROWS($1:14)),)="1111",OFFSET(TH!L$1,SMALL(Dong1,ROWS($1:14)),),OFFSET(TH!M$1,SMALL(Dong1,ROWS($1:14)),)))</f>
        <v>1121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62000000</v>
      </c>
      <c r="I27" s="126">
        <f t="shared" ca="1" si="0"/>
        <v>1323128341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41222</v>
      </c>
      <c r="B28" s="125">
        <f ca="1">IF(ROWS($1:15)&gt;COUNT(Dong1),"",OFFSET(TH!E$1,SMALL(Dong1,ROWS($1:15)),))</f>
        <v>41222</v>
      </c>
      <c r="C28" s="126" t="str">
        <f ca="1">IF(ROWS($1:15)&gt;COUNT(Dong1),"",IF(OFFSET(TH!L$1,SMALL(Dong1,ROWS($1:15)),)="1111",OFFSET(TH!D$1,SMALL(Dong1,ROWS($1:15)),),""))</f>
        <v>T01</v>
      </c>
      <c r="D28" s="127" t="str">
        <f ca="1">IF(ROWS($1:15)&gt;COUNT(Dong1),"",IF(OFFSET(TH!M$1,SMALL(Dong1,ROWS($1:15)),)="1111",OFFSET(TH!D$1,SMALL(Dong1,ROWS($1:15)),),""))</f>
        <v/>
      </c>
      <c r="E28" s="244" t="str">
        <f ca="1">IF(ROWS($1:15)&gt;COUNT(Dong1),"",OFFSET(TH!F$1,SMALL(Dong1,ROWS($1:15)),))</f>
        <v>Chi Sec nhập quỹ tiền mặt</v>
      </c>
      <c r="F28" s="129" t="str">
        <f ca="1">IF(ROWS($1:15)&gt;COUNT(Dong1),"",IF(OFFSET(TH!M$1,SMALL(Dong1,ROWS($1:15)),)="1111",OFFSET(TH!L$1,SMALL(Dong1,ROWS($1:15)),),OFFSET(TH!M$1,SMALL(Dong1,ROWS($1:15)),)))</f>
        <v>1121</v>
      </c>
      <c r="G28" s="130">
        <f ca="1">IF(ROWS($1:15)&gt;COUNT(Dong1),"",IF(OFFSET(TH!L$1,SMALL(Dong1,ROWS($1:15)),)="1111",OFFSET(TH!K$1,SMALL(Dong1,ROWS($1:15)),),0))</f>
        <v>41000000</v>
      </c>
      <c r="H28" s="128">
        <f ca="1">IF(ROWS($1:15)&gt;COUNT(Dong1),"",IF(OFFSET(TH!M$1,SMALL(Dong1,ROWS($1:15)),)="1111",OFFSET(TH!K$1,SMALL(Dong1,ROWS($1:15)),),0))</f>
        <v>0</v>
      </c>
      <c r="I28" s="126">
        <f t="shared" ca="1" si="0"/>
        <v>1364128341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41222</v>
      </c>
      <c r="B29" s="125">
        <f ca="1">IF(ROWS($1:16)&gt;COUNT(Dong1),"",OFFSET(TH!E$1,SMALL(Dong1,ROWS($1:16)),))</f>
        <v>41222</v>
      </c>
      <c r="C29" s="126" t="str">
        <f ca="1">IF(ROWS($1:16)&gt;COUNT(Dong1),"",IF(OFFSET(TH!L$1,SMALL(Dong1,ROWS($1:16)),)="1111",OFFSET(TH!D$1,SMALL(Dong1,ROWS($1:16)),),""))</f>
        <v>T02</v>
      </c>
      <c r="D29" s="127" t="str">
        <f ca="1">IF(ROWS($1:16)&gt;COUNT(Dong1),"",IF(OFFSET(TH!M$1,SMALL(Dong1,ROWS($1:16)),)="1111",OFFSET(TH!D$1,SMALL(Dong1,ROWS($1:16)),),""))</f>
        <v/>
      </c>
      <c r="E29" s="244" t="str">
        <f ca="1">IF(ROWS($1:16)&gt;COUNT(Dong1),"",OFFSET(TH!F$1,SMALL(Dong1,ROWS($1:16)),))</f>
        <v>Chi Sec nhập quỹ tiền mặt</v>
      </c>
      <c r="F29" s="129" t="str">
        <f ca="1">IF(ROWS($1:16)&gt;COUNT(Dong1),"",IF(OFFSET(TH!M$1,SMALL(Dong1,ROWS($1:16)),)="1111",OFFSET(TH!L$1,SMALL(Dong1,ROWS($1:16)),),OFFSET(TH!M$1,SMALL(Dong1,ROWS($1:16)),)))</f>
        <v>1121</v>
      </c>
      <c r="G29" s="130">
        <f ca="1">IF(ROWS($1:16)&gt;COUNT(Dong1),"",IF(OFFSET(TH!L$1,SMALL(Dong1,ROWS($1:16)),)="1111",OFFSET(TH!K$1,SMALL(Dong1,ROWS($1:16)),),0))</f>
        <v>19000000</v>
      </c>
      <c r="H29" s="128">
        <f ca="1">IF(ROWS($1:16)&gt;COUNT(Dong1),"",IF(OFFSET(TH!M$1,SMALL(Dong1,ROWS($1:16)),)="1111",OFFSET(TH!K$1,SMALL(Dong1,ROWS($1:16)),),0))</f>
        <v>0</v>
      </c>
      <c r="I29" s="126">
        <f t="shared" ca="1" si="0"/>
        <v>1383128341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41223</v>
      </c>
      <c r="B30" s="125">
        <f ca="1">IF(ROWS($1:17)&gt;COUNT(Dong1),"",OFFSET(TH!E$1,SMALL(Dong1,ROWS($1:17)),))</f>
        <v>41223</v>
      </c>
      <c r="C30" s="126" t="str">
        <f ca="1">IF(ROWS($1:17)&gt;COUNT(Dong1),"",IF(OFFSET(TH!L$1,SMALL(Dong1,ROWS($1:17)),)="1111",OFFSET(TH!D$1,SMALL(Dong1,ROWS($1:17)),),""))</f>
        <v/>
      </c>
      <c r="D30" s="127" t="str">
        <f ca="1">IF(ROWS($1:17)&gt;COUNT(Dong1),"",IF(OFFSET(TH!M$1,SMALL(Dong1,ROWS($1:17)),)="1111",OFFSET(TH!D$1,SMALL(Dong1,ROWS($1:17)),),""))</f>
        <v>C11</v>
      </c>
      <c r="E30" s="244" t="str">
        <f ca="1">IF(ROWS($1:17)&gt;COUNT(Dong1),"",OFFSET(TH!F$1,SMALL(Dong1,ROWS($1:17)),))</f>
        <v>Mực in V-FLEX 8903 Blue, 8580 Blue, 6417 Green</v>
      </c>
      <c r="F30" s="129" t="str">
        <f ca="1">IF(ROWS($1:17)&gt;COUNT(Dong1),"",IF(OFFSET(TH!M$1,SMALL(Dong1,ROWS($1:17)),)="1111",OFFSET(TH!L$1,SMALL(Dong1,ROWS($1:17)),),OFFSET(TH!M$1,SMALL(Dong1,ROWS($1:17)),)))</f>
        <v>154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4580000</v>
      </c>
      <c r="I30" s="126">
        <f t="shared" ca="1" si="0"/>
        <v>1378548341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41223</v>
      </c>
      <c r="B31" s="125">
        <f ca="1">IF(ROWS($1:18)&gt;COUNT(Dong1),"",OFFSET(TH!E$1,SMALL(Dong1,ROWS($1:18)),))</f>
        <v>41223</v>
      </c>
      <c r="C31" s="126" t="str">
        <f ca="1">IF(ROWS($1:18)&gt;COUNT(Dong1),"",IF(OFFSET(TH!L$1,SMALL(Dong1,ROWS($1:18)),)="1111",OFFSET(TH!D$1,SMALL(Dong1,ROWS($1:18)),),""))</f>
        <v/>
      </c>
      <c r="D31" s="127" t="str">
        <f ca="1">IF(ROWS($1:18)&gt;COUNT(Dong1),"",IF(OFFSET(TH!M$1,SMALL(Dong1,ROWS($1:18)),)="1111",OFFSET(TH!D$1,SMALL(Dong1,ROWS($1:18)),),""))</f>
        <v>C11</v>
      </c>
      <c r="E31" s="244" t="str">
        <f ca="1">IF(ROWS($1:18)&gt;COUNT(Dong1),"",OFFSET(TH!F$1,SMALL(Dong1,ROWS($1:18)),))</f>
        <v>VAT Mực in</v>
      </c>
      <c r="F31" s="129" t="str">
        <f ca="1">IF(ROWS($1:18)&gt;COUNT(Dong1),"",IF(OFFSET(TH!M$1,SMALL(Dong1,ROWS($1:18)),)="1111",OFFSET(TH!L$1,SMALL(Dong1,ROWS($1:18)),),OFFSET(TH!M$1,SMALL(Dong1,ROWS($1:18)),)))</f>
        <v>1331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458000</v>
      </c>
      <c r="I31" s="126">
        <f t="shared" ca="1" si="0"/>
        <v>1378090341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41232</v>
      </c>
      <c r="B32" s="125">
        <f ca="1">IF(ROWS($1:19)&gt;COUNT(Dong1),"",OFFSET(TH!E$1,SMALL(Dong1,ROWS($1:19)),))</f>
        <v>41232</v>
      </c>
      <c r="C32" s="126" t="str">
        <f ca="1">IF(ROWS($1:19)&gt;COUNT(Dong1),"",IF(OFFSET(TH!L$1,SMALL(Dong1,ROWS($1:19)),)="1111",OFFSET(TH!D$1,SMALL(Dong1,ROWS($1:19)),),""))</f>
        <v/>
      </c>
      <c r="D32" s="127" t="str">
        <f ca="1">IF(ROWS($1:19)&gt;COUNT(Dong1),"",IF(OFFSET(TH!M$1,SMALL(Dong1,ROWS($1:19)),)="1111",OFFSET(TH!D$1,SMALL(Dong1,ROWS($1:19)),),""))</f>
        <v>C12</v>
      </c>
      <c r="E32" s="244" t="str">
        <f ca="1">IF(ROWS($1:19)&gt;COUNT(Dong1),"",OFFSET(TH!F$1,SMALL(Dong1,ROWS($1:19)),))</f>
        <v>Mực in V-FLEX 8977 Blue</v>
      </c>
      <c r="F32" s="129" t="str">
        <f ca="1">IF(ROWS($1:19)&gt;COUNT(Dong1),"",IF(OFFSET(TH!M$1,SMALL(Dong1,ROWS($1:19)),)="1111",OFFSET(TH!L$1,SMALL(Dong1,ROWS($1:19)),),OFFSET(TH!M$1,SMALL(Dong1,ROWS($1:19)),)))</f>
        <v>154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1340000</v>
      </c>
      <c r="I32" s="126">
        <f t="shared" ca="1" si="0"/>
        <v>1376750341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41232</v>
      </c>
      <c r="B33" s="125">
        <f ca="1">IF(ROWS($1:20)&gt;COUNT(Dong1),"",OFFSET(TH!E$1,SMALL(Dong1,ROWS($1:20)),))</f>
        <v>41232</v>
      </c>
      <c r="C33" s="126" t="str">
        <f ca="1">IF(ROWS($1:20)&gt;COUNT(Dong1),"",IF(OFFSET(TH!L$1,SMALL(Dong1,ROWS($1:20)),)="1111",OFFSET(TH!D$1,SMALL(Dong1,ROWS($1:20)),),""))</f>
        <v/>
      </c>
      <c r="D33" s="127" t="str">
        <f ca="1">IF(ROWS($1:20)&gt;COUNT(Dong1),"",IF(OFFSET(TH!M$1,SMALL(Dong1,ROWS($1:20)),)="1111",OFFSET(TH!D$1,SMALL(Dong1,ROWS($1:20)),),""))</f>
        <v>C12</v>
      </c>
      <c r="E33" s="244" t="str">
        <f ca="1">IF(ROWS($1:20)&gt;COUNT(Dong1),"",OFFSET(TH!F$1,SMALL(Dong1,ROWS($1:20)),))</f>
        <v>VAT Mực in</v>
      </c>
      <c r="F33" s="129" t="str">
        <f ca="1">IF(ROWS($1:20)&gt;COUNT(Dong1),"",IF(OFFSET(TH!M$1,SMALL(Dong1,ROWS($1:20)),)="1111",OFFSET(TH!L$1,SMALL(Dong1,ROWS($1:20)),),OFFSET(TH!M$1,SMALL(Dong1,ROWS($1:20)),)))</f>
        <v>1331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134000</v>
      </c>
      <c r="I33" s="126">
        <f t="shared" ca="1" si="0"/>
        <v>1376616341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41242</v>
      </c>
      <c r="B34" s="125">
        <f ca="1">IF(ROWS($1:21)&gt;COUNT(Dong1),"",OFFSET(TH!E$1,SMALL(Dong1,ROWS($1:21)),))</f>
        <v>41242</v>
      </c>
      <c r="C34" s="126" t="str">
        <f ca="1">IF(ROWS($1:21)&gt;COUNT(Dong1),"",IF(OFFSET(TH!L$1,SMALL(Dong1,ROWS($1:21)),)="1111",OFFSET(TH!D$1,SMALL(Dong1,ROWS($1:21)),),""))</f>
        <v>T03</v>
      </c>
      <c r="D34" s="127" t="str">
        <f ca="1">IF(ROWS($1:21)&gt;COUNT(Dong1),"",IF(OFFSET(TH!M$1,SMALL(Dong1,ROWS($1:21)),)="1111",OFFSET(TH!D$1,SMALL(Dong1,ROWS($1:21)),),""))</f>
        <v/>
      </c>
      <c r="E34" s="244" t="str">
        <f ca="1">IF(ROWS($1:21)&gt;COUNT(Dong1),"",OFFSET(TH!F$1,SMALL(Dong1,ROWS($1:21)),))</f>
        <v>Chi Sec nhập quỹ tiền mặt</v>
      </c>
      <c r="F34" s="129" t="str">
        <f ca="1">IF(ROWS($1:21)&gt;COUNT(Dong1),"",IF(OFFSET(TH!M$1,SMALL(Dong1,ROWS($1:21)),)="1111",OFFSET(TH!L$1,SMALL(Dong1,ROWS($1:21)),),OFFSET(TH!M$1,SMALL(Dong1,ROWS($1:21)),)))</f>
        <v>1121</v>
      </c>
      <c r="G34" s="130">
        <f ca="1">IF(ROWS($1:21)&gt;COUNT(Dong1),"",IF(OFFSET(TH!L$1,SMALL(Dong1,ROWS($1:21)),)="1111",OFFSET(TH!K$1,SMALL(Dong1,ROWS($1:21)),),0))</f>
        <v>9000000</v>
      </c>
      <c r="H34" s="128">
        <f ca="1">IF(ROWS($1:21)&gt;COUNT(Dong1),"",IF(OFFSET(TH!M$1,SMALL(Dong1,ROWS($1:21)),)="1111",OFFSET(TH!K$1,SMALL(Dong1,ROWS($1:21)),),0))</f>
        <v>0</v>
      </c>
      <c r="I34" s="126">
        <f t="shared" ca="1" si="0"/>
        <v>1385616341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41246</v>
      </c>
      <c r="B35" s="125">
        <f ca="1">IF(ROWS($1:22)&gt;COUNT(Dong1),"",OFFSET(TH!E$1,SMALL(Dong1,ROWS($1:22)),))</f>
        <v>41246</v>
      </c>
      <c r="C35" s="126" t="str">
        <f ca="1">IF(ROWS($1:22)&gt;COUNT(Dong1),"",IF(OFFSET(TH!L$1,SMALL(Dong1,ROWS($1:22)),)="1111",OFFSET(TH!D$1,SMALL(Dong1,ROWS($1:22)),),""))</f>
        <v/>
      </c>
      <c r="D35" s="127" t="str">
        <f ca="1">IF(ROWS($1:22)&gt;COUNT(Dong1),"",IF(OFFSET(TH!M$1,SMALL(Dong1,ROWS($1:22)),)="1111",OFFSET(TH!D$1,SMALL(Dong1,ROWS($1:22)),),""))</f>
        <v>C13</v>
      </c>
      <c r="E35" s="244" t="str">
        <f ca="1">IF(ROWS($1:22)&gt;COUNT(Dong1),"",OFFSET(TH!F$1,SMALL(Dong1,ROWS($1:22)),))</f>
        <v>Cước dịch vụ viễn thông TPHCM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448464</v>
      </c>
      <c r="I35" s="126">
        <f t="shared" ca="1" si="0"/>
        <v>1385167877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41246</v>
      </c>
      <c r="B36" s="125">
        <f ca="1">IF(ROWS($1:23)&gt;COUNT(Dong1),"",OFFSET(TH!E$1,SMALL(Dong1,ROWS($1:23)),))</f>
        <v>41246</v>
      </c>
      <c r="C36" s="126" t="str">
        <f ca="1">IF(ROWS($1:23)&gt;COUNT(Dong1),"",IF(OFFSET(TH!L$1,SMALL(Dong1,ROWS($1:23)),)="1111",OFFSET(TH!D$1,SMALL(Dong1,ROWS($1:23)),),""))</f>
        <v/>
      </c>
      <c r="D36" s="127" t="str">
        <f ca="1">IF(ROWS($1:23)&gt;COUNT(Dong1),"",IF(OFFSET(TH!M$1,SMALL(Dong1,ROWS($1:23)),)="1111",OFFSET(TH!D$1,SMALL(Dong1,ROWS($1:23)),),""))</f>
        <v>C13</v>
      </c>
      <c r="E36" s="244" t="str">
        <f ca="1">IF(ROWS($1:23)&gt;COUNT(Dong1),"",OFFSET(TH!F$1,SMALL(Dong1,ROWS($1:23)),))</f>
        <v>VAT Cước dịch vụ viễn thông TPHCM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44847</v>
      </c>
      <c r="I36" s="126">
        <f t="shared" ca="1" si="0"/>
        <v>1385123030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41247</v>
      </c>
      <c r="B37" s="125">
        <f ca="1">IF(ROWS($1:24)&gt;COUNT(Dong1),"",OFFSET(TH!E$1,SMALL(Dong1,ROWS($1:24)),))</f>
        <v>41247</v>
      </c>
      <c r="C37" s="126" t="str">
        <f ca="1">IF(ROWS($1:24)&gt;COUNT(Dong1),"",IF(OFFSET(TH!L$1,SMALL(Dong1,ROWS($1:24)),)="1111",OFFSET(TH!D$1,SMALL(Dong1,ROWS($1:24)),),""))</f>
        <v>T04</v>
      </c>
      <c r="D37" s="127" t="str">
        <f ca="1">IF(ROWS($1:24)&gt;COUNT(Dong1),"",IF(OFFSET(TH!M$1,SMALL(Dong1,ROWS($1:24)),)="1111",OFFSET(TH!D$1,SMALL(Dong1,ROWS($1:24)),),""))</f>
        <v/>
      </c>
      <c r="E37" s="244" t="str">
        <f ca="1">IF(ROWS($1:24)&gt;COUNT(Dong1),"",OFFSET(TH!F$1,SMALL(Dong1,ROWS($1:24)),))</f>
        <v>Chi Sec nhập quỹ tiền mặt</v>
      </c>
      <c r="F37" s="129" t="str">
        <f ca="1">IF(ROWS($1:24)&gt;COUNT(Dong1),"",IF(OFFSET(TH!M$1,SMALL(Dong1,ROWS($1:24)),)="1111",OFFSET(TH!L$1,SMALL(Dong1,ROWS($1:24)),),OFFSET(TH!M$1,SMALL(Dong1,ROWS($1:24)),)))</f>
        <v>1121</v>
      </c>
      <c r="G37" s="130">
        <f ca="1">IF(ROWS($1:24)&gt;COUNT(Dong1),"",IF(OFFSET(TH!L$1,SMALL(Dong1,ROWS($1:24)),)="1111",OFFSET(TH!K$1,SMALL(Dong1,ROWS($1:24)),),0))</f>
        <v>25000000</v>
      </c>
      <c r="H37" s="128">
        <f ca="1">IF(ROWS($1:24)&gt;COUNT(Dong1),"",IF(OFFSET(TH!M$1,SMALL(Dong1,ROWS($1:24)),)="1111",OFFSET(TH!K$1,SMALL(Dong1,ROWS($1:24)),),0))</f>
        <v>0</v>
      </c>
      <c r="I37" s="126">
        <f t="shared" ca="1" si="0"/>
        <v>1410123030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41256</v>
      </c>
      <c r="B38" s="125">
        <f ca="1">IF(ROWS($1:25)&gt;COUNT(Dong1),"",OFFSET(TH!E$1,SMALL(Dong1,ROWS($1:25)),))</f>
        <v>41256</v>
      </c>
      <c r="C38" s="126" t="str">
        <f ca="1">IF(ROWS($1:25)&gt;COUNT(Dong1),"",IF(OFFSET(TH!L$1,SMALL(Dong1,ROWS($1:25)),)="1111",OFFSET(TH!D$1,SMALL(Dong1,ROWS($1:25)),),""))</f>
        <v/>
      </c>
      <c r="D38" s="127" t="str">
        <f ca="1">IF(ROWS($1:25)&gt;COUNT(Dong1),"",IF(OFFSET(TH!M$1,SMALL(Dong1,ROWS($1:25)),)="1111",OFFSET(TH!D$1,SMALL(Dong1,ROWS($1:25)),),""))</f>
        <v>C14</v>
      </c>
      <c r="E38" s="244" t="str">
        <f ca="1">IF(ROWS($1:25)&gt;COUNT(Dong1),"",OFFSET(TH!F$1,SMALL(Dong1,ROWS($1:25)),))</f>
        <v>Nộp tiền mặt vào tài khoản</v>
      </c>
      <c r="F38" s="129" t="str">
        <f ca="1">IF(ROWS($1:25)&gt;COUNT(Dong1),"",IF(OFFSET(TH!M$1,SMALL(Dong1,ROWS($1:25)),)="1111",OFFSET(TH!L$1,SMALL(Dong1,ROWS($1:25)),),OFFSET(TH!M$1,SMALL(Dong1,ROWS($1:25)),)))</f>
        <v>1121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35000000</v>
      </c>
      <c r="I38" s="126">
        <f t="shared" ca="1" si="0"/>
        <v>1375123030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41258</v>
      </c>
      <c r="B39" s="125">
        <f ca="1">IF(ROWS($1:26)&gt;COUNT(Dong1),"",OFFSET(TH!E$1,SMALL(Dong1,ROWS($1:26)),))</f>
        <v>41258</v>
      </c>
      <c r="C39" s="126" t="str">
        <f ca="1">IF(ROWS($1:26)&gt;COUNT(Dong1),"",IF(OFFSET(TH!L$1,SMALL(Dong1,ROWS($1:26)),)="1111",OFFSET(TH!D$1,SMALL(Dong1,ROWS($1:26)),),""))</f>
        <v/>
      </c>
      <c r="D39" s="127" t="str">
        <f ca="1">IF(ROWS($1:26)&gt;COUNT(Dong1),"",IF(OFFSET(TH!M$1,SMALL(Dong1,ROWS($1:26)),)="1111",OFFSET(TH!D$1,SMALL(Dong1,ROWS($1:26)),),""))</f>
        <v>C15</v>
      </c>
      <c r="E39" s="244" t="str">
        <f ca="1">IF(ROWS($1:26)&gt;COUNT(Dong1),"",OFFSET(TH!F$1,SMALL(Dong1,ROWS($1:26)),))</f>
        <v>Cước dịch vụ thông tin di động</v>
      </c>
      <c r="F39" s="129" t="str">
        <f ca="1">IF(ROWS($1:26)&gt;COUNT(Dong1),"",IF(OFFSET(TH!M$1,SMALL(Dong1,ROWS($1:26)),)="1111",OFFSET(TH!L$1,SMALL(Dong1,ROWS($1:26)),),OFFSET(TH!M$1,SMALL(Dong1,ROWS($1:26)),)))</f>
        <v>642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1866196</v>
      </c>
      <c r="I39" s="126">
        <f t="shared" ca="1" si="0"/>
        <v>1373256834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41258</v>
      </c>
      <c r="B40" s="125">
        <f ca="1">IF(ROWS($1:27)&gt;COUNT(Dong1),"",OFFSET(TH!E$1,SMALL(Dong1,ROWS($1:27)),))</f>
        <v>41258</v>
      </c>
      <c r="C40" s="126" t="str">
        <f ca="1">IF(ROWS($1:27)&gt;COUNT(Dong1),"",IF(OFFSET(TH!L$1,SMALL(Dong1,ROWS($1:27)),)="1111",OFFSET(TH!D$1,SMALL(Dong1,ROWS($1:27)),),""))</f>
        <v/>
      </c>
      <c r="D40" s="127" t="str">
        <f ca="1">IF(ROWS($1:27)&gt;COUNT(Dong1),"",IF(OFFSET(TH!M$1,SMALL(Dong1,ROWS($1:27)),)="1111",OFFSET(TH!D$1,SMALL(Dong1,ROWS($1:27)),),""))</f>
        <v>C15</v>
      </c>
      <c r="E40" s="244" t="str">
        <f ca="1">IF(ROWS($1:27)&gt;COUNT(Dong1),"",OFFSET(TH!F$1,SMALL(Dong1,ROWS($1:27)),))</f>
        <v>VAT Cước dịch vụ thông tin di động</v>
      </c>
      <c r="F40" s="129" t="str">
        <f ca="1">IF(ROWS($1:27)&gt;COUNT(Dong1),"",IF(OFFSET(TH!M$1,SMALL(Dong1,ROWS($1:27)),)="1111",OFFSET(TH!L$1,SMALL(Dong1,ROWS($1:27)),),OFFSET(TH!M$1,SMALL(Dong1,ROWS($1:27)),)))</f>
        <v>1331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186619</v>
      </c>
      <c r="I40" s="126">
        <f t="shared" ca="1" si="0"/>
        <v>1373070215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41267</v>
      </c>
      <c r="B41" s="125">
        <f ca="1">IF(ROWS($1:28)&gt;COUNT(Dong1),"",OFFSET(TH!E$1,SMALL(Dong1,ROWS($1:28)),))</f>
        <v>41267</v>
      </c>
      <c r="C41" s="126" t="str">
        <f ca="1">IF(ROWS($1:28)&gt;COUNT(Dong1),"",IF(OFFSET(TH!L$1,SMALL(Dong1,ROWS($1:28)),)="1111",OFFSET(TH!D$1,SMALL(Dong1,ROWS($1:28)),),""))</f>
        <v/>
      </c>
      <c r="D41" s="127" t="str">
        <f ca="1">IF(ROWS($1:28)&gt;COUNT(Dong1),"",IF(OFFSET(TH!M$1,SMALL(Dong1,ROWS($1:28)),)="1111",OFFSET(TH!D$1,SMALL(Dong1,ROWS($1:28)),),""))</f>
        <v>C16</v>
      </c>
      <c r="E41" s="244" t="str">
        <f ca="1">IF(ROWS($1:28)&gt;COUNT(Dong1),"",OFFSET(TH!F$1,SMALL(Dong1,ROWS($1:28)),))</f>
        <v>Mực in V-FLEX 6412 Red</v>
      </c>
      <c r="F41" s="129" t="str">
        <f ca="1">IF(ROWS($1:28)&gt;COUNT(Dong1),"",IF(OFFSET(TH!M$1,SMALL(Dong1,ROWS($1:28)),)="1111",OFFSET(TH!L$1,SMALL(Dong1,ROWS($1:28)),),OFFSET(TH!M$1,SMALL(Dong1,ROWS($1:28)),)))</f>
        <v>154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2600000</v>
      </c>
      <c r="I41" s="126">
        <f t="shared" ca="1" si="0"/>
        <v>1370470215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41267</v>
      </c>
      <c r="B42" s="125">
        <f ca="1">IF(ROWS($1:29)&gt;COUNT(Dong1),"",OFFSET(TH!E$1,SMALL(Dong1,ROWS($1:29)),))</f>
        <v>41267</v>
      </c>
      <c r="C42" s="126" t="str">
        <f ca="1">IF(ROWS($1:29)&gt;COUNT(Dong1),"",IF(OFFSET(TH!L$1,SMALL(Dong1,ROWS($1:29)),)="1111",OFFSET(TH!D$1,SMALL(Dong1,ROWS($1:29)),),""))</f>
        <v/>
      </c>
      <c r="D42" s="127" t="str">
        <f ca="1">IF(ROWS($1:29)&gt;COUNT(Dong1),"",IF(OFFSET(TH!M$1,SMALL(Dong1,ROWS($1:29)),)="1111",OFFSET(TH!D$1,SMALL(Dong1,ROWS($1:29)),),""))</f>
        <v>C16</v>
      </c>
      <c r="E42" s="244" t="str">
        <f ca="1">IF(ROWS($1:29)&gt;COUNT(Dong1),"",OFFSET(TH!F$1,SMALL(Dong1,ROWS($1:29)),))</f>
        <v>VAT Mực in</v>
      </c>
      <c r="F42" s="129" t="str">
        <f ca="1">IF(ROWS($1:29)&gt;COUNT(Dong1),"",IF(OFFSET(TH!M$1,SMALL(Dong1,ROWS($1:29)),)="1111",OFFSET(TH!L$1,SMALL(Dong1,ROWS($1:29)),),OFFSET(TH!M$1,SMALL(Dong1,ROWS($1:29)),)))</f>
        <v>1331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260000</v>
      </c>
      <c r="I42" s="126">
        <f t="shared" ca="1" si="0"/>
        <v>1370210215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41268</v>
      </c>
      <c r="B43" s="125">
        <f ca="1">IF(ROWS($1:30)&gt;COUNT(Dong1),"",OFFSET(TH!E$1,SMALL(Dong1,ROWS($1:30)),))</f>
        <v>41268</v>
      </c>
      <c r="C43" s="126" t="str">
        <f ca="1">IF(ROWS($1:30)&gt;COUNT(Dong1),"",IF(OFFSET(TH!L$1,SMALL(Dong1,ROWS($1:30)),)="1111",OFFSET(TH!D$1,SMALL(Dong1,ROWS($1:30)),),""))</f>
        <v/>
      </c>
      <c r="D43" s="127" t="str">
        <f ca="1">IF(ROWS($1:30)&gt;COUNT(Dong1),"",IF(OFFSET(TH!M$1,SMALL(Dong1,ROWS($1:30)),)="1111",OFFSET(TH!D$1,SMALL(Dong1,ROWS($1:30)),),""))</f>
        <v>C17</v>
      </c>
      <c r="E43" s="244" t="str">
        <f ca="1">IF(ROWS($1:30)&gt;COUNT(Dong1),"",OFFSET(TH!F$1,SMALL(Dong1,ROWS($1:30)),))</f>
        <v>Nộp tiền mặt vào tài khoản</v>
      </c>
      <c r="F43" s="129" t="str">
        <f ca="1">IF(ROWS($1:30)&gt;COUNT(Dong1),"",IF(OFFSET(TH!M$1,SMALL(Dong1,ROWS($1:30)),)="1111",OFFSET(TH!L$1,SMALL(Dong1,ROWS($1:30)),),OFFSET(TH!M$1,SMALL(Dong1,ROWS($1:30)),)))</f>
        <v>1121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6000000</v>
      </c>
      <c r="I43" s="126">
        <f t="shared" ca="1" si="0"/>
        <v>1364210215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41268</v>
      </c>
      <c r="B44" s="125">
        <f ca="1">IF(ROWS($1:31)&gt;COUNT(Dong1),"",OFFSET(TH!E$1,SMALL(Dong1,ROWS($1:31)),))</f>
        <v>41268</v>
      </c>
      <c r="C44" s="126" t="str">
        <f ca="1">IF(ROWS($1:31)&gt;COUNT(Dong1),"",IF(OFFSET(TH!L$1,SMALL(Dong1,ROWS($1:31)),)="1111",OFFSET(TH!D$1,SMALL(Dong1,ROWS($1:31)),),""))</f>
        <v>T05</v>
      </c>
      <c r="D44" s="127" t="str">
        <f ca="1">IF(ROWS($1:31)&gt;COUNT(Dong1),"",IF(OFFSET(TH!M$1,SMALL(Dong1,ROWS($1:31)),)="1111",OFFSET(TH!D$1,SMALL(Dong1,ROWS($1:31)),),""))</f>
        <v/>
      </c>
      <c r="E44" s="244" t="str">
        <f ca="1">IF(ROWS($1:31)&gt;COUNT(Dong1),"",OFFSET(TH!F$1,SMALL(Dong1,ROWS($1:31)),))</f>
        <v>Chi Sec nhập quỹ tiền mặt</v>
      </c>
      <c r="F44" s="129" t="str">
        <f ca="1">IF(ROWS($1:31)&gt;COUNT(Dong1),"",IF(OFFSET(TH!M$1,SMALL(Dong1,ROWS($1:31)),)="1111",OFFSET(TH!L$1,SMALL(Dong1,ROWS($1:31)),),OFFSET(TH!M$1,SMALL(Dong1,ROWS($1:31)),)))</f>
        <v>1121</v>
      </c>
      <c r="G44" s="130">
        <f ca="1">IF(ROWS($1:31)&gt;COUNT(Dong1),"",IF(OFFSET(TH!L$1,SMALL(Dong1,ROWS($1:31)),)="1111",OFFSET(TH!K$1,SMALL(Dong1,ROWS($1:31)),),0))</f>
        <v>38500000</v>
      </c>
      <c r="H44" s="128">
        <f ca="1">IF(ROWS($1:31)&gt;COUNT(Dong1),"",IF(OFFSET(TH!M$1,SMALL(Dong1,ROWS($1:31)),)="1111",OFFSET(TH!K$1,SMALL(Dong1,ROWS($1:31)),),0))</f>
        <v>0</v>
      </c>
      <c r="I44" s="126">
        <f t="shared" ca="1" si="0"/>
        <v>1402710215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41268</v>
      </c>
      <c r="B45" s="125">
        <f ca="1">IF(ROWS($1:32)&gt;COUNT(Dong1),"",OFFSET(TH!E$1,SMALL(Dong1,ROWS($1:32)),))</f>
        <v>41268</v>
      </c>
      <c r="C45" s="126" t="str">
        <f ca="1">IF(ROWS($1:32)&gt;COUNT(Dong1),"",IF(OFFSET(TH!L$1,SMALL(Dong1,ROWS($1:32)),)="1111",OFFSET(TH!D$1,SMALL(Dong1,ROWS($1:32)),),""))</f>
        <v/>
      </c>
      <c r="D45" s="127" t="str">
        <f ca="1">IF(ROWS($1:32)&gt;COUNT(Dong1),"",IF(OFFSET(TH!M$1,SMALL(Dong1,ROWS($1:32)),)="1111",OFFSET(TH!D$1,SMALL(Dong1,ROWS($1:32)),),""))</f>
        <v>C18</v>
      </c>
      <c r="E45" s="244" t="str">
        <f ca="1">IF(ROWS($1:32)&gt;COUNT(Dong1),"",OFFSET(TH!F$1,SMALL(Dong1,ROWS($1:32)),))</f>
        <v>Dao dĩa</v>
      </c>
      <c r="F45" s="129" t="str">
        <f ca="1">IF(ROWS($1:32)&gt;COUNT(Dong1),"",IF(OFFSET(TH!M$1,SMALL(Dong1,ROWS($1:32)),)="1111",OFFSET(TH!L$1,SMALL(Dong1,ROWS($1:32)),),OFFSET(TH!M$1,SMALL(Dong1,ROWS($1:32)),)))</f>
        <v>642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1400000</v>
      </c>
      <c r="I45" s="126">
        <f t="shared" ca="1" si="0"/>
        <v>1401310215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41268</v>
      </c>
      <c r="B46" s="125">
        <f ca="1">IF(ROWS($1:33)&gt;COUNT(Dong1),"",OFFSET(TH!E$1,SMALL(Dong1,ROWS($1:33)),))</f>
        <v>41268</v>
      </c>
      <c r="C46" s="126" t="str">
        <f ca="1">IF(ROWS($1:33)&gt;COUNT(Dong1),"",IF(OFFSET(TH!L$1,SMALL(Dong1,ROWS($1:33)),)="1111",OFFSET(TH!D$1,SMALL(Dong1,ROWS($1:33)),),""))</f>
        <v/>
      </c>
      <c r="D46" s="127" t="str">
        <f ca="1">IF(ROWS($1:33)&gt;COUNT(Dong1),"",IF(OFFSET(TH!M$1,SMALL(Dong1,ROWS($1:33)),)="1111",OFFSET(TH!D$1,SMALL(Dong1,ROWS($1:33)),),""))</f>
        <v>C18</v>
      </c>
      <c r="E46" s="244" t="str">
        <f ca="1">IF(ROWS($1:33)&gt;COUNT(Dong1),"",OFFSET(TH!F$1,SMALL(Dong1,ROWS($1:33)),))</f>
        <v>VAT Dao dĩa</v>
      </c>
      <c r="F46" s="129" t="str">
        <f ca="1">IF(ROWS($1:33)&gt;COUNT(Dong1),"",IF(OFFSET(TH!M$1,SMALL(Dong1,ROWS($1:33)),)="1111",OFFSET(TH!L$1,SMALL(Dong1,ROWS($1:33)),),OFFSET(TH!M$1,SMALL(Dong1,ROWS($1:33)),)))</f>
        <v>1331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140000</v>
      </c>
      <c r="I46" s="126">
        <f t="shared" ca="1" si="0"/>
        <v>1401170215</v>
      </c>
      <c r="J46" s="131"/>
      <c r="N46" s="853"/>
      <c r="O46" s="853"/>
    </row>
    <row r="47" spans="1:15" ht="19.5" customHeight="1">
      <c r="A47" s="125" t="str">
        <f ca="1">IF(ROWS($1:34)&gt;COUNT(Dong1),"",OFFSET(TH!C$1,SMALL(Dong1,ROWS($1:34)),))</f>
        <v/>
      </c>
      <c r="B47" s="125" t="str">
        <f ca="1">IF(ROWS($1:34)&gt;COUNT(Dong1),"",OFFSET(TH!E$1,SMALL(Dong1,ROWS($1:34)),))</f>
        <v/>
      </c>
      <c r="C47" s="126" t="str">
        <f ca="1">IF(ROWS($1:34)&gt;COUNT(Dong1),"",IF(OFFSET(TH!L$1,SMALL(Dong1,ROWS($1:34)),)="1111",OFFSET(TH!D$1,SMALL(Dong1,ROWS($1:34)),),""))</f>
        <v/>
      </c>
      <c r="D47" s="127" t="str">
        <f ca="1">IF(ROWS($1:34)&gt;COUNT(Dong1),"",IF(OFFSET(TH!M$1,SMALL(Dong1,ROWS($1:34)),)="1111",OFFSET(TH!D$1,SMALL(Dong1,ROWS($1:34)),),""))</f>
        <v/>
      </c>
      <c r="E47" s="244" t="str">
        <f ca="1">IF(ROWS($1:34)&gt;COUNT(Dong1),"",OFFSET(TH!F$1,SMALL(Dong1,ROWS($1:34)),))</f>
        <v/>
      </c>
      <c r="F47" s="129" t="str">
        <f ca="1">IF(ROWS($1:34)&gt;COUNT(Dong1),"",IF(OFFSET(TH!M$1,SMALL(Dong1,ROWS($1:34)),)="1111",OFFSET(TH!L$1,SMALL(Dong1,ROWS($1:34)),),OFFSET(TH!M$1,SMALL(Dong1,ROWS($1:34)),)))</f>
        <v/>
      </c>
      <c r="G47" s="130" t="str">
        <f ca="1">IF(ROWS($1:34)&gt;COUNT(Dong1),"",IF(OFFSET(TH!L$1,SMALL(Dong1,ROWS($1:34)),)="1111",OFFSET(TH!K$1,SMALL(Dong1,ROWS($1:34)),),0))</f>
        <v/>
      </c>
      <c r="H47" s="128" t="str">
        <f ca="1">IF(ROWS($1:34)&gt;COUNT(Dong1),"",IF(OFFSET(TH!M$1,SMALL(Dong1,ROWS($1:34)),)="1111",OFFSET(TH!K$1,SMALL(Dong1,ROWS($1:34)),),0))</f>
        <v/>
      </c>
      <c r="I47" s="126">
        <f t="shared" ca="1" si="0"/>
        <v>0</v>
      </c>
      <c r="J47" s="131"/>
      <c r="N47" s="853"/>
      <c r="O47" s="853"/>
    </row>
    <row r="48" spans="1:15" ht="19.5" customHeight="1">
      <c r="A48" s="125" t="str">
        <f ca="1">IF(ROWS($1:35)&gt;COUNT(Dong1),"",OFFSET(TH!C$1,SMALL(Dong1,ROWS($1:35)),))</f>
        <v/>
      </c>
      <c r="B48" s="125" t="str">
        <f ca="1">IF(ROWS($1:35)&gt;COUNT(Dong1),"",OFFSET(TH!E$1,SMALL(Dong1,ROWS($1:35)),))</f>
        <v/>
      </c>
      <c r="C48" s="126" t="str">
        <f ca="1">IF(ROWS($1:35)&gt;COUNT(Dong1),"",IF(OFFSET(TH!L$1,SMALL(Dong1,ROWS($1:35)),)="1111",OFFSET(TH!D$1,SMALL(Dong1,ROWS($1:35)),),""))</f>
        <v/>
      </c>
      <c r="D48" s="127" t="str">
        <f ca="1">IF(ROWS($1:35)&gt;COUNT(Dong1),"",IF(OFFSET(TH!M$1,SMALL(Dong1,ROWS($1:35)),)="1111",OFFSET(TH!D$1,SMALL(Dong1,ROWS($1:35)),),""))</f>
        <v/>
      </c>
      <c r="E48" s="244" t="str">
        <f ca="1">IF(ROWS($1:35)&gt;COUNT(Dong1),"",OFFSET(TH!F$1,SMALL(Dong1,ROWS($1:35)),))</f>
        <v/>
      </c>
      <c r="F48" s="129" t="str">
        <f ca="1">IF(ROWS($1:35)&gt;COUNT(Dong1),"",IF(OFFSET(TH!M$1,SMALL(Dong1,ROWS($1:35)),)="1111",OFFSET(TH!L$1,SMALL(Dong1,ROWS($1:35)),),OFFSET(TH!M$1,SMALL(Dong1,ROWS($1:35)),)))</f>
        <v/>
      </c>
      <c r="G48" s="130" t="str">
        <f ca="1">IF(ROWS($1:35)&gt;COUNT(Dong1),"",IF(OFFSET(TH!L$1,SMALL(Dong1,ROWS($1:35)),)="1111",OFFSET(TH!K$1,SMALL(Dong1,ROWS($1:35)),),0))</f>
        <v/>
      </c>
      <c r="H48" s="128" t="str">
        <f ca="1">IF(ROWS($1:35)&gt;COUNT(Dong1),"",IF(OFFSET(TH!M$1,SMALL(Dong1,ROWS($1:35)),)="1111",OFFSET(TH!K$1,SMALL(Dong1,ROWS($1:35)),),0))</f>
        <v/>
      </c>
      <c r="I48" s="126">
        <f t="shared" ca="1" si="0"/>
        <v>0</v>
      </c>
      <c r="J48" s="131"/>
      <c r="N48" s="853"/>
      <c r="O48" s="853"/>
    </row>
    <row r="49" spans="1:15" ht="19.5" customHeight="1">
      <c r="A49" s="125" t="str">
        <f ca="1">IF(ROWS($1:36)&gt;COUNT(Dong1),"",OFFSET(TH!C$1,SMALL(Dong1,ROWS($1:36)),))</f>
        <v/>
      </c>
      <c r="B49" s="125" t="str">
        <f ca="1">IF(ROWS($1:36)&gt;COUNT(Dong1),"",OFFSET(TH!E$1,SMALL(Dong1,ROWS($1:36)),))</f>
        <v/>
      </c>
      <c r="C49" s="126" t="str">
        <f ca="1">IF(ROWS($1:36)&gt;COUNT(Dong1),"",IF(OFFSET(TH!L$1,SMALL(Dong1,ROWS($1:36)),)="1111",OFFSET(TH!D$1,SMALL(Dong1,ROWS($1:36)),),""))</f>
        <v/>
      </c>
      <c r="D49" s="127" t="str">
        <f ca="1">IF(ROWS($1:36)&gt;COUNT(Dong1),"",IF(OFFSET(TH!M$1,SMALL(Dong1,ROWS($1:36)),)="1111",OFFSET(TH!D$1,SMALL(Dong1,ROWS($1:36)),),""))</f>
        <v/>
      </c>
      <c r="E49" s="244" t="str">
        <f ca="1">IF(ROWS($1:36)&gt;COUNT(Dong1),"",OFFSET(TH!F$1,SMALL(Dong1,ROWS($1:36)),))</f>
        <v/>
      </c>
      <c r="F49" s="129" t="str">
        <f ca="1">IF(ROWS($1:36)&gt;COUNT(Dong1),"",IF(OFFSET(TH!M$1,SMALL(Dong1,ROWS($1:36)),)="1111",OFFSET(TH!L$1,SMALL(Dong1,ROWS($1:36)),),OFFSET(TH!M$1,SMALL(Dong1,ROWS($1:36)),)))</f>
        <v/>
      </c>
      <c r="G49" s="130" t="str">
        <f ca="1">IF(ROWS($1:36)&gt;COUNT(Dong1),"",IF(OFFSET(TH!L$1,SMALL(Dong1,ROWS($1:36)),)="1111",OFFSET(TH!K$1,SMALL(Dong1,ROWS($1:36)),),0))</f>
        <v/>
      </c>
      <c r="H49" s="128" t="str">
        <f ca="1">IF(ROWS($1:36)&gt;COUNT(Dong1),"",IF(OFFSET(TH!M$1,SMALL(Dong1,ROWS($1:36)),)="1111",OFFSET(TH!K$1,SMALL(Dong1,ROWS($1:36)),),0))</f>
        <v/>
      </c>
      <c r="I49" s="126">
        <f t="shared" ca="1" si="0"/>
        <v>0</v>
      </c>
      <c r="J49" s="131"/>
      <c r="N49" s="853"/>
      <c r="O49" s="853"/>
    </row>
    <row r="50" spans="1:15" ht="19.5" customHeight="1">
      <c r="A50" s="125" t="str">
        <f ca="1">IF(ROWS($1:37)&gt;COUNT(Dong1),"",OFFSET(TH!C$1,SMALL(Dong1,ROWS($1:37)),))</f>
        <v/>
      </c>
      <c r="B50" s="125" t="str">
        <f ca="1">IF(ROWS($1:37)&gt;COUNT(Dong1),"",OFFSET(TH!E$1,SMALL(Dong1,ROWS($1:37)),))</f>
        <v/>
      </c>
      <c r="C50" s="126" t="str">
        <f ca="1">IF(ROWS($1:37)&gt;COUNT(Dong1),"",IF(OFFSET(TH!L$1,SMALL(Dong1,ROWS($1:37)),)="1111",OFFSET(TH!D$1,SMALL(Dong1,ROWS($1:37)),),""))</f>
        <v/>
      </c>
      <c r="D50" s="127" t="str">
        <f ca="1">IF(ROWS($1:37)&gt;COUNT(Dong1),"",IF(OFFSET(TH!M$1,SMALL(Dong1,ROWS($1:37)),)="1111",OFFSET(TH!D$1,SMALL(Dong1,ROWS($1:37)),),""))</f>
        <v/>
      </c>
      <c r="E50" s="244" t="str">
        <f ca="1">IF(ROWS($1:37)&gt;COUNT(Dong1),"",OFFSET(TH!F$1,SMALL(Dong1,ROWS($1:37)),))</f>
        <v/>
      </c>
      <c r="F50" s="129" t="str">
        <f ca="1">IF(ROWS($1:37)&gt;COUNT(Dong1),"",IF(OFFSET(TH!M$1,SMALL(Dong1,ROWS($1:37)),)="1111",OFFSET(TH!L$1,SMALL(Dong1,ROWS($1:37)),),OFFSET(TH!M$1,SMALL(Dong1,ROWS($1:37)),)))</f>
        <v/>
      </c>
      <c r="G50" s="130" t="str">
        <f ca="1">IF(ROWS($1:37)&gt;COUNT(Dong1),"",IF(OFFSET(TH!L$1,SMALL(Dong1,ROWS($1:37)),)="1111",OFFSET(TH!K$1,SMALL(Dong1,ROWS($1:37)),),0))</f>
        <v/>
      </c>
      <c r="H50" s="128" t="str">
        <f ca="1">IF(ROWS($1:37)&gt;COUNT(Dong1),"",IF(OFFSET(TH!M$1,SMALL(Dong1,ROWS($1:37)),)="1111",OFFSET(TH!K$1,SMALL(Dong1,ROWS($1:37)),),0))</f>
        <v/>
      </c>
      <c r="I50" s="126">
        <f t="shared" ca="1" si="0"/>
        <v>0</v>
      </c>
      <c r="J50" s="131"/>
    </row>
    <row r="51" spans="1:15" ht="19.5" customHeight="1">
      <c r="A51" s="125" t="str">
        <f ca="1">IF(ROWS($1:38)&gt;COUNT(Dong1),"",OFFSET(TH!C$1,SMALL(Dong1,ROWS($1:38)),))</f>
        <v/>
      </c>
      <c r="B51" s="125" t="str">
        <f ca="1">IF(ROWS($1:38)&gt;COUNT(Dong1),"",OFFSET(TH!E$1,SMALL(Dong1,ROWS($1:38)),))</f>
        <v/>
      </c>
      <c r="C51" s="126" t="str">
        <f ca="1">IF(ROWS($1:38)&gt;COUNT(Dong1),"",IF(OFFSET(TH!L$1,SMALL(Dong1,ROWS($1:38)),)="1111",OFFSET(TH!D$1,SMALL(Dong1,ROWS($1:38)),),""))</f>
        <v/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/>
      </c>
      <c r="F51" s="129" t="str">
        <f ca="1">IF(ROWS($1:38)&gt;COUNT(Dong1),"",IF(OFFSET(TH!M$1,SMALL(Dong1,ROWS($1:38)),)="1111",OFFSET(TH!L$1,SMALL(Dong1,ROWS($1:38)),),OFFSET(TH!M$1,SMALL(Dong1,ROWS($1:38)),)))</f>
        <v/>
      </c>
      <c r="G51" s="130" t="str">
        <f ca="1">IF(ROWS($1:38)&gt;COUNT(Dong1),"",IF(OFFSET(TH!L$1,SMALL(Dong1,ROWS($1:38)),)="1111",OFFSET(TH!K$1,SMALL(Dong1,ROWS($1:38)),),0))</f>
        <v/>
      </c>
      <c r="H51" s="128" t="str">
        <f ca="1">IF(ROWS($1:38)&gt;COUNT(Dong1),"",IF(OFFSET(TH!M$1,SMALL(Dong1,ROWS($1:38)),)="1111",OFFSET(TH!K$1,SMALL(Dong1,ROWS($1:38)),),0))</f>
        <v/>
      </c>
      <c r="I51" s="126">
        <f t="shared" ca="1" si="0"/>
        <v>0</v>
      </c>
      <c r="J51" s="131"/>
    </row>
    <row r="52" spans="1:15" ht="19.5" customHeight="1">
      <c r="A52" s="125" t="str">
        <f ca="1">IF(ROWS($1:39)&gt;COUNT(Dong1),"",OFFSET(TH!C$1,SMALL(Dong1,ROWS($1:39)),))</f>
        <v/>
      </c>
      <c r="B52" s="125" t="str">
        <f ca="1">IF(ROWS($1:39)&gt;COUNT(Dong1),"",OFFSET(TH!E$1,SMALL(Dong1,ROWS($1:39)),))</f>
        <v/>
      </c>
      <c r="C52" s="126" t="str">
        <f ca="1">IF(ROWS($1:39)&gt;COUNT(Dong1),"",IF(OFFSET(TH!L$1,SMALL(Dong1,ROWS($1:39)),)="1111",OFFSET(TH!D$1,SMALL(Dong1,ROWS($1:39)),),""))</f>
        <v/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/>
      </c>
      <c r="F52" s="129" t="str">
        <f ca="1">IF(ROWS($1:39)&gt;COUNT(Dong1),"",IF(OFFSET(TH!M$1,SMALL(Dong1,ROWS($1:39)),)="1111",OFFSET(TH!L$1,SMALL(Dong1,ROWS($1:39)),),OFFSET(TH!M$1,SMALL(Dong1,ROWS($1:39)),)))</f>
        <v/>
      </c>
      <c r="G52" s="130" t="str">
        <f ca="1">IF(ROWS($1:39)&gt;COUNT(Dong1),"",IF(OFFSET(TH!L$1,SMALL(Dong1,ROWS($1:39)),)="1111",OFFSET(TH!K$1,SMALL(Dong1,ROWS($1:39)),),0))</f>
        <v/>
      </c>
      <c r="H52" s="128" t="str">
        <f ca="1">IF(ROWS($1:39)&gt;COUNT(Dong1),"",IF(OFFSET(TH!M$1,SMALL(Dong1,ROWS($1:39)),)="1111",OFFSET(TH!K$1,SMALL(Dong1,ROWS($1:39)),),0))</f>
        <v/>
      </c>
      <c r="I52" s="126">
        <f t="shared" ca="1" si="0"/>
        <v>0</v>
      </c>
      <c r="J52" s="131"/>
    </row>
    <row r="53" spans="1:15" ht="19.5" customHeight="1">
      <c r="A53" s="125" t="str">
        <f ca="1">IF(ROWS($1:40)&gt;COUNT(Dong1),"",OFFSET(TH!C$1,SMALL(Dong1,ROWS($1:40)),))</f>
        <v/>
      </c>
      <c r="B53" s="125" t="str">
        <f ca="1">IF(ROWS($1:40)&gt;COUNT(Dong1),"",OFFSET(TH!E$1,SMALL(Dong1,ROWS($1:40)),))</f>
        <v/>
      </c>
      <c r="C53" s="126" t="str">
        <f ca="1">IF(ROWS($1:40)&gt;COUNT(Dong1),"",IF(OFFSET(TH!L$1,SMALL(Dong1,ROWS($1:40)),)="1111",OFFSET(TH!D$1,SMALL(Dong1,ROWS($1:40)),),""))</f>
        <v/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/>
      </c>
      <c r="F53" s="129" t="str">
        <f ca="1">IF(ROWS($1:40)&gt;COUNT(Dong1),"",IF(OFFSET(TH!M$1,SMALL(Dong1,ROWS($1:40)),)="1111",OFFSET(TH!L$1,SMALL(Dong1,ROWS($1:40)),),OFFSET(TH!M$1,SMALL(Dong1,ROWS($1:40)),)))</f>
        <v/>
      </c>
      <c r="G53" s="130" t="str">
        <f ca="1">IF(ROWS($1:40)&gt;COUNT(Dong1),"",IF(OFFSET(TH!L$1,SMALL(Dong1,ROWS($1:40)),)="1111",OFFSET(TH!K$1,SMALL(Dong1,ROWS($1:40)),),0))</f>
        <v/>
      </c>
      <c r="H53" s="128" t="str">
        <f ca="1">IF(ROWS($1:40)&gt;COUNT(Dong1),"",IF(OFFSET(TH!M$1,SMALL(Dong1,ROWS($1:40)),)="1111",OFFSET(TH!K$1,SMALL(Dong1,ROWS($1:40)),),0))</f>
        <v/>
      </c>
      <c r="I53" s="126">
        <f t="shared" ca="1" si="0"/>
        <v>0</v>
      </c>
      <c r="J53" s="131"/>
    </row>
    <row r="54" spans="1:15" ht="19.5" customHeight="1">
      <c r="A54" s="125" t="str">
        <f ca="1">IF(ROWS($1:41)&gt;COUNT(Dong1),"",OFFSET(TH!C$1,SMALL(Dong1,ROWS($1:41)),))</f>
        <v/>
      </c>
      <c r="B54" s="125" t="str">
        <f ca="1">IF(ROWS($1:41)&gt;COUNT(Dong1),"",OFFSET(TH!E$1,SMALL(Dong1,ROWS($1:41)),))</f>
        <v/>
      </c>
      <c r="C54" s="126" t="str">
        <f ca="1">IF(ROWS($1:41)&gt;COUNT(Dong1),"",IF(OFFSET(TH!L$1,SMALL(Dong1,ROWS($1:41)),)="1111",OFFSET(TH!D$1,SMALL(Dong1,ROWS($1:41)),),""))</f>
        <v/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/>
      </c>
      <c r="F54" s="129" t="str">
        <f ca="1">IF(ROWS($1:41)&gt;COUNT(Dong1),"",IF(OFFSET(TH!M$1,SMALL(Dong1,ROWS($1:41)),)="1111",OFFSET(TH!L$1,SMALL(Dong1,ROWS($1:41)),),OFFSET(TH!M$1,SMALL(Dong1,ROWS($1:41)),)))</f>
        <v/>
      </c>
      <c r="G54" s="130" t="str">
        <f ca="1">IF(ROWS($1:41)&gt;COUNT(Dong1),"",IF(OFFSET(TH!L$1,SMALL(Dong1,ROWS($1:41)),)="1111",OFFSET(TH!K$1,SMALL(Dong1,ROWS($1:41)),),0))</f>
        <v/>
      </c>
      <c r="H54" s="128" t="str">
        <f ca="1">IF(ROWS($1:41)&gt;COUNT(Dong1),"",IF(OFFSET(TH!M$1,SMALL(Dong1,ROWS($1:41)),)="1111",OFFSET(TH!K$1,SMALL(Dong1,ROWS($1:41)),),0))</f>
        <v/>
      </c>
      <c r="I54" s="126">
        <f t="shared" ca="1" si="0"/>
        <v>0</v>
      </c>
      <c r="J54" s="131"/>
    </row>
    <row r="55" spans="1:15" ht="19.5" customHeight="1">
      <c r="A55" s="125" t="str">
        <f ca="1">IF(ROWS($1:42)&gt;COUNT(Dong1),"",OFFSET(TH!C$1,SMALL(Dong1,ROWS($1:42)),))</f>
        <v/>
      </c>
      <c r="B55" s="125" t="str">
        <f ca="1">IF(ROWS($1:42)&gt;COUNT(Dong1),"",OFFSET(TH!E$1,SMALL(Dong1,ROWS($1:42)),))</f>
        <v/>
      </c>
      <c r="C55" s="126" t="str">
        <f ca="1">IF(ROWS($1:42)&gt;COUNT(Dong1),"",IF(OFFSET(TH!L$1,SMALL(Dong1,ROWS($1:42)),)="1111",OFFSET(TH!D$1,SMALL(Dong1,ROWS($1:42)),),""))</f>
        <v/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/>
      </c>
      <c r="F55" s="129" t="str">
        <f ca="1">IF(ROWS($1:42)&gt;COUNT(Dong1),"",IF(OFFSET(TH!M$1,SMALL(Dong1,ROWS($1:42)),)="1111",OFFSET(TH!L$1,SMALL(Dong1,ROWS($1:42)),),OFFSET(TH!M$1,SMALL(Dong1,ROWS($1:42)),)))</f>
        <v/>
      </c>
      <c r="G55" s="130" t="str">
        <f ca="1">IF(ROWS($1:42)&gt;COUNT(Dong1),"",IF(OFFSET(TH!L$1,SMALL(Dong1,ROWS($1:42)),)="1111",OFFSET(TH!K$1,SMALL(Dong1,ROWS($1:42)),),0))</f>
        <v/>
      </c>
      <c r="H55" s="128" t="str">
        <f ca="1">IF(ROWS($1:42)&gt;COUNT(Dong1),"",IF(OFFSET(TH!M$1,SMALL(Dong1,ROWS($1:42)),)="1111",OFFSET(TH!K$1,SMALL(Dong1,ROWS($1:42)),),0))</f>
        <v/>
      </c>
      <c r="I55" s="126">
        <f t="shared" ca="1" si="0"/>
        <v>0</v>
      </c>
      <c r="J55" s="131"/>
    </row>
    <row r="56" spans="1:15" ht="19.5" customHeight="1">
      <c r="A56" s="125" t="str">
        <f ca="1">IF(ROWS($1:43)&gt;COUNT(Dong1),"",OFFSET(TH!C$1,SMALL(Dong1,ROWS($1:43)),))</f>
        <v/>
      </c>
      <c r="B56" s="125" t="str">
        <f ca="1">IF(ROWS($1:43)&gt;COUNT(Dong1),"",OFFSET(TH!E$1,SMALL(Dong1,ROWS($1:43)),))</f>
        <v/>
      </c>
      <c r="C56" s="126" t="str">
        <f ca="1">IF(ROWS($1:43)&gt;COUNT(Dong1),"",IF(OFFSET(TH!L$1,SMALL(Dong1,ROWS($1:43)),)="1111",OFFSET(TH!D$1,SMALL(Dong1,ROWS($1:43)),),""))</f>
        <v/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/>
      </c>
      <c r="F56" s="129" t="str">
        <f ca="1">IF(ROWS($1:43)&gt;COUNT(Dong1),"",IF(OFFSET(TH!M$1,SMALL(Dong1,ROWS($1:43)),)="1111",OFFSET(TH!L$1,SMALL(Dong1,ROWS($1:43)),),OFFSET(TH!M$1,SMALL(Dong1,ROWS($1:43)),)))</f>
        <v/>
      </c>
      <c r="G56" s="130" t="str">
        <f ca="1">IF(ROWS($1:43)&gt;COUNT(Dong1),"",IF(OFFSET(TH!L$1,SMALL(Dong1,ROWS($1:43)),)="1111",OFFSET(TH!K$1,SMALL(Dong1,ROWS($1:43)),),0))</f>
        <v/>
      </c>
      <c r="H56" s="128" t="str">
        <f ca="1">IF(ROWS($1:43)&gt;COUNT(Dong1),"",IF(OFFSET(TH!M$1,SMALL(Dong1,ROWS($1:43)),)="1111",OFFSET(TH!K$1,SMALL(Dong1,ROWS($1:43)),),0))</f>
        <v/>
      </c>
      <c r="I56" s="126">
        <f t="shared" ca="1" si="0"/>
        <v>0</v>
      </c>
      <c r="J56" s="131"/>
    </row>
    <row r="57" spans="1:15" ht="19.5" customHeight="1">
      <c r="A57" s="125" t="str">
        <f ca="1">IF(ROWS($1:44)&gt;COUNT(Dong1),"",OFFSET(TH!C$1,SMALL(Dong1,ROWS($1:44)),))</f>
        <v/>
      </c>
      <c r="B57" s="125" t="str">
        <f ca="1">IF(ROWS($1:44)&gt;COUNT(Dong1),"",OFFSET(TH!E$1,SMALL(Dong1,ROWS($1:44)),))</f>
        <v/>
      </c>
      <c r="C57" s="126" t="str">
        <f ca="1">IF(ROWS($1:44)&gt;COUNT(Dong1),"",IF(OFFSET(TH!L$1,SMALL(Dong1,ROWS($1:44)),)="1111",OFFSET(TH!D$1,SMALL(Dong1,ROWS($1:44)),),""))</f>
        <v/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/>
      </c>
      <c r="F57" s="129" t="str">
        <f ca="1">IF(ROWS($1:44)&gt;COUNT(Dong1),"",IF(OFFSET(TH!M$1,SMALL(Dong1,ROWS($1:44)),)="1111",OFFSET(TH!L$1,SMALL(Dong1,ROWS($1:44)),),OFFSET(TH!M$1,SMALL(Dong1,ROWS($1:44)),)))</f>
        <v/>
      </c>
      <c r="G57" s="130" t="str">
        <f ca="1">IF(ROWS($1:44)&gt;COUNT(Dong1),"",IF(OFFSET(TH!L$1,SMALL(Dong1,ROWS($1:44)),)="1111",OFFSET(TH!K$1,SMALL(Dong1,ROWS($1:44)),),0))</f>
        <v/>
      </c>
      <c r="H57" s="128" t="str">
        <f ca="1">IF(ROWS($1:44)&gt;COUNT(Dong1),"",IF(OFFSET(TH!M$1,SMALL(Dong1,ROWS($1:44)),)="1111",OFFSET(TH!K$1,SMALL(Dong1,ROWS($1:44)),),0))</f>
        <v/>
      </c>
      <c r="I57" s="126">
        <f t="shared" ca="1" si="0"/>
        <v>0</v>
      </c>
      <c r="J57" s="131"/>
    </row>
    <row r="58" spans="1:15" ht="19.5" customHeight="1">
      <c r="A58" s="125" t="str">
        <f ca="1">IF(ROWS($1:45)&gt;COUNT(Dong1),"",OFFSET(TH!C$1,SMALL(Dong1,ROWS($1:45)),))</f>
        <v/>
      </c>
      <c r="B58" s="125" t="str">
        <f ca="1">IF(ROWS($1:45)&gt;COUNT(Dong1),"",OFFSET(TH!E$1,SMALL(Dong1,ROWS($1:45)),))</f>
        <v/>
      </c>
      <c r="C58" s="126" t="str">
        <f ca="1">IF(ROWS($1:45)&gt;COUNT(Dong1),"",IF(OFFSET(TH!L$1,SMALL(Dong1,ROWS($1:45)),)="1111",OFFSET(TH!D$1,SMALL(Dong1,ROWS($1:45)),),""))</f>
        <v/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/>
      </c>
      <c r="F58" s="129" t="str">
        <f ca="1">IF(ROWS($1:45)&gt;COUNT(Dong1),"",IF(OFFSET(TH!M$1,SMALL(Dong1,ROWS($1:45)),)="1111",OFFSET(TH!L$1,SMALL(Dong1,ROWS($1:45)),),OFFSET(TH!M$1,SMALL(Dong1,ROWS($1:45)),)))</f>
        <v/>
      </c>
      <c r="G58" s="130" t="str">
        <f ca="1">IF(ROWS($1:45)&gt;COUNT(Dong1),"",IF(OFFSET(TH!L$1,SMALL(Dong1,ROWS($1:45)),)="1111",OFFSET(TH!K$1,SMALL(Dong1,ROWS($1:45)),),0))</f>
        <v/>
      </c>
      <c r="H58" s="128" t="str">
        <f ca="1">IF(ROWS($1:45)&gt;COUNT(Dong1),"",IF(OFFSET(TH!M$1,SMALL(Dong1,ROWS($1:45)),)="1111",OFFSET(TH!K$1,SMALL(Dong1,ROWS($1:45)),),0))</f>
        <v/>
      </c>
      <c r="I58" s="126">
        <f t="shared" ca="1" si="0"/>
        <v>0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140500000</v>
      </c>
      <c r="H60" s="134">
        <f ca="1">SUM(H14:H59)</f>
        <v>286866126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1401170215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2/10/ 2012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494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4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>Ngày  2  tháng  10  năm  2012</v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04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e">
        <f>IF($U$4="T","1111",IF($U$4="C",IF(ISNA(VLOOKUP($M$7,TM,15,0)),"",VLOOKUP($M$7,TM,14,0)),""))</f>
        <v>#REF!</v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>Họ và tên người nhận tiền : Nguyễn Thị Quý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>Lý do chi : Nộp tiền mặt vào tài khoản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5000000</v>
      </c>
      <c r="E13" s="64" t="s">
        <v>112</v>
      </c>
      <c r="F13" s="101"/>
      <c r="G13" s="101"/>
      <c r="P13" s="64"/>
    </row>
    <row r="14" spans="1:23">
      <c r="C14" s="64" t="str">
        <f ca="1">"Viết bằng chữ: " &amp;[1]!VND('IN-TC'!D13, TRUE)</f>
        <v>Viết bằng chữ: Năm triệu đồng</v>
      </c>
      <c r="P14" s="79"/>
    </row>
    <row r="15" spans="1:23">
      <c r="C15" s="9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>Ngày  2  tháng  10  năm  2012</v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03" t="s">
        <v>147</v>
      </c>
      <c r="B4" s="1003"/>
      <c r="C4" s="1003"/>
      <c r="D4" s="1003"/>
      <c r="E4" s="1003"/>
      <c r="F4" s="1003"/>
      <c r="G4" s="1003"/>
      <c r="H4" s="1003"/>
      <c r="I4" s="1003"/>
    </row>
    <row r="5" spans="1:20" s="145" customFormat="1" ht="15">
      <c r="A5" s="1004" t="str">
        <f>"Nơi mở tài khoản giao dịch:  "&amp;IF($M$9="ACB"," Ngân Hàng ACB"," Ngân Hàng Eximbank - Chi Nhánh Chợ Lớn")</f>
        <v>Nơi mở tài khoản giao dịch:   Ngân Hàng ACB</v>
      </c>
      <c r="B5" s="1004"/>
      <c r="C5" s="1004"/>
      <c r="D5" s="1004"/>
      <c r="E5" s="1004"/>
      <c r="F5" s="1004"/>
      <c r="G5" s="1004"/>
      <c r="H5" s="1004"/>
      <c r="I5" s="1004"/>
    </row>
    <row r="6" spans="1:20" s="145" customFormat="1" ht="15">
      <c r="D6" s="281" t="s">
        <v>190</v>
      </c>
      <c r="E6" s="1004" t="str">
        <f>IF($M$9="ACB","100983119","1004 148 5104 6511")</f>
        <v>100983119</v>
      </c>
      <c r="F6" s="1004"/>
      <c r="G6" s="1004"/>
      <c r="H6" s="744" t="s">
        <v>112</v>
      </c>
      <c r="I6" s="282" t="str">
        <f>IF(H6="VNĐ","1121",IF(H6="USD","1122",""))</f>
        <v>1121</v>
      </c>
      <c r="N6" s="996" t="s">
        <v>445</v>
      </c>
      <c r="O6" s="996"/>
      <c r="Q6" s="1001" t="s">
        <v>378</v>
      </c>
      <c r="R6" s="1001" t="s">
        <v>447</v>
      </c>
      <c r="S6" s="1001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02"/>
      <c r="R7" s="1002"/>
      <c r="S7" s="1002"/>
    </row>
    <row r="8" spans="1:20" s="152" customFormat="1" ht="22.5" customHeight="1" thickBot="1">
      <c r="A8" s="1007" t="s">
        <v>148</v>
      </c>
      <c r="B8" s="1009" t="s">
        <v>1</v>
      </c>
      <c r="C8" s="1010"/>
      <c r="D8" s="1005" t="s">
        <v>0</v>
      </c>
      <c r="E8" s="1011" t="s">
        <v>14</v>
      </c>
      <c r="F8" s="1013" t="s">
        <v>149</v>
      </c>
      <c r="G8" s="1013"/>
      <c r="H8" s="1010"/>
      <c r="I8" s="1005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8"/>
      <c r="B9" s="153" t="s">
        <v>15</v>
      </c>
      <c r="C9" s="154" t="s">
        <v>150</v>
      </c>
      <c r="D9" s="1006"/>
      <c r="E9" s="1012"/>
      <c r="F9" s="274" t="s">
        <v>151</v>
      </c>
      <c r="G9" s="155" t="s">
        <v>152</v>
      </c>
      <c r="H9" s="746" t="s">
        <v>153</v>
      </c>
      <c r="I9" s="1006"/>
      <c r="K9" s="185" t="s">
        <v>1203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90329896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41092</v>
      </c>
      <c r="B12" s="163" t="str">
        <f ca="1">IF(ROWS($1:1)&gt;COUNT(Dong2),"",OFFSET(TH!D$1,SMALL(Dong2,ROWS($1:1)),))</f>
        <v>GBN</v>
      </c>
      <c r="C12" s="163">
        <f ca="1">IF(ROWS($1:1)&gt;COUNT(Dong2),"",OFFSET(TH!E$1,SMALL(Dong2,ROWS($1:1)),))</f>
        <v>41092</v>
      </c>
      <c r="D12" s="251" t="str">
        <f ca="1">IF(ROWS($1:1)&gt;COUNT(Dong2),"",OFFSET(TH!F$1,SMALL(Dong2,ROWS($1:1)),))</f>
        <v>Thanh toán tiền hàng</v>
      </c>
      <c r="E12" s="163" t="str">
        <f ca="1">IF(ROWS($1:1)&gt;COUNT(Dong2),"",IF(OFFSET(TH!M$1,SMALL(Dong2,ROWS($1:1)),)=$I$6,OFFSET(TH!L$1,SMALL(Dong2,ROWS($1:1)),),OFFSET(TH!M$1,SMALL(Dong2,ROWS($1:1)),)))</f>
        <v>331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9592000</v>
      </c>
      <c r="H12" s="755">
        <f ca="1">IF(A12&lt;&gt;"",H11+F12-G12,0)</f>
        <v>80737896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41092</v>
      </c>
      <c r="B13" s="163" t="str">
        <f ca="1">IF(ROWS($1:2)&gt;COUNT(Dong2),"",OFFSET(TH!D$1,SMALL(Dong2,ROWS($1:2)),))</f>
        <v>GBN</v>
      </c>
      <c r="C13" s="163">
        <f ca="1">IF(ROWS($1:2)&gt;COUNT(Dong2),"",OFFSET(TH!E$1,SMALL(Dong2,ROWS($1:2)),))</f>
        <v>41092</v>
      </c>
      <c r="D13" s="251" t="str">
        <f ca="1">IF(ROWS($1:2)&gt;COUNT(Dong2),"",OFFSET(TH!F$1,SMALL(Dong2,ROWS($1:2)),))</f>
        <v>Thanh toán tiền hàng</v>
      </c>
      <c r="E13" s="163" t="str">
        <f ca="1">IF(ROWS($1:2)&gt;COUNT(Dong2),"",IF(OFFSET(TH!M$1,SMALL(Dong2,ROWS($1:2)),)=$I$6,OFFSET(TH!L$1,SMALL(Dong2,ROWS($1:2)),),OFFSET(TH!M$1,SMALL(Dong2,ROWS($1:2)),)))</f>
        <v>331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75924100</v>
      </c>
      <c r="H13" s="755">
        <f t="shared" ref="H13:H40" ca="1" si="0">IF(A13&lt;&gt;"",H12+F13-G13,0)</f>
        <v>4813796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41092</v>
      </c>
      <c r="B14" s="163" t="str">
        <f ca="1">IF(ROWS($1:3)&gt;COUNT(Dong2),"",OFFSET(TH!D$1,SMALL(Dong2,ROWS($1:3)),))</f>
        <v>GBN</v>
      </c>
      <c r="C14" s="163">
        <f ca="1">IF(ROWS($1:3)&gt;COUNT(Dong2),"",OFFSET(TH!E$1,SMALL(Dong2,ROWS($1:3)),))</f>
        <v>41092</v>
      </c>
      <c r="D14" s="251" t="str">
        <f ca="1">IF(ROWS($1:3)&gt;COUNT(Dong2),"",OFFSET(TH!F$1,SMALL(Dong2,ROWS($1:3)),))</f>
        <v>Phí chuyển tiền</v>
      </c>
      <c r="E14" s="163" t="str">
        <f ca="1">IF(ROWS($1:3)&gt;COUNT(Dong2),"",IF(OFFSET(TH!M$1,SMALL(Dong2,ROWS($1:3)),)=$I$6,OFFSET(TH!L$1,SMALL(Dong2,ROWS($1:3)),),OFFSET(TH!M$1,SMALL(Dong2,ROWS($1:3)),)))</f>
        <v>642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37962</v>
      </c>
      <c r="H14" s="755">
        <f t="shared" ca="1" si="0"/>
        <v>4775834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41092</v>
      </c>
      <c r="B15" s="163" t="str">
        <f ca="1">IF(ROWS($1:4)&gt;COUNT(Dong2),"",OFFSET(TH!D$1,SMALL(Dong2,ROWS($1:4)),))</f>
        <v>GBN</v>
      </c>
      <c r="C15" s="163">
        <f ca="1">IF(ROWS($1:4)&gt;COUNT(Dong2),"",OFFSET(TH!E$1,SMALL(Dong2,ROWS($1:4)),))</f>
        <v>41092</v>
      </c>
      <c r="D15" s="251" t="str">
        <f ca="1">IF(ROWS($1:4)&gt;COUNT(Dong2),"",OFFSET(TH!F$1,SMALL(Dong2,ROWS($1:4)),))</f>
        <v>Phí kiểm đếm</v>
      </c>
      <c r="E15" s="163" t="str">
        <f ca="1">IF(ROWS($1:4)&gt;COUNT(Dong2),"",IF(OFFSET(TH!M$1,SMALL(Dong2,ROWS($1:4)),)=$I$6,OFFSET(TH!L$1,SMALL(Dong2,ROWS($1:4)),),OFFSET(TH!M$1,SMALL(Dong2,ROWS($1:4)),)))</f>
        <v>642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55">
        <f t="shared" ca="1" si="0"/>
        <v>4765834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41095</v>
      </c>
      <c r="B16" s="163" t="str">
        <f ca="1">IF(ROWS($1:5)&gt;COUNT(Dong2),"",OFFSET(TH!D$1,SMALL(Dong2,ROWS($1:5)),))</f>
        <v>GBC</v>
      </c>
      <c r="C16" s="163">
        <f ca="1">IF(ROWS($1:5)&gt;COUNT(Dong2),"",OFFSET(TH!E$1,SMALL(Dong2,ROWS($1:5)),))</f>
        <v>41095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5000000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9765834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41099</v>
      </c>
      <c r="B17" s="163" t="str">
        <f ca="1">IF(ROWS($1:6)&gt;COUNT(Dong2),"",OFFSET(TH!D$1,SMALL(Dong2,ROWS($1:6)),))</f>
        <v>GBC</v>
      </c>
      <c r="C17" s="163">
        <f ca="1">IF(ROWS($1:6)&gt;COUNT(Dong2),"",OFFSET(TH!E$1,SMALL(Dong2,ROWS($1:6)),))</f>
        <v>41099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100000000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109765834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41100</v>
      </c>
      <c r="B18" s="163" t="str">
        <f ca="1">IF(ROWS($1:7)&gt;COUNT(Dong2),"",OFFSET(TH!D$1,SMALL(Dong2,ROWS($1:7)),))</f>
        <v>GBC</v>
      </c>
      <c r="C18" s="163">
        <f ca="1">IF(ROWS($1:7)&gt;COUNT(Dong2),"",OFFSET(TH!E$1,SMALL(Dong2,ROWS($1:7)),))</f>
        <v>41100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36590400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146356234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41100</v>
      </c>
      <c r="B19" s="163" t="str">
        <f ca="1">IF(ROWS($1:8)&gt;COUNT(Dong2),"",OFFSET(TH!D$1,SMALL(Dong2,ROWS($1:8)),))</f>
        <v>GBN</v>
      </c>
      <c r="C19" s="163">
        <f ca="1">IF(ROWS($1:8)&gt;COUNT(Dong2),"",OFFSET(TH!E$1,SMALL(Dong2,ROWS($1:8)),))</f>
        <v>41100</v>
      </c>
      <c r="D19" s="251" t="str">
        <f ca="1">IF(ROWS($1:8)&gt;COUNT(Dong2),"",OFFSET(TH!F$1,SMALL(Dong2,ROWS($1:8)),))</f>
        <v>Thanh toán tiền hàng</v>
      </c>
      <c r="E19" s="163" t="str">
        <f ca="1">IF(ROWS($1:8)&gt;COUNT(Dong2),"",IF(OFFSET(TH!M$1,SMALL(Dong2,ROWS($1:8)),)=$I$6,OFFSET(TH!L$1,SMALL(Dong2,ROWS($1:8)),),OFFSET(TH!M$1,SMALL(Dong2,ROWS($1:8)),)))</f>
        <v>331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17000000</v>
      </c>
      <c r="H19" s="755">
        <f t="shared" ca="1" si="0"/>
        <v>129356234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41100</v>
      </c>
      <c r="B20" s="163" t="str">
        <f ca="1">IF(ROWS($1:9)&gt;COUNT(Dong2),"",OFFSET(TH!D$1,SMALL(Dong2,ROWS($1:9)),))</f>
        <v>GBN</v>
      </c>
      <c r="C20" s="163">
        <f ca="1">IF(ROWS($1:9)&gt;COUNT(Dong2),"",OFFSET(TH!E$1,SMALL(Dong2,ROWS($1:9)),))</f>
        <v>41100</v>
      </c>
      <c r="D20" s="251" t="str">
        <f ca="1">IF(ROWS($1:9)&gt;COUNT(Dong2),"",OFFSET(TH!F$1,SMALL(Dong2,ROWS($1:9)),))</f>
        <v>Thanh toán tiền hàng</v>
      </c>
      <c r="E20" s="163" t="str">
        <f ca="1">IF(ROWS($1:9)&gt;COUNT(Dong2),"",IF(OFFSET(TH!M$1,SMALL(Dong2,ROWS($1:9)),)=$I$6,OFFSET(TH!L$1,SMALL(Dong2,ROWS($1:9)),),OFFSET(TH!M$1,SMALL(Dong2,ROWS($1:9)),)))</f>
        <v>331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7000000</v>
      </c>
      <c r="H20" s="755">
        <f t="shared" ca="1" si="0"/>
        <v>122356234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41100</v>
      </c>
      <c r="B21" s="163" t="str">
        <f ca="1">IF(ROWS($1:10)&gt;COUNT(Dong2),"",OFFSET(TH!D$1,SMALL(Dong2,ROWS($1:10)),))</f>
        <v>GBN</v>
      </c>
      <c r="C21" s="163">
        <f ca="1">IF(ROWS($1:10)&gt;COUNT(Dong2),"",OFFSET(TH!E$1,SMALL(Dong2,ROWS($1:10)),))</f>
        <v>41100</v>
      </c>
      <c r="D21" s="251" t="str">
        <f ca="1">IF(ROWS($1:10)&gt;COUNT(Dong2),"",OFFSET(TH!F$1,SMALL(Dong2,ROWS($1:10)),))</f>
        <v>Thanh toán tiền hàng</v>
      </c>
      <c r="E21" s="163" t="str">
        <f ca="1">IF(ROWS($1:10)&gt;COUNT(Dong2),"",IF(OFFSET(TH!M$1,SMALL(Dong2,ROWS($1:10)),)=$I$6,OFFSET(TH!L$1,SMALL(Dong2,ROWS($1:10)),),OFFSET(TH!M$1,SMALL(Dong2,ROWS($1:10)),)))</f>
        <v>331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85000000</v>
      </c>
      <c r="H21" s="755">
        <f t="shared" ca="1" si="0"/>
        <v>37356234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41100</v>
      </c>
      <c r="B22" s="163" t="str">
        <f ca="1">IF(ROWS($1:11)&gt;COUNT(Dong2),"",OFFSET(TH!D$1,SMALL(Dong2,ROWS($1:11)),))</f>
        <v>GBN</v>
      </c>
      <c r="C22" s="163">
        <f ca="1">IF(ROWS($1:11)&gt;COUNT(Dong2),"",OFFSET(TH!E$1,SMALL(Dong2,ROWS($1:11)),))</f>
        <v>41100</v>
      </c>
      <c r="D22" s="251" t="str">
        <f ca="1">IF(ROWS($1:11)&gt;COUNT(Dong2),"",OFFSET(TH!F$1,SMALL(Dong2,ROWS($1:11)),))</f>
        <v>Phí chuyển tiền</v>
      </c>
      <c r="E22" s="163" t="str">
        <f ca="1">IF(ROWS($1:11)&gt;COUNT(Dong2),"",IF(OFFSET(TH!M$1,SMALL(Dong2,ROWS($1:11)),)=$I$6,OFFSET(TH!L$1,SMALL(Dong2,ROWS($1:11)),),OFFSET(TH!M$1,SMALL(Dong2,ROWS($1:11)),)))</f>
        <v>642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42500</v>
      </c>
      <c r="H22" s="755">
        <f t="shared" ca="1" si="0"/>
        <v>37313734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41100</v>
      </c>
      <c r="B23" s="163" t="str">
        <f ca="1">IF(ROWS($1:12)&gt;COUNT(Dong2),"",OFFSET(TH!D$1,SMALL(Dong2,ROWS($1:12)),))</f>
        <v>GBN</v>
      </c>
      <c r="C23" s="163">
        <f ca="1">IF(ROWS($1:12)&gt;COUNT(Dong2),"",OFFSET(TH!E$1,SMALL(Dong2,ROWS($1:12)),))</f>
        <v>41100</v>
      </c>
      <c r="D23" s="251" t="str">
        <f ca="1">IF(ROWS($1:12)&gt;COUNT(Dong2),"",OFFSET(TH!F$1,SMALL(Dong2,ROWS($1:12)),))</f>
        <v>Phí chuyển tiền</v>
      </c>
      <c r="E23" s="163" t="str">
        <f ca="1">IF(ROWS($1:12)&gt;COUNT(Dong2),"",IF(OFFSET(TH!M$1,SMALL(Dong2,ROWS($1:12)),)=$I$6,OFFSET(TH!L$1,SMALL(Dong2,ROWS($1:12)),),OFFSET(TH!M$1,SMALL(Dong2,ROWS($1:12)),)))</f>
        <v>642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10000</v>
      </c>
      <c r="H23" s="755">
        <f t="shared" ca="1" si="0"/>
        <v>37303734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41100</v>
      </c>
      <c r="B24" s="163" t="str">
        <f ca="1">IF(ROWS($1:13)&gt;COUNT(Dong2),"",OFFSET(TH!D$1,SMALL(Dong2,ROWS($1:13)),))</f>
        <v>GBN</v>
      </c>
      <c r="C24" s="163">
        <f ca="1">IF(ROWS($1:13)&gt;COUNT(Dong2),"",OFFSET(TH!E$1,SMALL(Dong2,ROWS($1:13)),))</f>
        <v>41100</v>
      </c>
      <c r="D24" s="251" t="str">
        <f ca="1">IF(ROWS($1:13)&gt;COUNT(Dong2),"",OFFSET(TH!F$1,SMALL(Dong2,ROWS($1:13)),))</f>
        <v>Phí chuyển tiền</v>
      </c>
      <c r="E24" s="163" t="str">
        <f ca="1">IF(ROWS($1:13)&gt;COUNT(Dong2),"",IF(OFFSET(TH!M$1,SMALL(Dong2,ROWS($1:13)),)=$I$6,OFFSET(TH!L$1,SMALL(Dong2,ROWS($1:13)),),OFFSET(TH!M$1,SMALL(Dong2,ROWS($1:13)),)))</f>
        <v>642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10000</v>
      </c>
      <c r="H24" s="755">
        <f t="shared" ca="1" si="0"/>
        <v>37293734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41104</v>
      </c>
      <c r="B25" s="163" t="str">
        <f ca="1">IF(ROWS($1:14)&gt;COUNT(Dong2),"",OFFSET(TH!D$1,SMALL(Dong2,ROWS($1:14)),))</f>
        <v>GBC</v>
      </c>
      <c r="C25" s="163">
        <f ca="1">IF(ROWS($1:14)&gt;COUNT(Dong2),"",OFFSET(TH!E$1,SMALL(Dong2,ROWS($1:14)),))</f>
        <v>41104</v>
      </c>
      <c r="D25" s="251" t="str">
        <f ca="1">IF(ROWS($1:14)&gt;COUNT(Dong2),"",OFFSET(TH!F$1,SMALL(Dong2,ROWS($1:14)),))</f>
        <v>Nộp tiền mặt vào tài khoản</v>
      </c>
      <c r="E25" s="163" t="str">
        <f ca="1">IF(ROWS($1:14)&gt;COUNT(Dong2),"",IF(OFFSET(TH!M$1,SMALL(Dong2,ROWS($1:14)),)=$I$6,OFFSET(TH!L$1,SMALL(Dong2,ROWS($1:14)),),OFFSET(TH!M$1,SMALL(Dong2,ROWS($1:14)),)))</f>
        <v>1111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15000000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52293734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41106</v>
      </c>
      <c r="B26" s="163" t="str">
        <f ca="1">IF(ROWS($1:15)&gt;COUNT(Dong2),"",OFFSET(TH!D$1,SMALL(Dong2,ROWS($1:15)),))</f>
        <v>GBN</v>
      </c>
      <c r="C26" s="163">
        <f ca="1">IF(ROWS($1:15)&gt;COUNT(Dong2),"",OFFSET(TH!E$1,SMALL(Dong2,ROWS($1:15)),))</f>
        <v>41106</v>
      </c>
      <c r="D26" s="251" t="str">
        <f ca="1">IF(ROWS($1:15)&gt;COUNT(Dong2),"",OFFSET(TH!F$1,SMALL(Dong2,ROWS($1:15)),))</f>
        <v>Thanh toán tiền hàng</v>
      </c>
      <c r="E26" s="163" t="str">
        <f ca="1">IF(ROWS($1:15)&gt;COUNT(Dong2),"",IF(OFFSET(TH!M$1,SMALL(Dong2,ROWS($1:15)),)=$I$6,OFFSET(TH!L$1,SMALL(Dong2,ROWS($1:15)),),OFFSET(TH!M$1,SMALL(Dong2,ROWS($1:15)),)))</f>
        <v>331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20000000</v>
      </c>
      <c r="H26" s="755">
        <f t="shared" ca="1" si="0"/>
        <v>32293734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41106</v>
      </c>
      <c r="B27" s="163" t="str">
        <f ca="1">IF(ROWS($1:16)&gt;COUNT(Dong2),"",OFFSET(TH!D$1,SMALL(Dong2,ROWS($1:16)),))</f>
        <v>GBN</v>
      </c>
      <c r="C27" s="163">
        <f ca="1">IF(ROWS($1:16)&gt;COUNT(Dong2),"",OFFSET(TH!E$1,SMALL(Dong2,ROWS($1:16)),))</f>
        <v>41106</v>
      </c>
      <c r="D27" s="251" t="str">
        <f ca="1">IF(ROWS($1:16)&gt;COUNT(Dong2),"",OFFSET(TH!F$1,SMALL(Dong2,ROWS($1:16)),))</f>
        <v>Phí chuyển tiền</v>
      </c>
      <c r="E27" s="163" t="str">
        <f ca="1">IF(ROWS($1:16)&gt;COUNT(Dong2),"",IF(OFFSET(TH!M$1,SMALL(Dong2,ROWS($1:16)),)=$I$6,OFFSET(TH!L$1,SMALL(Dong2,ROWS($1:16)),),OFFSET(TH!M$1,SMALL(Dong2,ROWS($1:16)),)))</f>
        <v>642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20000</v>
      </c>
      <c r="H27" s="755">
        <f t="shared" ca="1" si="0"/>
        <v>32273734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41106</v>
      </c>
      <c r="B28" s="163" t="str">
        <f ca="1">IF(ROWS($1:17)&gt;COUNT(Dong2),"",OFFSET(TH!D$1,SMALL(Dong2,ROWS($1:17)),))</f>
        <v>GBN</v>
      </c>
      <c r="C28" s="163">
        <f ca="1">IF(ROWS($1:17)&gt;COUNT(Dong2),"",OFFSET(TH!E$1,SMALL(Dong2,ROWS($1:17)),))</f>
        <v>41106</v>
      </c>
      <c r="D28" s="251" t="str">
        <f ca="1">IF(ROWS($1:17)&gt;COUNT(Dong2),"",OFFSET(TH!F$1,SMALL(Dong2,ROWS($1:17)),))</f>
        <v>Thanh toán tiền hàng</v>
      </c>
      <c r="E28" s="163" t="str">
        <f ca="1">IF(ROWS($1:17)&gt;COUNT(Dong2),"",IF(OFFSET(TH!M$1,SMALL(Dong2,ROWS($1:17)),)=$I$6,OFFSET(TH!L$1,SMALL(Dong2,ROWS($1:17)),),OFFSET(TH!M$1,SMALL(Dong2,ROWS($1:17)),)))</f>
        <v>331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5518000</v>
      </c>
      <c r="H28" s="755">
        <f t="shared" ca="1" si="0"/>
        <v>26755734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41106</v>
      </c>
      <c r="B29" s="163" t="str">
        <f ca="1">IF(ROWS($1:18)&gt;COUNT(Dong2),"",OFFSET(TH!D$1,SMALL(Dong2,ROWS($1:18)),))</f>
        <v>GBN</v>
      </c>
      <c r="C29" s="163">
        <f ca="1">IF(ROWS($1:18)&gt;COUNT(Dong2),"",OFFSET(TH!E$1,SMALL(Dong2,ROWS($1:18)),))</f>
        <v>41106</v>
      </c>
      <c r="D29" s="251" t="str">
        <f ca="1">IF(ROWS($1:18)&gt;COUNT(Dong2),"",OFFSET(TH!F$1,SMALL(Dong2,ROWS($1:18)),))</f>
        <v>Phí chuyển tiền</v>
      </c>
      <c r="E29" s="163" t="str">
        <f ca="1">IF(ROWS($1:18)&gt;COUNT(Dong2),"",IF(OFFSET(TH!M$1,SMALL(Dong2,ROWS($1:18)),)=$I$6,OFFSET(TH!L$1,SMALL(Dong2,ROWS($1:18)),),OFFSET(TH!M$1,SMALL(Dong2,ROWS($1:18)),)))</f>
        <v>642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</v>
      </c>
      <c r="H29" s="755">
        <f t="shared" ca="1" si="0"/>
        <v>26745734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41106</v>
      </c>
      <c r="B30" s="163" t="str">
        <f ca="1">IF(ROWS($1:19)&gt;COUNT(Dong2),"",OFFSET(TH!D$1,SMALL(Dong2,ROWS($1:19)),))</f>
        <v>GBN</v>
      </c>
      <c r="C30" s="163">
        <f ca="1">IF(ROWS($1:19)&gt;COUNT(Dong2),"",OFFSET(TH!E$1,SMALL(Dong2,ROWS($1:19)),))</f>
        <v>41106</v>
      </c>
      <c r="D30" s="251" t="str">
        <f ca="1">IF(ROWS($1:19)&gt;COUNT(Dong2),"",OFFSET(TH!F$1,SMALL(Dong2,ROWS($1:19)),))</f>
        <v>Thanh toán tiền hàng</v>
      </c>
      <c r="E30" s="163" t="str">
        <f ca="1">IF(ROWS($1:19)&gt;COUNT(Dong2),"",IF(OFFSET(TH!M$1,SMALL(Dong2,ROWS($1:19)),)=$I$6,OFFSET(TH!L$1,SMALL(Dong2,ROWS($1:19)),),OFFSET(TH!M$1,SMALL(Dong2,ROWS($1:19)),)))</f>
        <v>331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11633275</v>
      </c>
      <c r="H30" s="755">
        <f t="shared" ca="1" si="0"/>
        <v>15112459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41106</v>
      </c>
      <c r="B31" s="163" t="str">
        <f ca="1">IF(ROWS($1:20)&gt;COUNT(Dong2),"",OFFSET(TH!D$1,SMALL(Dong2,ROWS($1:20)),))</f>
        <v>GBN</v>
      </c>
      <c r="C31" s="163">
        <f ca="1">IF(ROWS($1:20)&gt;COUNT(Dong2),"",OFFSET(TH!E$1,SMALL(Dong2,ROWS($1:20)),))</f>
        <v>41106</v>
      </c>
      <c r="D31" s="251" t="str">
        <f ca="1">IF(ROWS($1:20)&gt;COUNT(Dong2),"",OFFSET(TH!F$1,SMALL(Dong2,ROWS($1:20)),))</f>
        <v>Phí chuyển tiền</v>
      </c>
      <c r="E31" s="163" t="str">
        <f ca="1">IF(ROWS($1:20)&gt;COUNT(Dong2),"",IF(OFFSET(TH!M$1,SMALL(Dong2,ROWS($1:20)),)=$I$6,OFFSET(TH!L$1,SMALL(Dong2,ROWS($1:20)),),OFFSET(TH!M$1,SMALL(Dong2,ROWS($1:20)),)))</f>
        <v>642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10000</v>
      </c>
      <c r="H31" s="755">
        <f t="shared" ca="1" si="0"/>
        <v>15102459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41107</v>
      </c>
      <c r="B32" s="163" t="str">
        <f ca="1">IF(ROWS($1:21)&gt;COUNT(Dong2),"",OFFSET(TH!D$1,SMALL(Dong2,ROWS($1:21)),))</f>
        <v>C05</v>
      </c>
      <c r="C32" s="163">
        <f ca="1">IF(ROWS($1:21)&gt;COUNT(Dong2),"",OFFSET(TH!E$1,SMALL(Dong2,ROWS($1:21)),))</f>
        <v>41107</v>
      </c>
      <c r="D32" s="251" t="str">
        <f ca="1">IF(ROWS($1:21)&gt;COUNT(Dong2),"",OFFSET(TH!F$1,SMALL(Dong2,ROWS($1:21)),))</f>
        <v>Nộp tiền mặt vào tài khoản</v>
      </c>
      <c r="E32" s="163" t="str">
        <f ca="1">IF(ROWS($1:21)&gt;COUNT(Dong2),"",IF(OFFSET(TH!M$1,SMALL(Dong2,ROWS($1:21)),)=$I$6,OFFSET(TH!L$1,SMALL(Dong2,ROWS($1:21)),),OFFSET(TH!M$1,SMALL(Dong2,ROWS($1:21)),)))</f>
        <v>1111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37000000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52102459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41109</v>
      </c>
      <c r="B33" s="163" t="str">
        <f ca="1">IF(ROWS($1:22)&gt;COUNT(Dong2),"",OFFSET(TH!D$1,SMALL(Dong2,ROWS($1:22)),))</f>
        <v>C06</v>
      </c>
      <c r="C33" s="163">
        <f ca="1">IF(ROWS($1:22)&gt;COUNT(Dong2),"",OFFSET(TH!E$1,SMALL(Dong2,ROWS($1:22)),))</f>
        <v>41109</v>
      </c>
      <c r="D33" s="251" t="str">
        <f ca="1">IF(ROWS($1:22)&gt;COUNT(Dong2),"",OFFSET(TH!F$1,SMALL(Dong2,ROWS($1:22)),))</f>
        <v>Nộp tiền mặt vào tài khoản</v>
      </c>
      <c r="E33" s="163" t="str">
        <f ca="1">IF(ROWS($1:22)&gt;COUNT(Dong2),"",IF(OFFSET(TH!M$1,SMALL(Dong2,ROWS($1:22)),)=$I$6,OFFSET(TH!L$1,SMALL(Dong2,ROWS($1:22)),),OFFSET(TH!M$1,SMALL(Dong2,ROWS($1:22)),)))</f>
        <v>1111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15000000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67102459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41109</v>
      </c>
      <c r="B34" s="163" t="str">
        <f ca="1">IF(ROWS($1:23)&gt;COUNT(Dong2),"",OFFSET(TH!D$1,SMALL(Dong2,ROWS($1:23)),))</f>
        <v>GBN</v>
      </c>
      <c r="C34" s="163">
        <f ca="1">IF(ROWS($1:23)&gt;COUNT(Dong2),"",OFFSET(TH!E$1,SMALL(Dong2,ROWS($1:23)),))</f>
        <v>41109</v>
      </c>
      <c r="D34" s="251" t="str">
        <f ca="1">IF(ROWS($1:23)&gt;COUNT(Dong2),"",OFFSET(TH!F$1,SMALL(Dong2,ROWS($1:23)),))</f>
        <v>Thanh toán tiền hàng</v>
      </c>
      <c r="E34" s="163" t="str">
        <f ca="1">IF(ROWS($1:23)&gt;COUNT(Dong2),"",IF(OFFSET(TH!M$1,SMALL(Dong2,ROWS($1:23)),)=$I$6,OFFSET(TH!L$1,SMALL(Dong2,ROWS($1:23)),),OFFSET(TH!M$1,SMALL(Dong2,ROWS($1:23)),)))</f>
        <v>331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8361184</v>
      </c>
      <c r="H34" s="755">
        <f t="shared" ca="1" si="0"/>
        <v>58741275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41109</v>
      </c>
      <c r="B35" s="163" t="str">
        <f ca="1">IF(ROWS($1:24)&gt;COUNT(Dong2),"",OFFSET(TH!D$1,SMALL(Dong2,ROWS($1:24)),))</f>
        <v>GBN</v>
      </c>
      <c r="C35" s="163">
        <f ca="1">IF(ROWS($1:24)&gt;COUNT(Dong2),"",OFFSET(TH!E$1,SMALL(Dong2,ROWS($1:24)),))</f>
        <v>41109</v>
      </c>
      <c r="D35" s="251" t="str">
        <f ca="1">IF(ROWS($1:24)&gt;COUNT(Dong2),"",OFFSET(TH!F$1,SMALL(Dong2,ROWS($1:24)),))</f>
        <v>Thanh toán tiền hàng</v>
      </c>
      <c r="E35" s="163" t="str">
        <f ca="1">IF(ROWS($1:24)&gt;COUNT(Dong2),"",IF(OFFSET(TH!M$1,SMALL(Dong2,ROWS($1:24)),)=$I$6,OFFSET(TH!L$1,SMALL(Dong2,ROWS($1:24)),),OFFSET(TH!M$1,SMALL(Dong2,ROWS($1:24)),)))</f>
        <v>331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58000000</v>
      </c>
      <c r="H35" s="755">
        <f t="shared" ca="1" si="0"/>
        <v>741275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41109</v>
      </c>
      <c r="B36" s="163" t="str">
        <f ca="1">IF(ROWS($1:25)&gt;COUNT(Dong2),"",OFFSET(TH!D$1,SMALL(Dong2,ROWS($1:25)),))</f>
        <v>GBN</v>
      </c>
      <c r="C36" s="163">
        <f ca="1">IF(ROWS($1:25)&gt;COUNT(Dong2),"",OFFSET(TH!E$1,SMALL(Dong2,ROWS($1:25)),))</f>
        <v>41109</v>
      </c>
      <c r="D36" s="251" t="str">
        <f ca="1">IF(ROWS($1:25)&gt;COUNT(Dong2),"",OFFSET(TH!F$1,SMALL(Dong2,ROWS($1:25)),))</f>
        <v>Phí chuyển tiền</v>
      </c>
      <c r="E36" s="163" t="str">
        <f ca="1">IF(ROWS($1:25)&gt;COUNT(Dong2),"",IF(OFFSET(TH!M$1,SMALL(Dong2,ROWS($1:25)),)=$I$6,OFFSET(TH!L$1,SMALL(Dong2,ROWS($1:25)),),OFFSET(TH!M$1,SMALL(Dong2,ROWS($1:25)),)))</f>
        <v>642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29000</v>
      </c>
      <c r="H36" s="755">
        <f t="shared" ca="1" si="0"/>
        <v>712275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41109</v>
      </c>
      <c r="B37" s="163" t="str">
        <f ca="1">IF(ROWS($1:26)&gt;COUNT(Dong2),"",OFFSET(TH!D$1,SMALL(Dong2,ROWS($1:26)),))</f>
        <v>GBN</v>
      </c>
      <c r="C37" s="163">
        <f ca="1">IF(ROWS($1:26)&gt;COUNT(Dong2),"",OFFSET(TH!E$1,SMALL(Dong2,ROWS($1:26)),))</f>
        <v>41109</v>
      </c>
      <c r="D37" s="251" t="str">
        <f ca="1">IF(ROWS($1:26)&gt;COUNT(Dong2),"",OFFSET(TH!F$1,SMALL(Dong2,ROWS($1:26)),))</f>
        <v>Phí chuyển tiền</v>
      </c>
      <c r="E37" s="163" t="str">
        <f ca="1">IF(ROWS($1:26)&gt;COUNT(Dong2),"",IF(OFFSET(TH!M$1,SMALL(Dong2,ROWS($1:26)),)=$I$6,OFFSET(TH!L$1,SMALL(Dong2,ROWS($1:26)),),OFFSET(TH!M$1,SMALL(Dong2,ROWS($1:26)),)))</f>
        <v>642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10000</v>
      </c>
      <c r="H37" s="755">
        <f t="shared" ca="1" si="0"/>
        <v>702275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41109</v>
      </c>
      <c r="B38" s="163" t="str">
        <f ca="1">IF(ROWS($1:27)&gt;COUNT(Dong2),"",OFFSET(TH!D$1,SMALL(Dong2,ROWS($1:27)),))</f>
        <v>GBN</v>
      </c>
      <c r="C38" s="163">
        <f ca="1">IF(ROWS($1:27)&gt;COUNT(Dong2),"",OFFSET(TH!E$1,SMALL(Dong2,ROWS($1:27)),))</f>
        <v>41109</v>
      </c>
      <c r="D38" s="251" t="str">
        <f ca="1">IF(ROWS($1:27)&gt;COUNT(Dong2),"",OFFSET(TH!F$1,SMALL(Dong2,ROWS($1:27)),))</f>
        <v>Phí kiểm đếm</v>
      </c>
      <c r="E38" s="163" t="str">
        <f ca="1">IF(ROWS($1:27)&gt;COUNT(Dong2),"",IF(OFFSET(TH!M$1,SMALL(Dong2,ROWS($1:27)),)=$I$6,OFFSET(TH!L$1,SMALL(Dong2,ROWS($1:27)),),OFFSET(TH!M$1,SMALL(Dong2,ROWS($1:27)),)))</f>
        <v>642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55">
        <f t="shared" ca="1" si="0"/>
        <v>692275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41110</v>
      </c>
      <c r="B39" s="163" t="str">
        <f ca="1">IF(ROWS($1:28)&gt;COUNT(Dong2),"",OFFSET(TH!D$1,SMALL(Dong2,ROWS($1:28)),))</f>
        <v>GBC</v>
      </c>
      <c r="C39" s="163">
        <f ca="1">IF(ROWS($1:28)&gt;COUNT(Dong2),"",OFFSET(TH!E$1,SMALL(Dong2,ROWS($1:28)),))</f>
        <v>41110</v>
      </c>
      <c r="D39" s="251" t="str">
        <f ca="1">IF(ROWS($1:28)&gt;COUNT(Dong2),"",OFFSET(TH!F$1,SMALL(Dong2,ROWS($1:28)),))</f>
        <v>Thu tiền hàng</v>
      </c>
      <c r="E39" s="163" t="str">
        <f ca="1">IF(ROWS($1:28)&gt;COUNT(Dong2),"",IF(OFFSET(TH!M$1,SMALL(Dong2,ROWS($1:28)),)=$I$6,OFFSET(TH!L$1,SMALL(Dong2,ROWS($1:28)),),OFFSET(TH!M$1,SMALL(Dong2,ROWS($1:28)),)))</f>
        <v>131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7345166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755">
        <f t="shared" ca="1" si="0"/>
        <v>8037441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41113</v>
      </c>
      <c r="B40" s="163" t="str">
        <f ca="1">IF(ROWS($1:29)&gt;COUNT(Dong2),"",OFFSET(TH!D$1,SMALL(Dong2,ROWS($1:29)),))</f>
        <v>GBC</v>
      </c>
      <c r="C40" s="163">
        <f ca="1">IF(ROWS($1:29)&gt;COUNT(Dong2),"",OFFSET(TH!E$1,SMALL(Dong2,ROWS($1:29)),))</f>
        <v>41113</v>
      </c>
      <c r="D40" s="251" t="str">
        <f ca="1">IF(ROWS($1:29)&gt;COUNT(Dong2),"",OFFSET(TH!F$1,SMALL(Dong2,ROWS($1:29)),))</f>
        <v>Thu tiền hàng</v>
      </c>
      <c r="E40" s="163" t="str">
        <f ca="1">IF(ROWS($1:29)&gt;COUNT(Dong2),"",IF(OFFSET(TH!M$1,SMALL(Dong2,ROWS($1:29)),)=$I$6,OFFSET(TH!L$1,SMALL(Dong2,ROWS($1:29)),),OFFSET(TH!M$1,SMALL(Dong2,ROWS($1:29)),)))</f>
        <v>131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38186115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55">
        <f t="shared" ca="1" si="0"/>
        <v>46223556</v>
      </c>
      <c r="I40" s="611"/>
    </row>
    <row r="41" spans="1:12" s="152" customFormat="1" ht="20.25" customHeight="1">
      <c r="A41" s="163">
        <f ca="1">IF(ROWS($1:30)&gt;COUNT(Dong2),"",OFFSET(TH!C$1,SMALL(Dong2,ROWS($1:30)),))</f>
        <v>41114</v>
      </c>
      <c r="B41" s="163" t="str">
        <f ca="1">IF(ROWS($1:30)&gt;COUNT(Dong2),"",OFFSET(TH!D$1,SMALL(Dong2,ROWS($1:30)),))</f>
        <v>T01</v>
      </c>
      <c r="C41" s="163">
        <f ca="1">IF(ROWS($1:30)&gt;COUNT(Dong2),"",OFFSET(TH!E$1,SMALL(Dong2,ROWS($1:30)),))</f>
        <v>41114</v>
      </c>
      <c r="D41" s="251" t="str">
        <f ca="1">IF(ROWS($1:30)&gt;COUNT(Dong2),"",OFFSET(TH!F$1,SMALL(Dong2,ROWS($1:30)),))</f>
        <v>Chi Sec nhập quỹ tiền mặt</v>
      </c>
      <c r="E41" s="163" t="str">
        <f ca="1">IF(ROWS($1:30)&gt;COUNT(Dong2),"",IF(OFFSET(TH!M$1,SMALL(Dong2,ROWS($1:30)),)=$I$6,OFFSET(TH!L$1,SMALL(Dong2,ROWS($1:30)),),OFFSET(TH!M$1,SMALL(Dong2,ROWS($1:30)),)))</f>
        <v>1111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7500000</v>
      </c>
      <c r="H41" s="755">
        <f t="shared" ref="H41:H43" ca="1" si="1">IF(A41&lt;&gt;"",H40+F41-G41,0)</f>
        <v>38723556</v>
      </c>
      <c r="I41" s="611"/>
    </row>
    <row r="42" spans="1:12" s="152" customFormat="1" ht="20.25" customHeight="1">
      <c r="A42" s="163">
        <f ca="1">IF(ROWS($1:31)&gt;COUNT(Dong2),"",OFFSET(TH!C$1,SMALL(Dong2,ROWS($1:31)),))</f>
        <v>41115</v>
      </c>
      <c r="B42" s="163" t="str">
        <f ca="1">IF(ROWS($1:31)&gt;COUNT(Dong2),"",OFFSET(TH!D$1,SMALL(Dong2,ROWS($1:31)),))</f>
        <v>GBC</v>
      </c>
      <c r="C42" s="163">
        <f ca="1">IF(ROWS($1:31)&gt;COUNT(Dong2),"",OFFSET(TH!E$1,SMALL(Dong2,ROWS($1:31)),))</f>
        <v>41115</v>
      </c>
      <c r="D42" s="251" t="str">
        <f ca="1">IF(ROWS($1:31)&gt;COUNT(Dong2),"",OFFSET(TH!F$1,SMALL(Dong2,ROWS($1:31)),))</f>
        <v>Thu tiền hàng</v>
      </c>
      <c r="E42" s="163" t="str">
        <f ca="1">IF(ROWS($1:31)&gt;COUNT(Dong2),"",IF(OFFSET(TH!M$1,SMALL(Dong2,ROWS($1:31)),)=$I$6,OFFSET(TH!L$1,SMALL(Dong2,ROWS($1:31)),),OFFSET(TH!M$1,SMALL(Dong2,ROWS($1:31)),)))</f>
        <v>131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14544464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755">
        <f t="shared" ca="1" si="1"/>
        <v>53268020</v>
      </c>
      <c r="I42" s="611"/>
    </row>
    <row r="43" spans="1:12" s="152" customFormat="1" ht="20.25" customHeight="1">
      <c r="A43" s="163">
        <f ca="1">IF(ROWS($1:32)&gt;COUNT(Dong2),"",OFFSET(TH!C$1,SMALL(Dong2,ROWS($1:32)),))</f>
        <v>41115</v>
      </c>
      <c r="B43" s="163" t="str">
        <f ca="1">IF(ROWS($1:32)&gt;COUNT(Dong2),"",OFFSET(TH!D$1,SMALL(Dong2,ROWS($1:32)),))</f>
        <v>GBC</v>
      </c>
      <c r="C43" s="163">
        <f ca="1">IF(ROWS($1:32)&gt;COUNT(Dong2),"",OFFSET(TH!E$1,SMALL(Dong2,ROWS($1:32)),))</f>
        <v>41115</v>
      </c>
      <c r="D43" s="251" t="str">
        <f ca="1">IF(ROWS($1:32)&gt;COUNT(Dong2),"",OFFSET(TH!F$1,SMALL(Dong2,ROWS($1:32)),))</f>
        <v>Lãi tiền gửi</v>
      </c>
      <c r="E43" s="163" t="str">
        <f ca="1">IF(ROWS($1:32)&gt;COUNT(Dong2),"",IF(OFFSET(TH!M$1,SMALL(Dong2,ROWS($1:32)),)=$I$6,OFFSET(TH!L$1,SMALL(Dong2,ROWS($1:32)),),OFFSET(TH!M$1,SMALL(Dong2,ROWS($1:32)),)))</f>
        <v>515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62825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55">
        <f t="shared" ca="1" si="1"/>
        <v>53330845</v>
      </c>
      <c r="I43" s="611"/>
    </row>
    <row r="44" spans="1:12" s="152" customFormat="1" ht="20.25" customHeight="1">
      <c r="A44" s="163">
        <f ca="1">IF(ROWS($1:33)&gt;COUNT(Dong2),"",OFFSET(TH!C$1,SMALL(Dong2,ROWS($1:33)),))</f>
        <v>41117</v>
      </c>
      <c r="B44" s="163" t="str">
        <f ca="1">IF(ROWS($1:33)&gt;COUNT(Dong2),"",OFFSET(TH!D$1,SMALL(Dong2,ROWS($1:33)),))</f>
        <v>GBC</v>
      </c>
      <c r="C44" s="163">
        <f ca="1">IF(ROWS($1:33)&gt;COUNT(Dong2),"",OFFSET(TH!E$1,SMALL(Dong2,ROWS($1:33)),))</f>
        <v>41117</v>
      </c>
      <c r="D44" s="251" t="str">
        <f ca="1">IF(ROWS($1:33)&gt;COUNT(Dong2),"",OFFSET(TH!F$1,SMALL(Dong2,ROWS($1:33)),))</f>
        <v>Thu tiền hàng</v>
      </c>
      <c r="E44" s="163" t="str">
        <f ca="1">IF(ROWS($1:33)&gt;COUNT(Dong2),"",IF(OFFSET(TH!M$1,SMALL(Dong2,ROWS($1:33)),)=$I$6,OFFSET(TH!L$1,SMALL(Dong2,ROWS($1:33)),),OFFSET(TH!M$1,SMALL(Dong2,ROWS($1:33)),)))</f>
        <v>131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5005000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755">
        <f t="shared" ref="H44:H60" ca="1" si="2">IF(A44&lt;&gt;"",H43+F44-G44,0)</f>
        <v>58335845</v>
      </c>
      <c r="I44" s="611"/>
    </row>
    <row r="45" spans="1:12" s="152" customFormat="1" ht="20.25" customHeight="1">
      <c r="A45" s="163">
        <f ca="1">IF(ROWS($1:34)&gt;COUNT(Dong2),"",OFFSET(TH!C$1,SMALL(Dong2,ROWS($1:34)),))</f>
        <v>41118</v>
      </c>
      <c r="B45" s="163" t="str">
        <f ca="1">IF(ROWS($1:34)&gt;COUNT(Dong2),"",OFFSET(TH!D$1,SMALL(Dong2,ROWS($1:34)),))</f>
        <v>C08</v>
      </c>
      <c r="C45" s="163">
        <f ca="1">IF(ROWS($1:34)&gt;COUNT(Dong2),"",OFFSET(TH!E$1,SMALL(Dong2,ROWS($1:34)),))</f>
        <v>41118</v>
      </c>
      <c r="D45" s="251" t="str">
        <f ca="1">IF(ROWS($1:34)&gt;COUNT(Dong2),"",OFFSET(TH!F$1,SMALL(Dong2,ROWS($1:34)),))</f>
        <v>Nộp tiền mặt vào tài khoản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12000000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55">
        <f t="shared" ca="1" si="2"/>
        <v>70335845</v>
      </c>
      <c r="I45" s="611"/>
    </row>
    <row r="46" spans="1:12" s="152" customFormat="1" ht="20.25" customHeight="1">
      <c r="A46" s="163">
        <f ca="1">IF(ROWS($1:35)&gt;COUNT(Dong2),"",OFFSET(TH!C$1,SMALL(Dong2,ROWS($1:35)),))</f>
        <v>41120</v>
      </c>
      <c r="B46" s="163" t="str">
        <f ca="1">IF(ROWS($1:35)&gt;COUNT(Dong2),"",OFFSET(TH!D$1,SMALL(Dong2,ROWS($1:35)),))</f>
        <v>GBN</v>
      </c>
      <c r="C46" s="163">
        <f ca="1">IF(ROWS($1:35)&gt;COUNT(Dong2),"",OFFSET(TH!E$1,SMALL(Dong2,ROWS($1:35)),))</f>
        <v>41120</v>
      </c>
      <c r="D46" s="251" t="str">
        <f ca="1">IF(ROWS($1:35)&gt;COUNT(Dong2),"",OFFSET(TH!F$1,SMALL(Dong2,ROWS($1:35)),))</f>
        <v>Thanh toán tiền hàng</v>
      </c>
      <c r="E46" s="163" t="str">
        <f ca="1">IF(ROWS($1:35)&gt;COUNT(Dong2),"",IF(OFFSET(TH!M$1,SMALL(Dong2,ROWS($1:35)),)=$I$6,OFFSET(TH!L$1,SMALL(Dong2,ROWS($1:35)),),OFFSET(TH!M$1,SMALL(Dong2,ROWS($1:35)),)))</f>
        <v>331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70000000</v>
      </c>
      <c r="H46" s="755">
        <f t="shared" ca="1" si="2"/>
        <v>335845</v>
      </c>
      <c r="I46" s="611"/>
    </row>
    <row r="47" spans="1:12" s="152" customFormat="1" ht="20.25" customHeight="1">
      <c r="A47" s="163">
        <f ca="1">IF(ROWS($1:36)&gt;COUNT(Dong2),"",OFFSET(TH!C$1,SMALL(Dong2,ROWS($1:36)),))</f>
        <v>41120</v>
      </c>
      <c r="B47" s="163" t="str">
        <f ca="1">IF(ROWS($1:36)&gt;COUNT(Dong2),"",OFFSET(TH!D$1,SMALL(Dong2,ROWS($1:36)),))</f>
        <v>GBN</v>
      </c>
      <c r="C47" s="163">
        <f ca="1">IF(ROWS($1:36)&gt;COUNT(Dong2),"",OFFSET(TH!E$1,SMALL(Dong2,ROWS($1:36)),))</f>
        <v>41120</v>
      </c>
      <c r="D47" s="251" t="str">
        <f ca="1">IF(ROWS($1:36)&gt;COUNT(Dong2),"",OFFSET(TH!F$1,SMALL(Dong2,ROWS($1:36)),))</f>
        <v>Phí chuyển tiền</v>
      </c>
      <c r="E47" s="163" t="str">
        <f ca="1">IF(ROWS($1:36)&gt;COUNT(Dong2),"",IF(OFFSET(TH!M$1,SMALL(Dong2,ROWS($1:36)),)=$I$6,OFFSET(TH!L$1,SMALL(Dong2,ROWS($1:36)),),OFFSET(TH!M$1,SMALL(Dong2,ROWS($1:36)),)))</f>
        <v>642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35000</v>
      </c>
      <c r="H47" s="755">
        <f t="shared" ca="1" si="2"/>
        <v>300845</v>
      </c>
      <c r="I47" s="611"/>
    </row>
    <row r="48" spans="1:12" s="152" customFormat="1" ht="20.25" customHeight="1">
      <c r="A48" s="163">
        <f ca="1">IF(ROWS($1:37)&gt;COUNT(Dong2),"",OFFSET(TH!C$1,SMALL(Dong2,ROWS($1:37)),))</f>
        <v>41120</v>
      </c>
      <c r="B48" s="163" t="str">
        <f ca="1">IF(ROWS($1:37)&gt;COUNT(Dong2),"",OFFSET(TH!D$1,SMALL(Dong2,ROWS($1:37)),))</f>
        <v>GBN</v>
      </c>
      <c r="C48" s="163">
        <f ca="1">IF(ROWS($1:37)&gt;COUNT(Dong2),"",OFFSET(TH!E$1,SMALL(Dong2,ROWS($1:37)),))</f>
        <v>41120</v>
      </c>
      <c r="D48" s="251" t="str">
        <f ca="1">IF(ROWS($1:37)&gt;COUNT(Dong2),"",OFFSET(TH!F$1,SMALL(Dong2,ROWS($1:37)),))</f>
        <v>Phí kiểm đếm</v>
      </c>
      <c r="E48" s="163" t="str">
        <f ca="1">IF(ROWS($1:37)&gt;COUNT(Dong2),"",IF(OFFSET(TH!M$1,SMALL(Dong2,ROWS($1:37)),)=$I$6,OFFSET(TH!L$1,SMALL(Dong2,ROWS($1:37)),),OFFSET(TH!M$1,SMALL(Dong2,ROWS($1:37)),)))</f>
        <v>642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10000</v>
      </c>
      <c r="H48" s="755">
        <f t="shared" ca="1" si="2"/>
        <v>290845</v>
      </c>
      <c r="I48" s="611"/>
    </row>
    <row r="49" spans="1:9" s="152" customFormat="1" ht="20.25" customHeight="1">
      <c r="A49" s="163">
        <f ca="1">IF(ROWS($1:38)&gt;COUNT(Dong2),"",OFFSET(TH!C$1,SMALL(Dong2,ROWS($1:38)),))</f>
        <v>41128</v>
      </c>
      <c r="B49" s="163" t="str">
        <f ca="1">IF(ROWS($1:38)&gt;COUNT(Dong2),"",OFFSET(TH!D$1,SMALL(Dong2,ROWS($1:38)),))</f>
        <v>C09</v>
      </c>
      <c r="C49" s="163">
        <f ca="1">IF(ROWS($1:38)&gt;COUNT(Dong2),"",OFFSET(TH!E$1,SMALL(Dong2,ROWS($1:38)),))</f>
        <v>41128</v>
      </c>
      <c r="D49" s="251" t="str">
        <f ca="1">IF(ROWS($1:38)&gt;COUNT(Dong2),"",OFFSET(TH!F$1,SMALL(Dong2,ROWS($1:38)),))</f>
        <v>Nộp tiền mặt vào tài khoản</v>
      </c>
      <c r="E49" s="163" t="str">
        <f ca="1">IF(ROWS($1:38)&gt;COUNT(Dong2),"",IF(OFFSET(TH!M$1,SMALL(Dong2,ROWS($1:38)),)=$I$6,OFFSET(TH!L$1,SMALL(Dong2,ROWS($1:38)),),OFFSET(TH!M$1,SMALL(Dong2,ROWS($1:38)),)))</f>
        <v>1111</v>
      </c>
      <c r="F49" s="614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21000000</v>
      </c>
      <c r="G49" s="614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755">
        <f t="shared" ca="1" si="2"/>
        <v>21290845</v>
      </c>
      <c r="I49" s="611"/>
    </row>
    <row r="50" spans="1:9" s="152" customFormat="1" ht="20.25" customHeight="1">
      <c r="A50" s="163">
        <f ca="1">IF(ROWS($1:39)&gt;COUNT(Dong2),"",OFFSET(TH!C$1,SMALL(Dong2,ROWS($1:39)),))</f>
        <v>41128</v>
      </c>
      <c r="B50" s="163" t="str">
        <f ca="1">IF(ROWS($1:39)&gt;COUNT(Dong2),"",OFFSET(TH!D$1,SMALL(Dong2,ROWS($1:39)),))</f>
        <v>GBC</v>
      </c>
      <c r="C50" s="163">
        <f ca="1">IF(ROWS($1:39)&gt;COUNT(Dong2),"",OFFSET(TH!E$1,SMALL(Dong2,ROWS($1:39)),))</f>
        <v>41128</v>
      </c>
      <c r="D50" s="251" t="str">
        <f ca="1">IF(ROWS($1:39)&gt;COUNT(Dong2),"",OFFSET(TH!F$1,SMALL(Dong2,ROWS($1:39)),))</f>
        <v>Thu tiền hàng</v>
      </c>
      <c r="E50" s="163" t="str">
        <f ca="1">IF(ROWS($1:39)&gt;COUNT(Dong2),"",IF(OFFSET(TH!M$1,SMALL(Dong2,ROWS($1:39)),)=$I$6,OFFSET(TH!L$1,SMALL(Dong2,ROWS($1:39)),),OFFSET(TH!M$1,SMALL(Dong2,ROWS($1:39)),)))</f>
        <v>131</v>
      </c>
      <c r="F50" s="614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22260115</v>
      </c>
      <c r="G50" s="614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55">
        <f t="shared" ca="1" si="2"/>
        <v>43550960</v>
      </c>
      <c r="I50" s="611"/>
    </row>
    <row r="51" spans="1:9" s="152" customFormat="1" ht="20.25" customHeight="1">
      <c r="A51" s="163">
        <f ca="1">IF(ROWS($1:40)&gt;COUNT(Dong2),"",OFFSET(TH!C$1,SMALL(Dong2,ROWS($1:40)),))</f>
        <v>41129</v>
      </c>
      <c r="B51" s="163" t="str">
        <f ca="1">IF(ROWS($1:40)&gt;COUNT(Dong2),"",OFFSET(TH!D$1,SMALL(Dong2,ROWS($1:40)),))</f>
        <v>GBC</v>
      </c>
      <c r="C51" s="163">
        <f ca="1">IF(ROWS($1:40)&gt;COUNT(Dong2),"",OFFSET(TH!E$1,SMALL(Dong2,ROWS($1:40)),))</f>
        <v>41129</v>
      </c>
      <c r="D51" s="251" t="str">
        <f ca="1">IF(ROWS($1:40)&gt;COUNT(Dong2),"",OFFSET(TH!F$1,SMALL(Dong2,ROWS($1:40)),))</f>
        <v>Thu tiền hàng</v>
      </c>
      <c r="E51" s="163" t="str">
        <f ca="1">IF(ROWS($1:40)&gt;COUNT(Dong2),"",IF(OFFSET(TH!M$1,SMALL(Dong2,ROWS($1:40)),)=$I$6,OFFSET(TH!L$1,SMALL(Dong2,ROWS($1:40)),),OFFSET(TH!M$1,SMALL(Dong2,ROWS($1:40)),)))</f>
        <v>131</v>
      </c>
      <c r="F51" s="614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7040000</v>
      </c>
      <c r="G51" s="614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55">
        <f t="shared" ca="1" si="2"/>
        <v>50590960</v>
      </c>
      <c r="I51" s="611"/>
    </row>
    <row r="52" spans="1:9" s="152" customFormat="1" ht="20.25" customHeight="1">
      <c r="A52" s="163">
        <f ca="1">IF(ROWS($1:41)&gt;COUNT(Dong2),"",OFFSET(TH!C$1,SMALL(Dong2,ROWS($1:41)),))</f>
        <v>41130</v>
      </c>
      <c r="B52" s="163" t="str">
        <f ca="1">IF(ROWS($1:41)&gt;COUNT(Dong2),"",OFFSET(TH!D$1,SMALL(Dong2,ROWS($1:41)),))</f>
        <v>GBC</v>
      </c>
      <c r="C52" s="163">
        <f ca="1">IF(ROWS($1:41)&gt;COUNT(Dong2),"",OFFSET(TH!E$1,SMALL(Dong2,ROWS($1:41)),))</f>
        <v>41130</v>
      </c>
      <c r="D52" s="251" t="str">
        <f ca="1">IF(ROWS($1:41)&gt;COUNT(Dong2),"",OFFSET(TH!F$1,SMALL(Dong2,ROWS($1:41)),))</f>
        <v>Thu tiền hàng</v>
      </c>
      <c r="E52" s="163" t="str">
        <f ca="1">IF(ROWS($1:41)&gt;COUNT(Dong2),"",IF(OFFSET(TH!M$1,SMALL(Dong2,ROWS($1:41)),)=$I$6,OFFSET(TH!L$1,SMALL(Dong2,ROWS($1:41)),),OFFSET(TH!M$1,SMALL(Dong2,ROWS($1:41)),)))</f>
        <v>131</v>
      </c>
      <c r="F52" s="614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10000000</v>
      </c>
      <c r="G52" s="614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55">
        <f t="shared" ca="1" si="2"/>
        <v>60590960</v>
      </c>
      <c r="I52" s="611"/>
    </row>
    <row r="53" spans="1:9" s="152" customFormat="1" ht="20.25" customHeight="1">
      <c r="A53" s="163">
        <f ca="1">IF(ROWS($1:42)&gt;COUNT(Dong2),"",OFFSET(TH!C$1,SMALL(Dong2,ROWS($1:42)),))</f>
        <v>41130</v>
      </c>
      <c r="B53" s="163" t="str">
        <f ca="1">IF(ROWS($1:42)&gt;COUNT(Dong2),"",OFFSET(TH!D$1,SMALL(Dong2,ROWS($1:42)),))</f>
        <v>GBC</v>
      </c>
      <c r="C53" s="163">
        <f ca="1">IF(ROWS($1:42)&gt;COUNT(Dong2),"",OFFSET(TH!E$1,SMALL(Dong2,ROWS($1:42)),))</f>
        <v>41130</v>
      </c>
      <c r="D53" s="251" t="str">
        <f ca="1">IF(ROWS($1:42)&gt;COUNT(Dong2),"",OFFSET(TH!F$1,SMALL(Dong2,ROWS($1:42)),))</f>
        <v>Thu tiền hàng</v>
      </c>
      <c r="E53" s="163" t="str">
        <f ca="1">IF(ROWS($1:42)&gt;COUNT(Dong2),"",IF(OFFSET(TH!M$1,SMALL(Dong2,ROWS($1:42)),)=$I$6,OFFSET(TH!L$1,SMALL(Dong2,ROWS($1:42)),),OFFSET(TH!M$1,SMALL(Dong2,ROWS($1:42)),)))</f>
        <v>131</v>
      </c>
      <c r="F53" s="614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19790606</v>
      </c>
      <c r="G53" s="614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755">
        <f t="shared" ca="1" si="2"/>
        <v>80381566</v>
      </c>
      <c r="I53" s="611"/>
    </row>
    <row r="54" spans="1:9" s="152" customFormat="1" ht="20.25" customHeight="1">
      <c r="A54" s="163">
        <f ca="1">IF(ROWS($1:43)&gt;COUNT(Dong2),"",OFFSET(TH!C$1,SMALL(Dong2,ROWS($1:43)),))</f>
        <v>41131</v>
      </c>
      <c r="B54" s="163" t="str">
        <f ca="1">IF(ROWS($1:43)&gt;COUNT(Dong2),"",OFFSET(TH!D$1,SMALL(Dong2,ROWS($1:43)),))</f>
        <v>GBC</v>
      </c>
      <c r="C54" s="163">
        <f ca="1">IF(ROWS($1:43)&gt;COUNT(Dong2),"",OFFSET(TH!E$1,SMALL(Dong2,ROWS($1:43)),))</f>
        <v>41131</v>
      </c>
      <c r="D54" s="251" t="str">
        <f ca="1">IF(ROWS($1:43)&gt;COUNT(Dong2),"",OFFSET(TH!F$1,SMALL(Dong2,ROWS($1:43)),))</f>
        <v>Thu tiền hàng</v>
      </c>
      <c r="E54" s="163" t="str">
        <f ca="1">IF(ROWS($1:43)&gt;COUNT(Dong2),"",IF(OFFSET(TH!M$1,SMALL(Dong2,ROWS($1:43)),)=$I$6,OFFSET(TH!L$1,SMALL(Dong2,ROWS($1:43)),),OFFSET(TH!M$1,SMALL(Dong2,ROWS($1:43)),)))</f>
        <v>131</v>
      </c>
      <c r="F54" s="614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8084780</v>
      </c>
      <c r="G54" s="614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755">
        <f t="shared" ca="1" si="2"/>
        <v>88466346</v>
      </c>
      <c r="I54" s="611"/>
    </row>
    <row r="55" spans="1:9" s="152" customFormat="1" ht="20.25" customHeight="1">
      <c r="A55" s="163">
        <f ca="1">IF(ROWS($1:44)&gt;COUNT(Dong2),"",OFFSET(TH!C$1,SMALL(Dong2,ROWS($1:44)),))</f>
        <v>41131</v>
      </c>
      <c r="B55" s="163" t="str">
        <f ca="1">IF(ROWS($1:44)&gt;COUNT(Dong2),"",OFFSET(TH!D$1,SMALL(Dong2,ROWS($1:44)),))</f>
        <v>GBN</v>
      </c>
      <c r="C55" s="163">
        <f ca="1">IF(ROWS($1:44)&gt;COUNT(Dong2),"",OFFSET(TH!E$1,SMALL(Dong2,ROWS($1:44)),))</f>
        <v>41131</v>
      </c>
      <c r="D55" s="251" t="str">
        <f ca="1">IF(ROWS($1:44)&gt;COUNT(Dong2),"",OFFSET(TH!F$1,SMALL(Dong2,ROWS($1:44)),))</f>
        <v>Thanh toán tiền hàng</v>
      </c>
      <c r="E55" s="163" t="str">
        <f ca="1">IF(ROWS($1:44)&gt;COUNT(Dong2),"",IF(OFFSET(TH!M$1,SMALL(Dong2,ROWS($1:44)),)=$I$6,OFFSET(TH!L$1,SMALL(Dong2,ROWS($1:44)),),OFFSET(TH!M$1,SMALL(Dong2,ROWS($1:44)),)))</f>
        <v>331</v>
      </c>
      <c r="F55" s="614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614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80000000</v>
      </c>
      <c r="H55" s="755">
        <f t="shared" ca="1" si="2"/>
        <v>8466346</v>
      </c>
      <c r="I55" s="611"/>
    </row>
    <row r="56" spans="1:9" s="152" customFormat="1" ht="20.25" customHeight="1">
      <c r="A56" s="163">
        <f ca="1">IF(ROWS($1:45)&gt;COUNT(Dong2),"",OFFSET(TH!C$1,SMALL(Dong2,ROWS($1:45)),))</f>
        <v>41131</v>
      </c>
      <c r="B56" s="163" t="str">
        <f ca="1">IF(ROWS($1:45)&gt;COUNT(Dong2),"",OFFSET(TH!D$1,SMALL(Dong2,ROWS($1:45)),))</f>
        <v>GBN</v>
      </c>
      <c r="C56" s="163">
        <f ca="1">IF(ROWS($1:45)&gt;COUNT(Dong2),"",OFFSET(TH!E$1,SMALL(Dong2,ROWS($1:45)),))</f>
        <v>41131</v>
      </c>
      <c r="D56" s="251" t="str">
        <f ca="1">IF(ROWS($1:45)&gt;COUNT(Dong2),"",OFFSET(TH!F$1,SMALL(Dong2,ROWS($1:45)),))</f>
        <v>Phí chuyển tiền</v>
      </c>
      <c r="E56" s="163" t="str">
        <f ca="1">IF(ROWS($1:45)&gt;COUNT(Dong2),"",IF(OFFSET(TH!M$1,SMALL(Dong2,ROWS($1:45)),)=$I$6,OFFSET(TH!L$1,SMALL(Dong2,ROWS($1:45)),),OFFSET(TH!M$1,SMALL(Dong2,ROWS($1:45)),)))</f>
        <v>642</v>
      </c>
      <c r="F56" s="614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614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</v>
      </c>
      <c r="H56" s="755">
        <f t="shared" ca="1" si="2"/>
        <v>8426346</v>
      </c>
      <c r="I56" s="611"/>
    </row>
    <row r="57" spans="1:9" s="152" customFormat="1" ht="20.25" customHeight="1">
      <c r="A57" s="163">
        <f ca="1">IF(ROWS($1:46)&gt;COUNT(Dong2),"",OFFSET(TH!C$1,SMALL(Dong2,ROWS($1:46)),))</f>
        <v>41135</v>
      </c>
      <c r="B57" s="163" t="str">
        <f ca="1">IF(ROWS($1:46)&gt;COUNT(Dong2),"",OFFSET(TH!D$1,SMALL(Dong2,ROWS($1:46)),))</f>
        <v>GBC</v>
      </c>
      <c r="C57" s="163">
        <f ca="1">IF(ROWS($1:46)&gt;COUNT(Dong2),"",OFFSET(TH!E$1,SMALL(Dong2,ROWS($1:46)),))</f>
        <v>41135</v>
      </c>
      <c r="D57" s="251" t="str">
        <f ca="1">IF(ROWS($1:46)&gt;COUNT(Dong2),"",OFFSET(TH!F$1,SMALL(Dong2,ROWS($1:46)),))</f>
        <v>Nộp tiền mặt vào tài khoản</v>
      </c>
      <c r="E57" s="163" t="str">
        <f ca="1">IF(ROWS($1:46)&gt;COUNT(Dong2),"",IF(OFFSET(TH!M$1,SMALL(Dong2,ROWS($1:46)),)=$I$6,OFFSET(TH!L$1,SMALL(Dong2,ROWS($1:46)),),OFFSET(TH!M$1,SMALL(Dong2,ROWS($1:46)),)))</f>
        <v>1111</v>
      </c>
      <c r="F57" s="614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18500000</v>
      </c>
      <c r="G57" s="614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755">
        <f t="shared" ca="1" si="2"/>
        <v>26926346</v>
      </c>
      <c r="I57" s="611"/>
    </row>
    <row r="58" spans="1:9" s="152" customFormat="1" ht="20.25" customHeight="1">
      <c r="A58" s="163">
        <f ca="1">IF(ROWS($1:47)&gt;COUNT(Dong2),"",OFFSET(TH!C$1,SMALL(Dong2,ROWS($1:47)),))</f>
        <v>41139</v>
      </c>
      <c r="B58" s="163" t="str">
        <f ca="1">IF(ROWS($1:47)&gt;COUNT(Dong2),"",OFFSET(TH!D$1,SMALL(Dong2,ROWS($1:47)),))</f>
        <v>C14</v>
      </c>
      <c r="C58" s="163">
        <f ca="1">IF(ROWS($1:47)&gt;COUNT(Dong2),"",OFFSET(TH!E$1,SMALL(Dong2,ROWS($1:47)),))</f>
        <v>41139</v>
      </c>
      <c r="D58" s="251" t="str">
        <f ca="1">IF(ROWS($1:47)&gt;COUNT(Dong2),"",OFFSET(TH!F$1,SMALL(Dong2,ROWS($1:47)),))</f>
        <v>Nộp tiền mặt vào tài khoản</v>
      </c>
      <c r="E58" s="163" t="str">
        <f ca="1">IF(ROWS($1:47)&gt;COUNT(Dong2),"",IF(OFFSET(TH!M$1,SMALL(Dong2,ROWS($1:47)),)=$I$6,OFFSET(TH!L$1,SMALL(Dong2,ROWS($1:47)),),OFFSET(TH!M$1,SMALL(Dong2,ROWS($1:47)),)))</f>
        <v>1111</v>
      </c>
      <c r="F58" s="614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12500000</v>
      </c>
      <c r="G58" s="614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755">
        <f t="shared" ca="1" si="2"/>
        <v>39426346</v>
      </c>
      <c r="I58" s="611"/>
    </row>
    <row r="59" spans="1:9" s="152" customFormat="1" ht="20.25" customHeight="1">
      <c r="A59" s="163">
        <f ca="1">IF(ROWS($1:48)&gt;COUNT(Dong2),"",OFFSET(TH!C$1,SMALL(Dong2,ROWS($1:48)),))</f>
        <v>41141</v>
      </c>
      <c r="B59" s="163" t="str">
        <f ca="1">IF(ROWS($1:48)&gt;COUNT(Dong2),"",OFFSET(TH!D$1,SMALL(Dong2,ROWS($1:48)),))</f>
        <v>C15</v>
      </c>
      <c r="C59" s="163">
        <f ca="1">IF(ROWS($1:48)&gt;COUNT(Dong2),"",OFFSET(TH!E$1,SMALL(Dong2,ROWS($1:48)),))</f>
        <v>41141</v>
      </c>
      <c r="D59" s="251" t="str">
        <f ca="1">IF(ROWS($1:48)&gt;COUNT(Dong2),"",OFFSET(TH!F$1,SMALL(Dong2,ROWS($1:48)),))</f>
        <v>Nộp tiền mặt vào tài khoản</v>
      </c>
      <c r="E59" s="163" t="str">
        <f ca="1">IF(ROWS($1:48)&gt;COUNT(Dong2),"",IF(OFFSET(TH!M$1,SMALL(Dong2,ROWS($1:48)),)=$I$6,OFFSET(TH!L$1,SMALL(Dong2,ROWS($1:48)),),OFFSET(TH!M$1,SMALL(Dong2,ROWS($1:48)),)))</f>
        <v>1111</v>
      </c>
      <c r="F59" s="614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1000000</v>
      </c>
      <c r="G59" s="614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55">
        <f t="shared" ca="1" si="2"/>
        <v>40426346</v>
      </c>
      <c r="I59" s="611"/>
    </row>
    <row r="60" spans="1:9" s="152" customFormat="1" ht="20.25" customHeight="1">
      <c r="A60" s="163">
        <f ca="1">IF(ROWS($1:49)&gt;COUNT(Dong2),"",OFFSET(TH!C$1,SMALL(Dong2,ROWS($1:49)),))</f>
        <v>41142</v>
      </c>
      <c r="B60" s="163" t="str">
        <f ca="1">IF(ROWS($1:49)&gt;COUNT(Dong2),"",OFFSET(TH!D$1,SMALL(Dong2,ROWS($1:49)),))</f>
        <v>GBC</v>
      </c>
      <c r="C60" s="163">
        <f ca="1">IF(ROWS($1:49)&gt;COUNT(Dong2),"",OFFSET(TH!E$1,SMALL(Dong2,ROWS($1:49)),))</f>
        <v>41142</v>
      </c>
      <c r="D60" s="251" t="str">
        <f ca="1">IF(ROWS($1:49)&gt;COUNT(Dong2),"",OFFSET(TH!F$1,SMALL(Dong2,ROWS($1:49)),))</f>
        <v>Thu tiền hàng</v>
      </c>
      <c r="E60" s="163" t="str">
        <f ca="1">IF(ROWS($1:49)&gt;COUNT(Dong2),"",IF(OFFSET(TH!M$1,SMALL(Dong2,ROWS($1:49)),)=$I$6,OFFSET(TH!L$1,SMALL(Dong2,ROWS($1:49)),),OFFSET(TH!M$1,SMALL(Dong2,ROWS($1:49)),)))</f>
        <v>131</v>
      </c>
      <c r="F60" s="614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5869600</v>
      </c>
      <c r="G60" s="614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755">
        <f t="shared" ca="1" si="2"/>
        <v>46295946</v>
      </c>
      <c r="I60" s="611"/>
    </row>
    <row r="61" spans="1:9" s="152" customFormat="1" ht="20.25" customHeight="1">
      <c r="A61" s="163">
        <f ca="1">IF(ROWS($1:50)&gt;COUNT(Dong2),"",OFFSET(TH!C$1,SMALL(Dong2,ROWS($1:50)),))</f>
        <v>41142</v>
      </c>
      <c r="B61" s="163" t="str">
        <f ca="1">IF(ROWS($1:50)&gt;COUNT(Dong2),"",OFFSET(TH!D$1,SMALL(Dong2,ROWS($1:50)),))</f>
        <v>GBN</v>
      </c>
      <c r="C61" s="163">
        <f ca="1">IF(ROWS($1:50)&gt;COUNT(Dong2),"",OFFSET(TH!E$1,SMALL(Dong2,ROWS($1:50)),))</f>
        <v>41142</v>
      </c>
      <c r="D61" s="251" t="str">
        <f ca="1">IF(ROWS($1:50)&gt;COUNT(Dong2),"",OFFSET(TH!F$1,SMALL(Dong2,ROWS($1:50)),))</f>
        <v>Thanh toán tiền hàng</v>
      </c>
      <c r="E61" s="163" t="str">
        <f ca="1">IF(ROWS($1:50)&gt;COUNT(Dong2),"",IF(OFFSET(TH!M$1,SMALL(Dong2,ROWS($1:50)),)=$I$6,OFFSET(TH!L$1,SMALL(Dong2,ROWS($1:50)),),OFFSET(TH!M$1,SMALL(Dong2,ROWS($1:50)),)))</f>
        <v>331</v>
      </c>
      <c r="F61" s="614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614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40000000</v>
      </c>
      <c r="H61" s="755">
        <f t="shared" ref="H61:H77" ca="1" si="3">IF(A61&lt;&gt;"",H60+F61-G61,0)</f>
        <v>6295946</v>
      </c>
      <c r="I61" s="611"/>
    </row>
    <row r="62" spans="1:9" s="152" customFormat="1" ht="20.25" customHeight="1">
      <c r="A62" s="163">
        <f ca="1">IF(ROWS($1:51)&gt;COUNT(Dong2),"",OFFSET(TH!C$1,SMALL(Dong2,ROWS($1:51)),))</f>
        <v>41142</v>
      </c>
      <c r="B62" s="163" t="str">
        <f ca="1">IF(ROWS($1:51)&gt;COUNT(Dong2),"",OFFSET(TH!D$1,SMALL(Dong2,ROWS($1:51)),))</f>
        <v>GBN</v>
      </c>
      <c r="C62" s="163">
        <f ca="1">IF(ROWS($1:51)&gt;COUNT(Dong2),"",OFFSET(TH!E$1,SMALL(Dong2,ROWS($1:51)),))</f>
        <v>41142</v>
      </c>
      <c r="D62" s="251" t="str">
        <f ca="1">IF(ROWS($1:51)&gt;COUNT(Dong2),"",OFFSET(TH!F$1,SMALL(Dong2,ROWS($1:51)),))</f>
        <v>Phí chuyển tiền</v>
      </c>
      <c r="E62" s="163" t="str">
        <f ca="1">IF(ROWS($1:51)&gt;COUNT(Dong2),"",IF(OFFSET(TH!M$1,SMALL(Dong2,ROWS($1:51)),)=$I$6,OFFSET(TH!L$1,SMALL(Dong2,ROWS($1:51)),),OFFSET(TH!M$1,SMALL(Dong2,ROWS($1:51)),)))</f>
        <v>642</v>
      </c>
      <c r="F62" s="614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614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</v>
      </c>
      <c r="H62" s="755">
        <f t="shared" ca="1" si="3"/>
        <v>6285946</v>
      </c>
      <c r="I62" s="611"/>
    </row>
    <row r="63" spans="1:9" s="152" customFormat="1" ht="20.25" customHeight="1">
      <c r="A63" s="163">
        <f ca="1">IF(ROWS($1:52)&gt;COUNT(Dong2),"",OFFSET(TH!C$1,SMALL(Dong2,ROWS($1:52)),))</f>
        <v>41146</v>
      </c>
      <c r="B63" s="163" t="str">
        <f ca="1">IF(ROWS($1:52)&gt;COUNT(Dong2),"",OFFSET(TH!D$1,SMALL(Dong2,ROWS($1:52)),))</f>
        <v>GBC</v>
      </c>
      <c r="C63" s="163">
        <f ca="1">IF(ROWS($1:52)&gt;COUNT(Dong2),"",OFFSET(TH!E$1,SMALL(Dong2,ROWS($1:52)),))</f>
        <v>41146</v>
      </c>
      <c r="D63" s="251" t="str">
        <f ca="1">IF(ROWS($1:52)&gt;COUNT(Dong2),"",OFFSET(TH!F$1,SMALL(Dong2,ROWS($1:52)),))</f>
        <v>Lãi tiền gửi</v>
      </c>
      <c r="E63" s="163" t="str">
        <f ca="1">IF(ROWS($1:52)&gt;COUNT(Dong2),"",IF(OFFSET(TH!M$1,SMALL(Dong2,ROWS($1:52)),)=$I$6,OFFSET(TH!L$1,SMALL(Dong2,ROWS($1:52)),),OFFSET(TH!M$1,SMALL(Dong2,ROWS($1:52)),)))</f>
        <v>515</v>
      </c>
      <c r="F63" s="614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39945</v>
      </c>
      <c r="G63" s="614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0</v>
      </c>
      <c r="H63" s="755">
        <f t="shared" ca="1" si="3"/>
        <v>6325891</v>
      </c>
      <c r="I63" s="611"/>
    </row>
    <row r="64" spans="1:9" s="152" customFormat="1" ht="20.25" customHeight="1">
      <c r="A64" s="163">
        <f ca="1">IF(ROWS($1:53)&gt;COUNT(Dong2),"",OFFSET(TH!C$1,SMALL(Dong2,ROWS($1:53)),))</f>
        <v>41149</v>
      </c>
      <c r="B64" s="163" t="str">
        <f ca="1">IF(ROWS($1:53)&gt;COUNT(Dong2),"",OFFSET(TH!D$1,SMALL(Dong2,ROWS($1:53)),))</f>
        <v>C18</v>
      </c>
      <c r="C64" s="163">
        <f ca="1">IF(ROWS($1:53)&gt;COUNT(Dong2),"",OFFSET(TH!E$1,SMALL(Dong2,ROWS($1:53)),))</f>
        <v>41149</v>
      </c>
      <c r="D64" s="251" t="str">
        <f ca="1">IF(ROWS($1:53)&gt;COUNT(Dong2),"",OFFSET(TH!F$1,SMALL(Dong2,ROWS($1:53)),))</f>
        <v>Nộp tiền mặt vào tài khoản</v>
      </c>
      <c r="E64" s="163" t="str">
        <f ca="1">IF(ROWS($1:53)&gt;COUNT(Dong2),"",IF(OFFSET(TH!M$1,SMALL(Dong2,ROWS($1:53)),)=$I$6,OFFSET(TH!L$1,SMALL(Dong2,ROWS($1:53)),),OFFSET(TH!M$1,SMALL(Dong2,ROWS($1:53)),)))</f>
        <v>1111</v>
      </c>
      <c r="F64" s="614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20000000</v>
      </c>
      <c r="G64" s="614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755">
        <f t="shared" ca="1" si="3"/>
        <v>26325891</v>
      </c>
      <c r="I64" s="611"/>
    </row>
    <row r="65" spans="1:9" s="152" customFormat="1" ht="20.25" customHeight="1">
      <c r="A65" s="163">
        <f ca="1">IF(ROWS($1:54)&gt;COUNT(Dong2),"",OFFSET(TH!C$1,SMALL(Dong2,ROWS($1:54)),))</f>
        <v>41149</v>
      </c>
      <c r="B65" s="163" t="str">
        <f ca="1">IF(ROWS($1:54)&gt;COUNT(Dong2),"",OFFSET(TH!D$1,SMALL(Dong2,ROWS($1:54)),))</f>
        <v>C19</v>
      </c>
      <c r="C65" s="163">
        <f ca="1">IF(ROWS($1:54)&gt;COUNT(Dong2),"",OFFSET(TH!E$1,SMALL(Dong2,ROWS($1:54)),))</f>
        <v>41149</v>
      </c>
      <c r="D65" s="251" t="str">
        <f ca="1">IF(ROWS($1:54)&gt;COUNT(Dong2),"",OFFSET(TH!F$1,SMALL(Dong2,ROWS($1:54)),))</f>
        <v>Nộp tiền mặt vào tài khoản</v>
      </c>
      <c r="E65" s="163" t="str">
        <f ca="1">IF(ROWS($1:54)&gt;COUNT(Dong2),"",IF(OFFSET(TH!M$1,SMALL(Dong2,ROWS($1:54)),)=$I$6,OFFSET(TH!L$1,SMALL(Dong2,ROWS($1:54)),),OFFSET(TH!M$1,SMALL(Dong2,ROWS($1:54)),)))</f>
        <v>1111</v>
      </c>
      <c r="F65" s="614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8000000</v>
      </c>
      <c r="G65" s="614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0</v>
      </c>
      <c r="H65" s="755">
        <f t="shared" ca="1" si="3"/>
        <v>34325891</v>
      </c>
      <c r="I65" s="611"/>
    </row>
    <row r="66" spans="1:9" s="152" customFormat="1" ht="20.25" customHeight="1">
      <c r="A66" s="163">
        <f ca="1">IF(ROWS($1:55)&gt;COUNT(Dong2),"",OFFSET(TH!C$1,SMALL(Dong2,ROWS($1:55)),))</f>
        <v>41152</v>
      </c>
      <c r="B66" s="163" t="str">
        <f ca="1">IF(ROWS($1:55)&gt;COUNT(Dong2),"",OFFSET(TH!D$1,SMALL(Dong2,ROWS($1:55)),))</f>
        <v>C20</v>
      </c>
      <c r="C66" s="163">
        <f ca="1">IF(ROWS($1:55)&gt;COUNT(Dong2),"",OFFSET(TH!E$1,SMALL(Dong2,ROWS($1:55)),))</f>
        <v>41152</v>
      </c>
      <c r="D66" s="251" t="str">
        <f ca="1">IF(ROWS($1:55)&gt;COUNT(Dong2),"",OFFSET(TH!F$1,SMALL(Dong2,ROWS($1:55)),))</f>
        <v>Nộp tiền mặt vào tài khoản</v>
      </c>
      <c r="E66" s="163" t="str">
        <f ca="1">IF(ROWS($1:55)&gt;COUNT(Dong2),"",IF(OFFSET(TH!M$1,SMALL(Dong2,ROWS($1:55)),)=$I$6,OFFSET(TH!L$1,SMALL(Dong2,ROWS($1:55)),),OFFSET(TH!M$1,SMALL(Dong2,ROWS($1:55)),)))</f>
        <v>1111</v>
      </c>
      <c r="F66" s="614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5000000</v>
      </c>
      <c r="G66" s="614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55">
        <f t="shared" ca="1" si="3"/>
        <v>39325891</v>
      </c>
      <c r="I66" s="611"/>
    </row>
    <row r="67" spans="1:9" s="152" customFormat="1" ht="20.25" customHeight="1">
      <c r="A67" s="163">
        <f ca="1">IF(ROWS($1:56)&gt;COUNT(Dong2),"",OFFSET(TH!C$1,SMALL(Dong2,ROWS($1:56)),))</f>
        <v>41152</v>
      </c>
      <c r="B67" s="163" t="str">
        <f ca="1">IF(ROWS($1:56)&gt;COUNT(Dong2),"",OFFSET(TH!D$1,SMALL(Dong2,ROWS($1:56)),))</f>
        <v>GBN</v>
      </c>
      <c r="C67" s="163">
        <f ca="1">IF(ROWS($1:56)&gt;COUNT(Dong2),"",OFFSET(TH!E$1,SMALL(Dong2,ROWS($1:56)),))</f>
        <v>41152</v>
      </c>
      <c r="D67" s="251" t="str">
        <f ca="1">IF(ROWS($1:56)&gt;COUNT(Dong2),"",OFFSET(TH!F$1,SMALL(Dong2,ROWS($1:56)),))</f>
        <v>Thanh toán tiền hàng</v>
      </c>
      <c r="E67" s="163" t="str">
        <f ca="1">IF(ROWS($1:56)&gt;COUNT(Dong2),"",IF(OFFSET(TH!M$1,SMALL(Dong2,ROWS($1:56)),)=$I$6,OFFSET(TH!L$1,SMALL(Dong2,ROWS($1:56)),),OFFSET(TH!M$1,SMALL(Dong2,ROWS($1:56)),)))</f>
        <v>331</v>
      </c>
      <c r="F67" s="614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614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9382000</v>
      </c>
      <c r="H67" s="755">
        <f t="shared" ca="1" si="3"/>
        <v>29943891</v>
      </c>
      <c r="I67" s="611"/>
    </row>
    <row r="68" spans="1:9" s="152" customFormat="1" ht="20.25" customHeight="1">
      <c r="A68" s="163">
        <f ca="1">IF(ROWS($1:57)&gt;COUNT(Dong2),"",OFFSET(TH!C$1,SMALL(Dong2,ROWS($1:57)),))</f>
        <v>41152</v>
      </c>
      <c r="B68" s="163" t="str">
        <f ca="1">IF(ROWS($1:57)&gt;COUNT(Dong2),"",OFFSET(TH!D$1,SMALL(Dong2,ROWS($1:57)),))</f>
        <v>GBN</v>
      </c>
      <c r="C68" s="163">
        <f ca="1">IF(ROWS($1:57)&gt;COUNT(Dong2),"",OFFSET(TH!E$1,SMALL(Dong2,ROWS($1:57)),))</f>
        <v>41152</v>
      </c>
      <c r="D68" s="251" t="str">
        <f ca="1">IF(ROWS($1:57)&gt;COUNT(Dong2),"",OFFSET(TH!F$1,SMALL(Dong2,ROWS($1:57)),))</f>
        <v>Phí chuyển tiền</v>
      </c>
      <c r="E68" s="163" t="str">
        <f ca="1">IF(ROWS($1:57)&gt;COUNT(Dong2),"",IF(OFFSET(TH!M$1,SMALL(Dong2,ROWS($1:57)),)=$I$6,OFFSET(TH!L$1,SMALL(Dong2,ROWS($1:57)),),OFFSET(TH!M$1,SMALL(Dong2,ROWS($1:57)),)))</f>
        <v>642</v>
      </c>
      <c r="F68" s="614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614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10000</v>
      </c>
      <c r="H68" s="755">
        <f t="shared" ca="1" si="3"/>
        <v>29933891</v>
      </c>
      <c r="I68" s="611"/>
    </row>
    <row r="69" spans="1:9" s="152" customFormat="1" ht="20.25" customHeight="1">
      <c r="A69" s="163">
        <f ca="1">IF(ROWS($1:58)&gt;COUNT(Dong2),"",OFFSET(TH!C$1,SMALL(Dong2,ROWS($1:58)),))</f>
        <v>41152</v>
      </c>
      <c r="B69" s="163" t="str">
        <f ca="1">IF(ROWS($1:58)&gt;COUNT(Dong2),"",OFFSET(TH!D$1,SMALL(Dong2,ROWS($1:58)),))</f>
        <v>GBN</v>
      </c>
      <c r="C69" s="163">
        <f ca="1">IF(ROWS($1:58)&gt;COUNT(Dong2),"",OFFSET(TH!E$1,SMALL(Dong2,ROWS($1:58)),))</f>
        <v>41152</v>
      </c>
      <c r="D69" s="251" t="str">
        <f ca="1">IF(ROWS($1:58)&gt;COUNT(Dong2),"",OFFSET(TH!F$1,SMALL(Dong2,ROWS($1:58)),))</f>
        <v>Thanh toán tiền hàng</v>
      </c>
      <c r="E69" s="163" t="str">
        <f ca="1">IF(ROWS($1:58)&gt;COUNT(Dong2),"",IF(OFFSET(TH!M$1,SMALL(Dong2,ROWS($1:58)),)=$I$6,OFFSET(TH!L$1,SMALL(Dong2,ROWS($1:58)),),OFFSET(TH!M$1,SMALL(Dong2,ROWS($1:58)),)))</f>
        <v>331</v>
      </c>
      <c r="F69" s="614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614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10000000</v>
      </c>
      <c r="H69" s="755">
        <f t="shared" ca="1" si="3"/>
        <v>19933891</v>
      </c>
      <c r="I69" s="611"/>
    </row>
    <row r="70" spans="1:9" s="152" customFormat="1" ht="20.25" customHeight="1">
      <c r="A70" s="163">
        <f ca="1">IF(ROWS($1:59)&gt;COUNT(Dong2),"",OFFSET(TH!C$1,SMALL(Dong2,ROWS($1:59)),))</f>
        <v>41152</v>
      </c>
      <c r="B70" s="163" t="str">
        <f ca="1">IF(ROWS($1:59)&gt;COUNT(Dong2),"",OFFSET(TH!D$1,SMALL(Dong2,ROWS($1:59)),))</f>
        <v>GBN</v>
      </c>
      <c r="C70" s="163">
        <f ca="1">IF(ROWS($1:59)&gt;COUNT(Dong2),"",OFFSET(TH!E$1,SMALL(Dong2,ROWS($1:59)),))</f>
        <v>41152</v>
      </c>
      <c r="D70" s="251" t="str">
        <f ca="1">IF(ROWS($1:59)&gt;COUNT(Dong2),"",OFFSET(TH!F$1,SMALL(Dong2,ROWS($1:59)),))</f>
        <v>Phí chuyển tiền</v>
      </c>
      <c r="E70" s="163" t="str">
        <f ca="1">IF(ROWS($1:59)&gt;COUNT(Dong2),"",IF(OFFSET(TH!M$1,SMALL(Dong2,ROWS($1:59)),)=$I$6,OFFSET(TH!L$1,SMALL(Dong2,ROWS($1:59)),),OFFSET(TH!M$1,SMALL(Dong2,ROWS($1:59)),)))</f>
        <v>642</v>
      </c>
      <c r="F70" s="614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614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</v>
      </c>
      <c r="H70" s="755">
        <f t="shared" ca="1" si="3"/>
        <v>19913891</v>
      </c>
      <c r="I70" s="611"/>
    </row>
    <row r="71" spans="1:9" s="152" customFormat="1" ht="20.25" customHeight="1">
      <c r="A71" s="163">
        <f ca="1">IF(ROWS($1:60)&gt;COUNT(Dong2),"",OFFSET(TH!C$1,SMALL(Dong2,ROWS($1:60)),))</f>
        <v>41157</v>
      </c>
      <c r="B71" s="163" t="str">
        <f ca="1">IF(ROWS($1:60)&gt;COUNT(Dong2),"",OFFSET(TH!D$1,SMALL(Dong2,ROWS($1:60)),))</f>
        <v>GBC</v>
      </c>
      <c r="C71" s="163">
        <f ca="1">IF(ROWS($1:60)&gt;COUNT(Dong2),"",OFFSET(TH!E$1,SMALL(Dong2,ROWS($1:60)),))</f>
        <v>41157</v>
      </c>
      <c r="D71" s="251" t="str">
        <f ca="1">IF(ROWS($1:60)&gt;COUNT(Dong2),"",OFFSET(TH!F$1,SMALL(Dong2,ROWS($1:60)),))</f>
        <v>Thu tiền hàng</v>
      </c>
      <c r="E71" s="163" t="str">
        <f ca="1">IF(ROWS($1:60)&gt;COUNT(Dong2),"",IF(OFFSET(TH!M$1,SMALL(Dong2,ROWS($1:60)),)=$I$6,OFFSET(TH!L$1,SMALL(Dong2,ROWS($1:60)),),OFFSET(TH!M$1,SMALL(Dong2,ROWS($1:60)),)))</f>
        <v>131</v>
      </c>
      <c r="F71" s="614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6042960</v>
      </c>
      <c r="G71" s="614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0</v>
      </c>
      <c r="H71" s="755">
        <f t="shared" ca="1" si="3"/>
        <v>25956851</v>
      </c>
      <c r="I71" s="611"/>
    </row>
    <row r="72" spans="1:9" s="152" customFormat="1" ht="20.25" customHeight="1">
      <c r="A72" s="163">
        <f ca="1">IF(ROWS($1:61)&gt;COUNT(Dong2),"",OFFSET(TH!C$1,SMALL(Dong2,ROWS($1:61)),))</f>
        <v>41162</v>
      </c>
      <c r="B72" s="163" t="str">
        <f ca="1">IF(ROWS($1:61)&gt;COUNT(Dong2),"",OFFSET(TH!D$1,SMALL(Dong2,ROWS($1:61)),))</f>
        <v>C23</v>
      </c>
      <c r="C72" s="163">
        <f ca="1">IF(ROWS($1:61)&gt;COUNT(Dong2),"",OFFSET(TH!E$1,SMALL(Dong2,ROWS($1:61)),))</f>
        <v>41162</v>
      </c>
      <c r="D72" s="251" t="str">
        <f ca="1">IF(ROWS($1:61)&gt;COUNT(Dong2),"",OFFSET(TH!F$1,SMALL(Dong2,ROWS($1:61)),))</f>
        <v>Nộp tiền mặt vào tài khoản</v>
      </c>
      <c r="E72" s="163" t="str">
        <f ca="1">IF(ROWS($1:61)&gt;COUNT(Dong2),"",IF(OFFSET(TH!M$1,SMALL(Dong2,ROWS($1:61)),)=$I$6,OFFSET(TH!L$1,SMALL(Dong2,ROWS($1:61)),),OFFSET(TH!M$1,SMALL(Dong2,ROWS($1:61)),)))</f>
        <v>1111</v>
      </c>
      <c r="F72" s="614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10000000</v>
      </c>
      <c r="G72" s="614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0</v>
      </c>
      <c r="H72" s="755">
        <f t="shared" ca="1" si="3"/>
        <v>35956851</v>
      </c>
      <c r="I72" s="611"/>
    </row>
    <row r="73" spans="1:9" s="152" customFormat="1" ht="20.25" customHeight="1">
      <c r="A73" s="163">
        <f ca="1">IF(ROWS($1:62)&gt;COUNT(Dong2),"",OFFSET(TH!C$1,SMALL(Dong2,ROWS($1:62)),))</f>
        <v>41162</v>
      </c>
      <c r="B73" s="163" t="str">
        <f ca="1">IF(ROWS($1:62)&gt;COUNT(Dong2),"",OFFSET(TH!D$1,SMALL(Dong2,ROWS($1:62)),))</f>
        <v>GBN</v>
      </c>
      <c r="C73" s="163">
        <f ca="1">IF(ROWS($1:62)&gt;COUNT(Dong2),"",OFFSET(TH!E$1,SMALL(Dong2,ROWS($1:62)),))</f>
        <v>41162</v>
      </c>
      <c r="D73" s="251" t="str">
        <f ca="1">IF(ROWS($1:62)&gt;COUNT(Dong2),"",OFFSET(TH!F$1,SMALL(Dong2,ROWS($1:62)),))</f>
        <v>Thanh toán tiền hàng</v>
      </c>
      <c r="E73" s="163" t="str">
        <f ca="1">IF(ROWS($1:62)&gt;COUNT(Dong2),"",IF(OFFSET(TH!M$1,SMALL(Dong2,ROWS($1:62)),)=$I$6,OFFSET(TH!L$1,SMALL(Dong2,ROWS($1:62)),),OFFSET(TH!M$1,SMALL(Dong2,ROWS($1:62)),)))</f>
        <v>331</v>
      </c>
      <c r="F73" s="614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614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35000000</v>
      </c>
      <c r="H73" s="755">
        <f t="shared" ca="1" si="3"/>
        <v>956851</v>
      </c>
      <c r="I73" s="611"/>
    </row>
    <row r="74" spans="1:9" s="152" customFormat="1" ht="20.25" customHeight="1">
      <c r="A74" s="163">
        <f ca="1">IF(ROWS($1:63)&gt;COUNT(Dong2),"",OFFSET(TH!C$1,SMALL(Dong2,ROWS($1:63)),))</f>
        <v>41162</v>
      </c>
      <c r="B74" s="163" t="str">
        <f ca="1">IF(ROWS($1:63)&gt;COUNT(Dong2),"",OFFSET(TH!D$1,SMALL(Dong2,ROWS($1:63)),))</f>
        <v>GBN</v>
      </c>
      <c r="C74" s="163">
        <f ca="1">IF(ROWS($1:63)&gt;COUNT(Dong2),"",OFFSET(TH!E$1,SMALL(Dong2,ROWS($1:63)),))</f>
        <v>41162</v>
      </c>
      <c r="D74" s="251" t="str">
        <f ca="1">IF(ROWS($1:63)&gt;COUNT(Dong2),"",OFFSET(TH!F$1,SMALL(Dong2,ROWS($1:63)),))</f>
        <v>Phí chuyển tiền</v>
      </c>
      <c r="E74" s="163" t="str">
        <f ca="1">IF(ROWS($1:63)&gt;COUNT(Dong2),"",IF(OFFSET(TH!M$1,SMALL(Dong2,ROWS($1:63)),)=$I$6,OFFSET(TH!L$1,SMALL(Dong2,ROWS($1:63)),),OFFSET(TH!M$1,SMALL(Dong2,ROWS($1:63)),)))</f>
        <v>642</v>
      </c>
      <c r="F74" s="614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614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20000</v>
      </c>
      <c r="H74" s="755">
        <f t="shared" ca="1" si="3"/>
        <v>936851</v>
      </c>
      <c r="I74" s="611"/>
    </row>
    <row r="75" spans="1:9" s="152" customFormat="1" ht="20.25" customHeight="1">
      <c r="A75" s="163">
        <f ca="1">IF(ROWS($1:64)&gt;COUNT(Dong2),"",OFFSET(TH!C$1,SMALL(Dong2,ROWS($1:64)),))</f>
        <v>41162</v>
      </c>
      <c r="B75" s="163" t="str">
        <f ca="1">IF(ROWS($1:64)&gt;COUNT(Dong2),"",OFFSET(TH!D$1,SMALL(Dong2,ROWS($1:64)),))</f>
        <v>GBN</v>
      </c>
      <c r="C75" s="163">
        <f ca="1">IF(ROWS($1:64)&gt;COUNT(Dong2),"",OFFSET(TH!E$1,SMALL(Dong2,ROWS($1:64)),))</f>
        <v>41162</v>
      </c>
      <c r="D75" s="251" t="str">
        <f ca="1">IF(ROWS($1:64)&gt;COUNT(Dong2),"",OFFSET(TH!F$1,SMALL(Dong2,ROWS($1:64)),))</f>
        <v>Phí kiểm đếm</v>
      </c>
      <c r="E75" s="163" t="str">
        <f ca="1">IF(ROWS($1:64)&gt;COUNT(Dong2),"",IF(OFFSET(TH!M$1,SMALL(Dong2,ROWS($1:64)),)=$I$6,OFFSET(TH!L$1,SMALL(Dong2,ROWS($1:64)),),OFFSET(TH!M$1,SMALL(Dong2,ROWS($1:64)),)))</f>
        <v>642</v>
      </c>
      <c r="F75" s="614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614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</v>
      </c>
      <c r="H75" s="755">
        <f t="shared" ca="1" si="3"/>
        <v>926851</v>
      </c>
      <c r="I75" s="611"/>
    </row>
    <row r="76" spans="1:9" s="152" customFormat="1" ht="20.25" customHeight="1">
      <c r="A76" s="163">
        <f ca="1">IF(ROWS($1:65)&gt;COUNT(Dong2),"",OFFSET(TH!C$1,SMALL(Dong2,ROWS($1:65)),))</f>
        <v>41165</v>
      </c>
      <c r="B76" s="163" t="str">
        <f ca="1">IF(ROWS($1:65)&gt;COUNT(Dong2),"",OFFSET(TH!D$1,SMALL(Dong2,ROWS($1:65)),))</f>
        <v>GBC</v>
      </c>
      <c r="C76" s="163">
        <f ca="1">IF(ROWS($1:65)&gt;COUNT(Dong2),"",OFFSET(TH!E$1,SMALL(Dong2,ROWS($1:65)),))</f>
        <v>41165</v>
      </c>
      <c r="D76" s="251" t="str">
        <f ca="1">IF(ROWS($1:65)&gt;COUNT(Dong2),"",OFFSET(TH!F$1,SMALL(Dong2,ROWS($1:65)),))</f>
        <v>Thu tiền hàng</v>
      </c>
      <c r="E76" s="163" t="str">
        <f ca="1">IF(ROWS($1:65)&gt;COUNT(Dong2),"",IF(OFFSET(TH!M$1,SMALL(Dong2,ROWS($1:65)),)=$I$6,OFFSET(TH!L$1,SMALL(Dong2,ROWS($1:65)),),OFFSET(TH!M$1,SMALL(Dong2,ROWS($1:65)),)))</f>
        <v>131</v>
      </c>
      <c r="F76" s="614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56071000</v>
      </c>
      <c r="G76" s="614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755">
        <f t="shared" ca="1" si="3"/>
        <v>56997851</v>
      </c>
      <c r="I76" s="611"/>
    </row>
    <row r="77" spans="1:9" s="152" customFormat="1" ht="20.25" customHeight="1">
      <c r="A77" s="163">
        <f ca="1">IF(ROWS($1:66)&gt;COUNT(Dong2),"",OFFSET(TH!C$1,SMALL(Dong2,ROWS($1:66)),))</f>
        <v>41166</v>
      </c>
      <c r="B77" s="163" t="str">
        <f ca="1">IF(ROWS($1:66)&gt;COUNT(Dong2),"",OFFSET(TH!D$1,SMALL(Dong2,ROWS($1:66)),))</f>
        <v>GBN</v>
      </c>
      <c r="C77" s="163">
        <f ca="1">IF(ROWS($1:66)&gt;COUNT(Dong2),"",OFFSET(TH!E$1,SMALL(Dong2,ROWS($1:66)),))</f>
        <v>41166</v>
      </c>
      <c r="D77" s="251" t="str">
        <f ca="1">IF(ROWS($1:66)&gt;COUNT(Dong2),"",OFFSET(TH!F$1,SMALL(Dong2,ROWS($1:66)),))</f>
        <v>Thanh toán tiền hàng</v>
      </c>
      <c r="E77" s="163" t="str">
        <f ca="1">IF(ROWS($1:66)&gt;COUNT(Dong2),"",IF(OFFSET(TH!M$1,SMALL(Dong2,ROWS($1:66)),)=$I$6,OFFSET(TH!L$1,SMALL(Dong2,ROWS($1:66)),),OFFSET(TH!M$1,SMALL(Dong2,ROWS($1:66)),)))</f>
        <v>331</v>
      </c>
      <c r="F77" s="614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614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40000000</v>
      </c>
      <c r="H77" s="755">
        <f t="shared" ca="1" si="3"/>
        <v>16997851</v>
      </c>
      <c r="I77" s="611"/>
    </row>
    <row r="78" spans="1:9" s="152" customFormat="1" ht="20.25" customHeight="1">
      <c r="A78" s="163">
        <f ca="1">IF(ROWS($1:67)&gt;COUNT(Dong2),"",OFFSET(TH!C$1,SMALL(Dong2,ROWS($1:67)),))</f>
        <v>41166</v>
      </c>
      <c r="B78" s="163" t="str">
        <f ca="1">IF(ROWS($1:67)&gt;COUNT(Dong2),"",OFFSET(TH!D$1,SMALL(Dong2,ROWS($1:67)),))</f>
        <v>GBN</v>
      </c>
      <c r="C78" s="163">
        <f ca="1">IF(ROWS($1:67)&gt;COUNT(Dong2),"",OFFSET(TH!E$1,SMALL(Dong2,ROWS($1:67)),))</f>
        <v>41166</v>
      </c>
      <c r="D78" s="251" t="str">
        <f ca="1">IF(ROWS($1:67)&gt;COUNT(Dong2),"",OFFSET(TH!F$1,SMALL(Dong2,ROWS($1:67)),))</f>
        <v>Phí chuyển tiền</v>
      </c>
      <c r="E78" s="163" t="str">
        <f ca="1">IF(ROWS($1:67)&gt;COUNT(Dong2),"",IF(OFFSET(TH!M$1,SMALL(Dong2,ROWS($1:67)),)=$I$6,OFFSET(TH!L$1,SMALL(Dong2,ROWS($1:67)),),OFFSET(TH!M$1,SMALL(Dong2,ROWS($1:67)),)))</f>
        <v>642</v>
      </c>
      <c r="F78" s="614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614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755">
        <f t="shared" ref="H78:H91" ca="1" si="4">IF(A78&lt;&gt;"",H77+F78-G78,0)</f>
        <v>16977851</v>
      </c>
      <c r="I78" s="611"/>
    </row>
    <row r="79" spans="1:9" s="152" customFormat="1" ht="20.25" customHeight="1">
      <c r="A79" s="163">
        <f ca="1">IF(ROWS($1:68)&gt;COUNT(Dong2),"",OFFSET(TH!C$1,SMALL(Dong2,ROWS($1:68)),))</f>
        <v>41169</v>
      </c>
      <c r="B79" s="163" t="str">
        <f ca="1">IF(ROWS($1:68)&gt;COUNT(Dong2),"",OFFSET(TH!D$1,SMALL(Dong2,ROWS($1:68)),))</f>
        <v>GBC</v>
      </c>
      <c r="C79" s="163">
        <f ca="1">IF(ROWS($1:68)&gt;COUNT(Dong2),"",OFFSET(TH!E$1,SMALL(Dong2,ROWS($1:68)),))</f>
        <v>41169</v>
      </c>
      <c r="D79" s="251" t="str">
        <f ca="1">IF(ROWS($1:68)&gt;COUNT(Dong2),"",OFFSET(TH!F$1,SMALL(Dong2,ROWS($1:68)),))</f>
        <v>Thu tiền hàng</v>
      </c>
      <c r="E79" s="163" t="str">
        <f ca="1">IF(ROWS($1:68)&gt;COUNT(Dong2),"",IF(OFFSET(TH!M$1,SMALL(Dong2,ROWS($1:68)),)=$I$6,OFFSET(TH!L$1,SMALL(Dong2,ROWS($1:68)),),OFFSET(TH!M$1,SMALL(Dong2,ROWS($1:68)),)))</f>
        <v>131</v>
      </c>
      <c r="F79" s="614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21260030</v>
      </c>
      <c r="G79" s="614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0</v>
      </c>
      <c r="H79" s="755">
        <f t="shared" ca="1" si="4"/>
        <v>38237881</v>
      </c>
      <c r="I79" s="611"/>
    </row>
    <row r="80" spans="1:9" s="152" customFormat="1" ht="20.25" customHeight="1">
      <c r="A80" s="163">
        <f ca="1">IF(ROWS($1:69)&gt;COUNT(Dong2),"",OFFSET(TH!C$1,SMALL(Dong2,ROWS($1:69)),))</f>
        <v>41170</v>
      </c>
      <c r="B80" s="163" t="str">
        <f ca="1">IF(ROWS($1:69)&gt;COUNT(Dong2),"",OFFSET(TH!D$1,SMALL(Dong2,ROWS($1:69)),))</f>
        <v>C26</v>
      </c>
      <c r="C80" s="163">
        <f ca="1">IF(ROWS($1:69)&gt;COUNT(Dong2),"",OFFSET(TH!E$1,SMALL(Dong2,ROWS($1:69)),))</f>
        <v>41170</v>
      </c>
      <c r="D80" s="251" t="str">
        <f ca="1">IF(ROWS($1:69)&gt;COUNT(Dong2),"",OFFSET(TH!F$1,SMALL(Dong2,ROWS($1:69)),))</f>
        <v>Nộp tiền mặt vào tài khoản</v>
      </c>
      <c r="E80" s="163" t="str">
        <f ca="1">IF(ROWS($1:69)&gt;COUNT(Dong2),"",IF(OFFSET(TH!M$1,SMALL(Dong2,ROWS($1:69)),)=$I$6,OFFSET(TH!L$1,SMALL(Dong2,ROWS($1:69)),),OFFSET(TH!M$1,SMALL(Dong2,ROWS($1:69)),)))</f>
        <v>1111</v>
      </c>
      <c r="F80" s="614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20000000</v>
      </c>
      <c r="G80" s="614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0</v>
      </c>
      <c r="H80" s="755">
        <f t="shared" ca="1" si="4"/>
        <v>58237881</v>
      </c>
      <c r="I80" s="611"/>
    </row>
    <row r="81" spans="1:20" s="152" customFormat="1" ht="20.25" customHeight="1">
      <c r="A81" s="163">
        <f ca="1">IF(ROWS($1:70)&gt;COUNT(Dong2),"",OFFSET(TH!C$1,SMALL(Dong2,ROWS($1:70)),))</f>
        <v>41170</v>
      </c>
      <c r="B81" s="163" t="str">
        <f ca="1">IF(ROWS($1:70)&gt;COUNT(Dong2),"",OFFSET(TH!D$1,SMALL(Dong2,ROWS($1:70)),))</f>
        <v>GBN</v>
      </c>
      <c r="C81" s="163">
        <f ca="1">IF(ROWS($1:70)&gt;COUNT(Dong2),"",OFFSET(TH!E$1,SMALL(Dong2,ROWS($1:70)),))</f>
        <v>41170</v>
      </c>
      <c r="D81" s="251" t="str">
        <f ca="1">IF(ROWS($1:70)&gt;COUNT(Dong2),"",OFFSET(TH!F$1,SMALL(Dong2,ROWS($1:70)),))</f>
        <v>Thanh toán tiền hàng</v>
      </c>
      <c r="E81" s="163" t="str">
        <f ca="1">IF(ROWS($1:70)&gt;COUNT(Dong2),"",IF(OFFSET(TH!M$1,SMALL(Dong2,ROWS($1:70)),)=$I$6,OFFSET(TH!L$1,SMALL(Dong2,ROWS($1:70)),),OFFSET(TH!M$1,SMALL(Dong2,ROWS($1:70)),)))</f>
        <v>331</v>
      </c>
      <c r="F81" s="614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614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30000000</v>
      </c>
      <c r="H81" s="755">
        <f t="shared" ca="1" si="4"/>
        <v>28237881</v>
      </c>
      <c r="I81" s="611"/>
    </row>
    <row r="82" spans="1:20" s="152" customFormat="1" ht="20.25" customHeight="1">
      <c r="A82" s="163">
        <f ca="1">IF(ROWS($1:71)&gt;COUNT(Dong2),"",OFFSET(TH!C$1,SMALL(Dong2,ROWS($1:71)),))</f>
        <v>41170</v>
      </c>
      <c r="B82" s="163" t="str">
        <f ca="1">IF(ROWS($1:71)&gt;COUNT(Dong2),"",OFFSET(TH!D$1,SMALL(Dong2,ROWS($1:71)),))</f>
        <v>GBN</v>
      </c>
      <c r="C82" s="163">
        <f ca="1">IF(ROWS($1:71)&gt;COUNT(Dong2),"",OFFSET(TH!E$1,SMALL(Dong2,ROWS($1:71)),))</f>
        <v>41170</v>
      </c>
      <c r="D82" s="251" t="str">
        <f ca="1">IF(ROWS($1:71)&gt;COUNT(Dong2),"",OFFSET(TH!F$1,SMALL(Dong2,ROWS($1:71)),))</f>
        <v>Phí chuyển tiền</v>
      </c>
      <c r="E82" s="163" t="str">
        <f ca="1">IF(ROWS($1:71)&gt;COUNT(Dong2),"",IF(OFFSET(TH!M$1,SMALL(Dong2,ROWS($1:71)),)=$I$6,OFFSET(TH!L$1,SMALL(Dong2,ROWS($1:71)),),OFFSET(TH!M$1,SMALL(Dong2,ROWS($1:71)),)))</f>
        <v>642</v>
      </c>
      <c r="F82" s="614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614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20000</v>
      </c>
      <c r="H82" s="755">
        <f t="shared" ca="1" si="4"/>
        <v>28217881</v>
      </c>
      <c r="I82" s="611"/>
    </row>
    <row r="83" spans="1:20" s="152" customFormat="1" ht="20.25" customHeight="1">
      <c r="A83" s="163">
        <f ca="1">IF(ROWS($1:72)&gt;COUNT(Dong2),"",OFFSET(TH!C$1,SMALL(Dong2,ROWS($1:72)),))</f>
        <v>41173</v>
      </c>
      <c r="B83" s="163" t="str">
        <f ca="1">IF(ROWS($1:72)&gt;COUNT(Dong2),"",OFFSET(TH!D$1,SMALL(Dong2,ROWS($1:72)),))</f>
        <v>C27</v>
      </c>
      <c r="C83" s="163">
        <f ca="1">IF(ROWS($1:72)&gt;COUNT(Dong2),"",OFFSET(TH!E$1,SMALL(Dong2,ROWS($1:72)),))</f>
        <v>41173</v>
      </c>
      <c r="D83" s="251" t="str">
        <f ca="1">IF(ROWS($1:72)&gt;COUNT(Dong2),"",OFFSET(TH!F$1,SMALL(Dong2,ROWS($1:72)),))</f>
        <v>Nộp tiền mặt vào tài khoản</v>
      </c>
      <c r="E83" s="163" t="str">
        <f ca="1">IF(ROWS($1:72)&gt;COUNT(Dong2),"",IF(OFFSET(TH!M$1,SMALL(Dong2,ROWS($1:72)),)=$I$6,OFFSET(TH!L$1,SMALL(Dong2,ROWS($1:72)),),OFFSET(TH!M$1,SMALL(Dong2,ROWS($1:72)),)))</f>
        <v>1111</v>
      </c>
      <c r="F83" s="614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17000000</v>
      </c>
      <c r="G83" s="614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55">
        <f t="shared" ca="1" si="4"/>
        <v>45217881</v>
      </c>
      <c r="I83" s="611"/>
    </row>
    <row r="84" spans="1:20" s="152" customFormat="1" ht="20.25" customHeight="1">
      <c r="A84" s="163">
        <f ca="1">IF(ROWS($1:73)&gt;COUNT(Dong2),"",OFFSET(TH!C$1,SMALL(Dong2,ROWS($1:73)),))</f>
        <v>41173</v>
      </c>
      <c r="B84" s="163" t="str">
        <f ca="1">IF(ROWS($1:73)&gt;COUNT(Dong2),"",OFFSET(TH!D$1,SMALL(Dong2,ROWS($1:73)),))</f>
        <v>GBN</v>
      </c>
      <c r="C84" s="163">
        <f ca="1">IF(ROWS($1:73)&gt;COUNT(Dong2),"",OFFSET(TH!E$1,SMALL(Dong2,ROWS($1:73)),))</f>
        <v>41173</v>
      </c>
      <c r="D84" s="251" t="str">
        <f ca="1">IF(ROWS($1:73)&gt;COUNT(Dong2),"",OFFSET(TH!F$1,SMALL(Dong2,ROWS($1:73)),))</f>
        <v>Thanh toán tiền hàng</v>
      </c>
      <c r="E84" s="163" t="str">
        <f ca="1">IF(ROWS($1:73)&gt;COUNT(Dong2),"",IF(OFFSET(TH!M$1,SMALL(Dong2,ROWS($1:73)),)=$I$6,OFFSET(TH!L$1,SMALL(Dong2,ROWS($1:73)),),OFFSET(TH!M$1,SMALL(Dong2,ROWS($1:73)),)))</f>
        <v>331</v>
      </c>
      <c r="F84" s="614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614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10000000</v>
      </c>
      <c r="H84" s="755">
        <f t="shared" ca="1" si="4"/>
        <v>35217881</v>
      </c>
      <c r="I84" s="611"/>
    </row>
    <row r="85" spans="1:20" s="152" customFormat="1" ht="20.25" customHeight="1">
      <c r="A85" s="163">
        <f ca="1">IF(ROWS($1:74)&gt;COUNT(Dong2),"",OFFSET(TH!C$1,SMALL(Dong2,ROWS($1:74)),))</f>
        <v>41173</v>
      </c>
      <c r="B85" s="163" t="str">
        <f ca="1">IF(ROWS($1:74)&gt;COUNT(Dong2),"",OFFSET(TH!D$1,SMALL(Dong2,ROWS($1:74)),))</f>
        <v>GBN</v>
      </c>
      <c r="C85" s="163">
        <f ca="1">IF(ROWS($1:74)&gt;COUNT(Dong2),"",OFFSET(TH!E$1,SMALL(Dong2,ROWS($1:74)),))</f>
        <v>41173</v>
      </c>
      <c r="D85" s="251" t="str">
        <f ca="1">IF(ROWS($1:74)&gt;COUNT(Dong2),"",OFFSET(TH!F$1,SMALL(Dong2,ROWS($1:74)),))</f>
        <v>Phí chuyển tiền</v>
      </c>
      <c r="E85" s="163" t="str">
        <f ca="1">IF(ROWS($1:74)&gt;COUNT(Dong2),"",IF(OFFSET(TH!M$1,SMALL(Dong2,ROWS($1:74)),)=$I$6,OFFSET(TH!L$1,SMALL(Dong2,ROWS($1:74)),),OFFSET(TH!M$1,SMALL(Dong2,ROWS($1:74)),)))</f>
        <v>642</v>
      </c>
      <c r="F85" s="614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614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20000</v>
      </c>
      <c r="H85" s="755">
        <f t="shared" ca="1" si="4"/>
        <v>35197881</v>
      </c>
      <c r="I85" s="611"/>
    </row>
    <row r="86" spans="1:20" s="152" customFormat="1" ht="20.25" customHeight="1">
      <c r="A86" s="163">
        <f ca="1">IF(ROWS($1:75)&gt;COUNT(Dong2),"",OFFSET(TH!C$1,SMALL(Dong2,ROWS($1:75)),))</f>
        <v>41173</v>
      </c>
      <c r="B86" s="163" t="str">
        <f ca="1">IF(ROWS($1:75)&gt;COUNT(Dong2),"",OFFSET(TH!D$1,SMALL(Dong2,ROWS($1:75)),))</f>
        <v>GBN</v>
      </c>
      <c r="C86" s="163">
        <f ca="1">IF(ROWS($1:75)&gt;COUNT(Dong2),"",OFFSET(TH!E$1,SMALL(Dong2,ROWS($1:75)),))</f>
        <v>41173</v>
      </c>
      <c r="D86" s="251" t="str">
        <f ca="1">IF(ROWS($1:75)&gt;COUNT(Dong2),"",OFFSET(TH!F$1,SMALL(Dong2,ROWS($1:75)),))</f>
        <v>Thanh toán tiền hàng</v>
      </c>
      <c r="E86" s="163" t="str">
        <f ca="1">IF(ROWS($1:75)&gt;COUNT(Dong2),"",IF(OFFSET(TH!M$1,SMALL(Dong2,ROWS($1:75)),)=$I$6,OFFSET(TH!L$1,SMALL(Dong2,ROWS($1:75)),),OFFSET(TH!M$1,SMALL(Dong2,ROWS($1:75)),)))</f>
        <v>331</v>
      </c>
      <c r="F86" s="614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614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35000000</v>
      </c>
      <c r="H86" s="755">
        <f t="shared" ca="1" si="4"/>
        <v>197881</v>
      </c>
      <c r="I86" s="611"/>
    </row>
    <row r="87" spans="1:20" s="152" customFormat="1" ht="20.25" customHeight="1">
      <c r="A87" s="163">
        <f ca="1">IF(ROWS($1:76)&gt;COUNT(Dong2),"",OFFSET(TH!C$1,SMALL(Dong2,ROWS($1:76)),))</f>
        <v>41173</v>
      </c>
      <c r="B87" s="163" t="str">
        <f ca="1">IF(ROWS($1:76)&gt;COUNT(Dong2),"",OFFSET(TH!D$1,SMALL(Dong2,ROWS($1:76)),))</f>
        <v>GBN</v>
      </c>
      <c r="C87" s="163">
        <f ca="1">IF(ROWS($1:76)&gt;COUNT(Dong2),"",OFFSET(TH!E$1,SMALL(Dong2,ROWS($1:76)),))</f>
        <v>41173</v>
      </c>
      <c r="D87" s="251" t="str">
        <f ca="1">IF(ROWS($1:76)&gt;COUNT(Dong2),"",OFFSET(TH!F$1,SMALL(Dong2,ROWS($1:76)),))</f>
        <v>Phí chuyển tiền</v>
      </c>
      <c r="E87" s="163" t="str">
        <f ca="1">IF(ROWS($1:76)&gt;COUNT(Dong2),"",IF(OFFSET(TH!M$1,SMALL(Dong2,ROWS($1:76)),)=$I$6,OFFSET(TH!L$1,SMALL(Dong2,ROWS($1:76)),),OFFSET(TH!M$1,SMALL(Dong2,ROWS($1:76)),)))</f>
        <v>642</v>
      </c>
      <c r="F87" s="614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614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755">
        <f t="shared" ca="1" si="4"/>
        <v>177881</v>
      </c>
      <c r="I87" s="611"/>
    </row>
    <row r="88" spans="1:20" s="152" customFormat="1" ht="20.25" customHeight="1">
      <c r="A88" s="163">
        <f ca="1">IF(ROWS($1:77)&gt;COUNT(Dong2),"",OFFSET(TH!C$1,SMALL(Dong2,ROWS($1:77)),))</f>
        <v>41173</v>
      </c>
      <c r="B88" s="163" t="str">
        <f ca="1">IF(ROWS($1:77)&gt;COUNT(Dong2),"",OFFSET(TH!D$1,SMALL(Dong2,ROWS($1:77)),))</f>
        <v>GBN</v>
      </c>
      <c r="C88" s="163">
        <f ca="1">IF(ROWS($1:77)&gt;COUNT(Dong2),"",OFFSET(TH!E$1,SMALL(Dong2,ROWS($1:77)),))</f>
        <v>41173</v>
      </c>
      <c r="D88" s="251" t="str">
        <f ca="1">IF(ROWS($1:77)&gt;COUNT(Dong2),"",OFFSET(TH!F$1,SMALL(Dong2,ROWS($1:77)),))</f>
        <v>Phí kiểm đếm</v>
      </c>
      <c r="E88" s="163" t="str">
        <f ca="1">IF(ROWS($1:77)&gt;COUNT(Dong2),"",IF(OFFSET(TH!M$1,SMALL(Dong2,ROWS($1:77)),)=$I$6,OFFSET(TH!L$1,SMALL(Dong2,ROWS($1:77)),),OFFSET(TH!M$1,SMALL(Dong2,ROWS($1:77)),)))</f>
        <v>642</v>
      </c>
      <c r="F88" s="614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614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10000</v>
      </c>
      <c r="H88" s="755">
        <f t="shared" ca="1" si="4"/>
        <v>167881</v>
      </c>
      <c r="I88" s="611"/>
    </row>
    <row r="89" spans="1:20" s="152" customFormat="1" ht="20.25" customHeight="1">
      <c r="A89" s="163">
        <f ca="1">IF(ROWS($1:78)&gt;COUNT(Dong2),"",OFFSET(TH!C$1,SMALL(Dong2,ROWS($1:78)),))</f>
        <v>41177</v>
      </c>
      <c r="B89" s="163" t="str">
        <f ca="1">IF(ROWS($1:78)&gt;COUNT(Dong2),"",OFFSET(TH!D$1,SMALL(Dong2,ROWS($1:78)),))</f>
        <v>GBC</v>
      </c>
      <c r="C89" s="163">
        <f ca="1">IF(ROWS($1:78)&gt;COUNT(Dong2),"",OFFSET(TH!E$1,SMALL(Dong2,ROWS($1:78)),))</f>
        <v>41177</v>
      </c>
      <c r="D89" s="251" t="str">
        <f ca="1">IF(ROWS($1:78)&gt;COUNT(Dong2),"",OFFSET(TH!F$1,SMALL(Dong2,ROWS($1:78)),))</f>
        <v>Lãi tiền gửi</v>
      </c>
      <c r="E89" s="163" t="str">
        <f ca="1">IF(ROWS($1:78)&gt;COUNT(Dong2),"",IF(OFFSET(TH!M$1,SMALL(Dong2,ROWS($1:78)),)=$I$6,OFFSET(TH!L$1,SMALL(Dong2,ROWS($1:78)),),OFFSET(TH!M$1,SMALL(Dong2,ROWS($1:78)),)))</f>
        <v>515</v>
      </c>
      <c r="F89" s="614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31990</v>
      </c>
      <c r="G89" s="614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0</v>
      </c>
      <c r="H89" s="755">
        <f t="shared" ca="1" si="4"/>
        <v>199871</v>
      </c>
      <c r="I89" s="611"/>
    </row>
    <row r="90" spans="1:20" s="152" customFormat="1" ht="20.25" customHeight="1">
      <c r="A90" s="163">
        <f ca="1">IF(ROWS($1:79)&gt;COUNT(Dong2),"",OFFSET(TH!C$1,SMALL(Dong2,ROWS($1:79)),))</f>
        <v>41180</v>
      </c>
      <c r="B90" s="163" t="str">
        <f ca="1">IF(ROWS($1:79)&gt;COUNT(Dong2),"",OFFSET(TH!D$1,SMALL(Dong2,ROWS($1:79)),))</f>
        <v>C28</v>
      </c>
      <c r="C90" s="163">
        <f ca="1">IF(ROWS($1:79)&gt;COUNT(Dong2),"",OFFSET(TH!E$1,SMALL(Dong2,ROWS($1:79)),))</f>
        <v>41180</v>
      </c>
      <c r="D90" s="251" t="str">
        <f ca="1">IF(ROWS($1:79)&gt;COUNT(Dong2),"",OFFSET(TH!F$1,SMALL(Dong2,ROWS($1:79)),))</f>
        <v>Nộp tiền mặt vào tài khoản</v>
      </c>
      <c r="E90" s="163" t="str">
        <f ca="1">IF(ROWS($1:79)&gt;COUNT(Dong2),"",IF(OFFSET(TH!M$1,SMALL(Dong2,ROWS($1:79)),)=$I$6,OFFSET(TH!L$1,SMALL(Dong2,ROWS($1:79)),),OFFSET(TH!M$1,SMALL(Dong2,ROWS($1:79)),)))</f>
        <v>1111</v>
      </c>
      <c r="F90" s="614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20000000</v>
      </c>
      <c r="G90" s="614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55">
        <f t="shared" ca="1" si="4"/>
        <v>20199871</v>
      </c>
      <c r="I90" s="611"/>
    </row>
    <row r="91" spans="1:20" s="152" customFormat="1" ht="20.25" customHeight="1">
      <c r="A91" s="163">
        <f ca="1">IF(ROWS($1:80)&gt;COUNT(Dong2),"",OFFSET(TH!C$1,SMALL(Dong2,ROWS($1:80)),))</f>
        <v>41181</v>
      </c>
      <c r="B91" s="163" t="str">
        <f ca="1">IF(ROWS($1:80)&gt;COUNT(Dong2),"",OFFSET(TH!D$1,SMALL(Dong2,ROWS($1:80)),))</f>
        <v>GBN</v>
      </c>
      <c r="C91" s="163">
        <f ca="1">IF(ROWS($1:80)&gt;COUNT(Dong2),"",OFFSET(TH!E$1,SMALL(Dong2,ROWS($1:80)),))</f>
        <v>41181</v>
      </c>
      <c r="D91" s="251" t="str">
        <f ca="1">IF(ROWS($1:80)&gt;COUNT(Dong2),"",OFFSET(TH!F$1,SMALL(Dong2,ROWS($1:80)),))</f>
        <v>Thanh toán tiền hàng</v>
      </c>
      <c r="E91" s="163" t="str">
        <f ca="1">IF(ROWS($1:80)&gt;COUNT(Dong2),"",IF(OFFSET(TH!M$1,SMALL(Dong2,ROWS($1:80)),)=$I$6,OFFSET(TH!L$1,SMALL(Dong2,ROWS($1:80)),),OFFSET(TH!M$1,SMALL(Dong2,ROWS($1:80)),)))</f>
        <v>331</v>
      </c>
      <c r="F91" s="614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614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20000000</v>
      </c>
      <c r="H91" s="755">
        <f t="shared" ca="1" si="4"/>
        <v>199871</v>
      </c>
      <c r="I91" s="611"/>
    </row>
    <row r="92" spans="1:20" s="152" customFormat="1" ht="20.25" customHeight="1">
      <c r="A92" s="163">
        <f ca="1">IF(ROWS($1:81)&gt;COUNT(Dong2),"",OFFSET(TH!C$1,SMALL(Dong2,ROWS($1:81)),))</f>
        <v>41181</v>
      </c>
      <c r="B92" s="163" t="str">
        <f ca="1">IF(ROWS($1:81)&gt;COUNT(Dong2),"",OFFSET(TH!D$1,SMALL(Dong2,ROWS($1:81)),))</f>
        <v>GBN</v>
      </c>
      <c r="C92" s="163">
        <f ca="1">IF(ROWS($1:81)&gt;COUNT(Dong2),"",OFFSET(TH!E$1,SMALL(Dong2,ROWS($1:81)),))</f>
        <v>41181</v>
      </c>
      <c r="D92" s="251" t="str">
        <f ca="1">IF(ROWS($1:81)&gt;COUNT(Dong2),"",OFFSET(TH!F$1,SMALL(Dong2,ROWS($1:81)),))</f>
        <v>Phí chuyển tiền</v>
      </c>
      <c r="E92" s="163" t="str">
        <f ca="1">IF(ROWS($1:81)&gt;COUNT(Dong2),"",IF(OFFSET(TH!M$1,SMALL(Dong2,ROWS($1:81)),)=$I$6,OFFSET(TH!L$1,SMALL(Dong2,ROWS($1:81)),),OFFSET(TH!M$1,SMALL(Dong2,ROWS($1:81)),)))</f>
        <v>642</v>
      </c>
      <c r="F92" s="614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614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20000</v>
      </c>
      <c r="H92" s="755">
        <f t="shared" ref="H92:H93" ca="1" si="5">IF(A92&lt;&gt;"",H91+F92-G92,0)</f>
        <v>179871</v>
      </c>
      <c r="I92" s="611"/>
    </row>
    <row r="93" spans="1:20" s="152" customFormat="1" ht="20.25" customHeight="1">
      <c r="A93" s="163">
        <f ca="1">IF(ROWS($1:82)&gt;COUNT(Dong2),"",OFFSET(TH!C$1,SMALL(Dong2,ROWS($1:82)),))</f>
        <v>41181</v>
      </c>
      <c r="B93" s="163" t="str">
        <f ca="1">IF(ROWS($1:82)&gt;COUNT(Dong2),"",OFFSET(TH!D$1,SMALL(Dong2,ROWS($1:82)),))</f>
        <v>GBN</v>
      </c>
      <c r="C93" s="163">
        <f ca="1">IF(ROWS($1:82)&gt;COUNT(Dong2),"",OFFSET(TH!E$1,SMALL(Dong2,ROWS($1:82)),))</f>
        <v>41181</v>
      </c>
      <c r="D93" s="251" t="str">
        <f ca="1">IF(ROWS($1:82)&gt;COUNT(Dong2),"",OFFSET(TH!F$1,SMALL(Dong2,ROWS($1:82)),))</f>
        <v>Phí kiểm đếm</v>
      </c>
      <c r="E93" s="163" t="str">
        <f ca="1">IF(ROWS($1:82)&gt;COUNT(Dong2),"",IF(OFFSET(TH!M$1,SMALL(Dong2,ROWS($1:82)),)=$I$6,OFFSET(TH!L$1,SMALL(Dong2,ROWS($1:82)),),OFFSET(TH!M$1,SMALL(Dong2,ROWS($1:82)),)))</f>
        <v>642</v>
      </c>
      <c r="F93" s="614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614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10000</v>
      </c>
      <c r="H93" s="755">
        <f t="shared" ca="1" si="5"/>
        <v>169871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595224996</v>
      </c>
      <c r="G95" s="613">
        <f ca="1">SUM(G12:G94)</f>
        <v>685385021</v>
      </c>
      <c r="H95" s="613">
        <f ca="1">H11+F95-G95</f>
        <v>169871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169871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2/7/ 2012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22" activePane="bottomLeft" state="frozen"/>
      <selection pane="bottomLeft" activeCell="A6" sqref="A6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4" t="s">
        <v>492</v>
      </c>
      <c r="B1" s="1014"/>
      <c r="C1" s="1014"/>
      <c r="D1" s="1014"/>
      <c r="E1" s="1014"/>
      <c r="F1" s="1014"/>
      <c r="G1" s="1014"/>
      <c r="H1" s="1014"/>
    </row>
    <row r="2" spans="1:8" s="10" customFormat="1" ht="14.25" customHeight="1">
      <c r="A2" s="1015" t="s">
        <v>35</v>
      </c>
      <c r="B2" s="1017" t="s">
        <v>36</v>
      </c>
      <c r="C2" s="1019" t="s">
        <v>37</v>
      </c>
      <c r="D2" s="1020"/>
      <c r="E2" s="1019" t="s">
        <v>38</v>
      </c>
      <c r="F2" s="1020"/>
      <c r="G2" s="1019" t="s">
        <v>42</v>
      </c>
      <c r="H2" s="1020"/>
    </row>
    <row r="3" spans="1:8" s="10" customFormat="1" ht="14.25" customHeight="1">
      <c r="A3" s="1016"/>
      <c r="B3" s="1018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461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0</v>
      </c>
      <c r="G4" s="58">
        <f t="shared" ref="G4:G10" si="0">ROUND(MAX(C4+E4-D4-F4,0),2)</f>
        <v>0</v>
      </c>
      <c r="H4" s="58">
        <f t="shared" ref="H4:H10" si="1">ROUND(MAX(D4+F4-C4-E4,0),2)</f>
        <v>0</v>
      </c>
    </row>
    <row r="5" spans="1:8" s="10" customFormat="1" ht="16.5" customHeight="1">
      <c r="A5" s="6">
        <f>IF(B5&lt;&gt;"",ROW()-3,"")</f>
        <v>2</v>
      </c>
      <c r="B5" s="7" t="s">
        <v>462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0</v>
      </c>
      <c r="G5" s="58">
        <f t="shared" si="0"/>
        <v>0</v>
      </c>
      <c r="H5" s="58">
        <f t="shared" si="1"/>
        <v>0</v>
      </c>
    </row>
    <row r="6" spans="1:8" s="10" customFormat="1" ht="16.5" customHeight="1">
      <c r="A6" s="6">
        <f t="shared" ref="A6:A13" si="2">IF(B6&lt;&gt;"",ROW()-3,"")</f>
        <v>3</v>
      </c>
      <c r="B6" s="7" t="s">
        <v>463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8">
        <f t="shared" si="0"/>
        <v>0</v>
      </c>
      <c r="H6" s="58">
        <f t="shared" si="1"/>
        <v>0</v>
      </c>
    </row>
    <row r="7" spans="1:8" s="10" customFormat="1" ht="16.5" customHeight="1">
      <c r="A7" s="6">
        <f t="shared" si="2"/>
        <v>4</v>
      </c>
      <c r="B7" s="7" t="s">
        <v>464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8">
        <f t="shared" si="0"/>
        <v>0</v>
      </c>
      <c r="H7" s="58">
        <f t="shared" si="1"/>
        <v>0</v>
      </c>
    </row>
    <row r="8" spans="1:8" s="10" customFormat="1" ht="16.5" customHeight="1">
      <c r="A8" s="6">
        <f t="shared" si="2"/>
        <v>5</v>
      </c>
      <c r="B8" s="7" t="s">
        <v>465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8">
        <f t="shared" si="0"/>
        <v>0</v>
      </c>
      <c r="H8" s="58">
        <f t="shared" si="1"/>
        <v>0</v>
      </c>
    </row>
    <row r="9" spans="1:8" s="10" customFormat="1" ht="16.5" customHeight="1">
      <c r="A9" s="6">
        <f t="shared" si="2"/>
        <v>6</v>
      </c>
      <c r="B9" s="48" t="s">
        <v>466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8">
        <f t="shared" si="0"/>
        <v>0</v>
      </c>
      <c r="H9" s="58">
        <f t="shared" si="1"/>
        <v>0</v>
      </c>
    </row>
    <row r="10" spans="1:8" s="10" customFormat="1" ht="16.5" customHeight="1">
      <c r="A10" s="6">
        <f t="shared" si="2"/>
        <v>7</v>
      </c>
      <c r="B10" s="7" t="s">
        <v>467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8">
        <f t="shared" si="0"/>
        <v>0</v>
      </c>
      <c r="H10" s="58">
        <f t="shared" si="1"/>
        <v>0</v>
      </c>
    </row>
    <row r="11" spans="1:8" s="10" customFormat="1" ht="16.5" customHeight="1">
      <c r="A11" s="6">
        <f t="shared" si="2"/>
        <v>8</v>
      </c>
      <c r="B11" s="7" t="s">
        <v>468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8">
        <f>ROUND(MAX(C11+E11-D11-F11,0),2)</f>
        <v>0</v>
      </c>
      <c r="H11" s="58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469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58">
        <f>ROUND(MAX(C12+E12-D12-F12,0),2)</f>
        <v>0</v>
      </c>
      <c r="H12" s="58">
        <f>ROUND(MAX(D12+F12-C12-E12,0),2)</f>
        <v>0</v>
      </c>
    </row>
    <row r="13" spans="1:8" s="10" customFormat="1" ht="16.5" customHeight="1">
      <c r="A13" s="6">
        <f t="shared" si="2"/>
        <v>10</v>
      </c>
      <c r="B13" s="48" t="s">
        <v>470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58">
        <f>ROUND(MAX(C13+E13-D13-F13,0),2)</f>
        <v>0</v>
      </c>
      <c r="H13" s="58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48" t="s">
        <v>471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8">
        <f>ROUND(MAX(C14+E14-D14-F14,0),2)</f>
        <v>0</v>
      </c>
      <c r="H14" s="58">
        <f>ROUND(MAX(D14+F14-C14-E14,0),2)</f>
        <v>0</v>
      </c>
    </row>
    <row r="15" spans="1:8" s="10" customFormat="1" ht="16.5" customHeight="1">
      <c r="A15" s="6">
        <f t="shared" ref="A15:A22" si="3">IF(B15&lt;&gt;"",ROW()-3,"")</f>
        <v>12</v>
      </c>
      <c r="B15" s="7" t="s">
        <v>472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8">
        <f t="shared" ref="G15:G22" si="4">ROUND(MAX(C15+E15-D15-F15,0),2)</f>
        <v>0</v>
      </c>
      <c r="H15" s="58">
        <f t="shared" ref="H15:H22" si="5">ROUND(MAX(D15+F15-C15-E15,0),2)</f>
        <v>0</v>
      </c>
    </row>
    <row r="16" spans="1:8" s="10" customFormat="1" ht="16.5" customHeight="1">
      <c r="A16" s="6">
        <f t="shared" si="3"/>
        <v>13</v>
      </c>
      <c r="B16" s="7" t="s">
        <v>473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58">
        <f t="shared" si="4"/>
        <v>0</v>
      </c>
      <c r="H16" s="58">
        <f t="shared" si="5"/>
        <v>0</v>
      </c>
    </row>
    <row r="17" spans="1:8" s="10" customFormat="1" ht="16.5" customHeight="1">
      <c r="A17" s="6">
        <f t="shared" si="3"/>
        <v>14</v>
      </c>
      <c r="B17" s="7" t="s">
        <v>474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8">
        <f t="shared" si="4"/>
        <v>0</v>
      </c>
      <c r="H17" s="58">
        <f t="shared" si="5"/>
        <v>0</v>
      </c>
    </row>
    <row r="18" spans="1:8" s="10" customFormat="1" ht="16.5" customHeight="1">
      <c r="A18" s="6">
        <f t="shared" si="3"/>
        <v>15</v>
      </c>
      <c r="B18" s="7" t="s">
        <v>475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8">
        <f t="shared" si="4"/>
        <v>0</v>
      </c>
      <c r="H18" s="58">
        <f t="shared" si="5"/>
        <v>0</v>
      </c>
    </row>
    <row r="19" spans="1:8" s="10" customFormat="1" ht="16.5" customHeight="1">
      <c r="A19" s="6">
        <f t="shared" si="3"/>
        <v>16</v>
      </c>
      <c r="B19" s="7" t="s">
        <v>476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8">
        <f t="shared" si="4"/>
        <v>0</v>
      </c>
      <c r="H19" s="58">
        <f t="shared" si="5"/>
        <v>0</v>
      </c>
    </row>
    <row r="20" spans="1:8" s="10" customFormat="1" ht="16.5" customHeight="1">
      <c r="A20" s="6">
        <f t="shared" si="3"/>
        <v>17</v>
      </c>
      <c r="B20" s="7" t="s">
        <v>477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8">
        <f t="shared" si="4"/>
        <v>0</v>
      </c>
      <c r="H20" s="58">
        <f t="shared" si="5"/>
        <v>0</v>
      </c>
    </row>
    <row r="21" spans="1:8" s="10" customFormat="1" ht="16.5" customHeight="1">
      <c r="A21" s="6">
        <f t="shared" si="3"/>
        <v>18</v>
      </c>
      <c r="B21" s="7" t="s">
        <v>478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8">
        <f t="shared" si="4"/>
        <v>0</v>
      </c>
      <c r="H21" s="58">
        <f t="shared" si="5"/>
        <v>0</v>
      </c>
    </row>
    <row r="22" spans="1:8" s="10" customFormat="1" ht="16.5" customHeight="1">
      <c r="A22" s="6">
        <f t="shared" si="3"/>
        <v>19</v>
      </c>
      <c r="B22" s="7" t="s">
        <v>479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8">
        <f t="shared" si="4"/>
        <v>0</v>
      </c>
      <c r="H22" s="58">
        <f t="shared" si="5"/>
        <v>0</v>
      </c>
    </row>
    <row r="23" spans="1:8" s="10" customFormat="1" ht="16.5" customHeight="1">
      <c r="A23" s="6">
        <f>IF(B23&lt;&gt;"",ROW()-3,"")</f>
        <v>20</v>
      </c>
      <c r="B23" s="45" t="s">
        <v>480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8">
        <f>ROUND(MAX(C23+E23-D23-F23,0),2)</f>
        <v>0</v>
      </c>
      <c r="H23" s="58">
        <f>ROUND(MAX(D23+F23-C23-E23,0),2)</f>
        <v>0</v>
      </c>
    </row>
    <row r="24" spans="1:8" s="10" customFormat="1" ht="16.5" customHeight="1">
      <c r="A24" s="6">
        <f>IF(B24&lt;&gt;"",ROW()-3,"")</f>
        <v>21</v>
      </c>
      <c r="B24" s="207" t="s">
        <v>481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8">
        <f>ROUND(MAX(C24+E24-D24-F24,0),2)</f>
        <v>0</v>
      </c>
      <c r="H24" s="58">
        <f>ROUND(MAX(D24+F24-C24-E24,0),2)</f>
        <v>0</v>
      </c>
    </row>
    <row r="25" spans="1:8" s="10" customFormat="1" ht="16.5" customHeight="1">
      <c r="A25" s="6">
        <f t="shared" ref="A25:A35" si="6">IF(B25&lt;&gt;"",ROW()-3,"")</f>
        <v>22</v>
      </c>
      <c r="B25" s="7" t="s">
        <v>482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8">
        <f t="shared" ref="G25:G34" si="7">ROUND(MAX(C25+E25-D25-F25,0),2)</f>
        <v>0</v>
      </c>
      <c r="H25" s="58">
        <f t="shared" ref="H25:H34" si="8">ROUND(MAX(D25+F25-C25-E25,0),2)</f>
        <v>0</v>
      </c>
    </row>
    <row r="26" spans="1:8" s="10" customFormat="1" ht="16.5" customHeight="1">
      <c r="A26" s="6">
        <f t="shared" si="6"/>
        <v>23</v>
      </c>
      <c r="B26" s="7" t="s">
        <v>483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si="7"/>
        <v>0</v>
      </c>
      <c r="H26" s="58">
        <f t="shared" si="8"/>
        <v>0</v>
      </c>
    </row>
    <row r="27" spans="1:8" s="10" customFormat="1" ht="16.5" customHeight="1">
      <c r="A27" s="6">
        <f t="shared" si="6"/>
        <v>24</v>
      </c>
      <c r="B27" s="7" t="s">
        <v>484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58">
        <f t="shared" si="7"/>
        <v>0</v>
      </c>
      <c r="H27" s="58">
        <f t="shared" si="8"/>
        <v>0</v>
      </c>
    </row>
    <row r="28" spans="1:8" s="10" customFormat="1" ht="16.5" customHeight="1">
      <c r="A28" s="6">
        <f t="shared" si="6"/>
        <v>25</v>
      </c>
      <c r="B28" s="7" t="s">
        <v>485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58">
        <f t="shared" si="7"/>
        <v>0</v>
      </c>
      <c r="H28" s="58">
        <f t="shared" si="8"/>
        <v>0</v>
      </c>
    </row>
    <row r="29" spans="1:8" s="10" customFormat="1" ht="16.5" customHeight="1">
      <c r="A29" s="6">
        <f t="shared" si="6"/>
        <v>26</v>
      </c>
      <c r="B29" s="7" t="s">
        <v>486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58">
        <f t="shared" si="7"/>
        <v>0</v>
      </c>
      <c r="H29" s="58">
        <f t="shared" si="8"/>
        <v>0</v>
      </c>
    </row>
    <row r="30" spans="1:8" s="10" customFormat="1" ht="16.5" customHeight="1">
      <c r="A30" s="6">
        <f t="shared" si="6"/>
        <v>27</v>
      </c>
      <c r="B30" s="7" t="s">
        <v>487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58">
        <f t="shared" si="7"/>
        <v>0</v>
      </c>
      <c r="H30" s="58">
        <f t="shared" si="8"/>
        <v>0</v>
      </c>
    </row>
    <row r="31" spans="1:8" s="10" customFormat="1" ht="16.5" customHeight="1">
      <c r="A31" s="6">
        <f t="shared" si="6"/>
        <v>28</v>
      </c>
      <c r="B31" s="7" t="s">
        <v>488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58">
        <f t="shared" si="7"/>
        <v>0</v>
      </c>
      <c r="H31" s="58">
        <f t="shared" si="8"/>
        <v>0</v>
      </c>
    </row>
    <row r="32" spans="1:8" s="10" customFormat="1" ht="16.5" customHeight="1">
      <c r="A32" s="6">
        <f t="shared" si="6"/>
        <v>29</v>
      </c>
      <c r="B32" s="7" t="s">
        <v>489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58">
        <f t="shared" si="7"/>
        <v>0</v>
      </c>
      <c r="H32" s="58">
        <f t="shared" si="8"/>
        <v>0</v>
      </c>
    </row>
    <row r="33" spans="1:8" s="10" customFormat="1" ht="16.5" customHeight="1">
      <c r="A33" s="6">
        <f t="shared" si="6"/>
        <v>30</v>
      </c>
      <c r="B33" s="7" t="s">
        <v>490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58">
        <f t="shared" si="7"/>
        <v>0</v>
      </c>
      <c r="H33" s="58">
        <f t="shared" si="8"/>
        <v>0</v>
      </c>
    </row>
    <row r="34" spans="1:8" s="10" customFormat="1" ht="16.5" customHeight="1">
      <c r="A34" s="6">
        <f t="shared" si="6"/>
        <v>31</v>
      </c>
      <c r="B34" s="7" t="s">
        <v>491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58">
        <f t="shared" si="7"/>
        <v>0</v>
      </c>
      <c r="H34" s="58">
        <f t="shared" si="8"/>
        <v>0</v>
      </c>
    </row>
    <row r="35" spans="1:8" s="10" customFormat="1" ht="16.5" customHeight="1">
      <c r="A35" s="6">
        <f t="shared" si="6"/>
        <v>32</v>
      </c>
      <c r="B35" s="7" t="s">
        <v>493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58">
        <f t="shared" ref="G35" si="9">ROUND(MAX(C35+E35-D35-F35,0),2)</f>
        <v>0</v>
      </c>
      <c r="H35" s="58">
        <f t="shared" ref="H35" si="10">ROUND(MAX(D35+F35-C35-E35,0),2)</f>
        <v>0</v>
      </c>
    </row>
    <row r="36" spans="1:8" s="10" customFormat="1" ht="16.5" customHeight="1">
      <c r="A36" s="6" t="str">
        <f>IF(B36&lt;&gt;"",ROW()-3,"")</f>
        <v/>
      </c>
      <c r="B36" s="45"/>
      <c r="C36" s="8"/>
      <c r="D36" s="8"/>
      <c r="E36" s="8"/>
      <c r="F36" s="8"/>
      <c r="G36" s="58"/>
      <c r="H36" s="58"/>
    </row>
    <row r="37" spans="1:8" s="14" customFormat="1" ht="14.25" customHeight="1">
      <c r="A37" s="11"/>
      <c r="B37" s="12" t="s">
        <v>39</v>
      </c>
      <c r="C37" s="13">
        <f t="shared" ref="C37:H37" si="11">SUM(C4:C36)</f>
        <v>0</v>
      </c>
      <c r="D37" s="13">
        <f t="shared" si="11"/>
        <v>0</v>
      </c>
      <c r="E37" s="13">
        <f t="shared" si="11"/>
        <v>0</v>
      </c>
      <c r="F37" s="13">
        <f t="shared" si="11"/>
        <v>0</v>
      </c>
      <c r="G37" s="13">
        <f t="shared" si="11"/>
        <v>0</v>
      </c>
      <c r="H37" s="13">
        <f t="shared" si="11"/>
        <v>0</v>
      </c>
    </row>
    <row r="39" spans="1:8">
      <c r="E39" s="15">
        <f>CDPS!E14</f>
        <v>0</v>
      </c>
      <c r="F39" s="15">
        <f>CDPS!F14</f>
        <v>1651297683</v>
      </c>
    </row>
    <row r="41" spans="1:8">
      <c r="E41" s="192">
        <f>E37-E39</f>
        <v>0</v>
      </c>
      <c r="F41" s="192">
        <f>F37-F39</f>
        <v>-1651297683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3" t="s">
        <v>47</v>
      </c>
      <c r="I1" s="1023"/>
      <c r="J1" s="1023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4" t="s">
        <v>48</v>
      </c>
      <c r="I2" s="1024"/>
      <c r="J2" s="1024"/>
    </row>
    <row r="3" spans="1:10" s="603" customFormat="1" ht="14.25" customHeight="1">
      <c r="A3" s="760"/>
      <c r="B3" s="758"/>
      <c r="C3" s="758"/>
      <c r="G3" s="17"/>
      <c r="H3" s="1024"/>
      <c r="I3" s="1024"/>
      <c r="J3" s="1024"/>
    </row>
    <row r="4" spans="1:10" s="5" customFormat="1" ht="28.5" customHeight="1">
      <c r="A4" s="1025" t="s">
        <v>26</v>
      </c>
      <c r="B4" s="1025"/>
      <c r="C4" s="1025"/>
      <c r="D4" s="1025"/>
      <c r="E4" s="1025"/>
      <c r="F4" s="1025"/>
      <c r="G4" s="1025"/>
      <c r="H4" s="1025"/>
      <c r="I4" s="1025"/>
      <c r="J4" s="1025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496</v>
      </c>
    </row>
    <row r="7" spans="1:10" s="18" customFormat="1" ht="14.25" customHeight="1">
      <c r="D7" s="20" t="s">
        <v>46</v>
      </c>
      <c r="E7" s="1026" t="s">
        <v>461</v>
      </c>
      <c r="F7" s="1026"/>
      <c r="G7" s="1026"/>
      <c r="H7" s="1026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27"/>
      <c r="D9" s="1027"/>
      <c r="E9" s="1027"/>
      <c r="F9" s="1027"/>
      <c r="G9" s="1027"/>
      <c r="H9" s="1027"/>
      <c r="I9" s="1027"/>
      <c r="J9" s="1027"/>
    </row>
    <row r="10" spans="1:10" s="18" customFormat="1" ht="14.25" customHeight="1">
      <c r="A10" s="993" t="s">
        <v>20</v>
      </c>
      <c r="B10" s="1028" t="s">
        <v>1</v>
      </c>
      <c r="C10" s="1028"/>
      <c r="D10" s="993" t="s">
        <v>0</v>
      </c>
      <c r="E10" s="993" t="s">
        <v>14</v>
      </c>
      <c r="F10" s="993" t="s">
        <v>30</v>
      </c>
      <c r="G10" s="1021" t="s">
        <v>21</v>
      </c>
      <c r="H10" s="1022"/>
      <c r="I10" s="1021" t="s">
        <v>31</v>
      </c>
      <c r="J10" s="1022"/>
    </row>
    <row r="11" spans="1:10" s="18" customFormat="1" ht="24.75" customHeight="1">
      <c r="A11" s="993"/>
      <c r="B11" s="30" t="s">
        <v>15</v>
      </c>
      <c r="C11" s="30" t="s">
        <v>32</v>
      </c>
      <c r="D11" s="993"/>
      <c r="E11" s="993"/>
      <c r="F11" s="9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>
        <f>VLOOKUP($E$7,'131'!$B$4:$H$36,2,0)</f>
        <v>0</v>
      </c>
      <c r="J13" s="50">
        <f>VLOOKUP($E$7,'131'!$B$4:$H$36,3,0)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1" t="s">
        <v>155</v>
      </c>
      <c r="F37" s="981"/>
      <c r="G37" s="981"/>
      <c r="H37" s="981"/>
      <c r="I37" s="981"/>
      <c r="J37" s="981"/>
    </row>
    <row r="38" spans="1:11" s="18" customFormat="1" ht="14.25" customHeight="1">
      <c r="C38" s="756" t="s">
        <v>11</v>
      </c>
      <c r="E38" s="981" t="s">
        <v>12</v>
      </c>
      <c r="F38" s="981"/>
      <c r="G38" s="981"/>
      <c r="H38" s="981"/>
      <c r="I38" s="981"/>
      <c r="J38" s="981"/>
    </row>
    <row r="39" spans="1:11" s="18" customFormat="1" ht="14.25" customHeight="1">
      <c r="C39" s="756" t="s">
        <v>13</v>
      </c>
      <c r="E39" s="981" t="s">
        <v>13</v>
      </c>
      <c r="F39" s="981"/>
      <c r="G39" s="981"/>
      <c r="H39" s="981"/>
      <c r="I39" s="981"/>
      <c r="J39" s="981"/>
    </row>
    <row r="40" spans="1:11" s="29" customFormat="1"/>
    <row r="46" spans="1:11" ht="15">
      <c r="C46" s="757" t="s">
        <v>172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4" t="s">
        <v>106</v>
      </c>
      <c r="B1" s="1014"/>
      <c r="C1" s="1014"/>
      <c r="D1" s="1014"/>
      <c r="E1" s="1014"/>
      <c r="F1" s="1014"/>
      <c r="G1" s="1014"/>
      <c r="H1" s="1014"/>
    </row>
    <row r="2" spans="1:9" s="10" customFormat="1" ht="14.25" customHeight="1">
      <c r="A2" s="1015" t="s">
        <v>35</v>
      </c>
      <c r="B2" s="1017" t="s">
        <v>36</v>
      </c>
      <c r="C2" s="1019" t="s">
        <v>37</v>
      </c>
      <c r="D2" s="1020"/>
      <c r="E2" s="1019" t="s">
        <v>38</v>
      </c>
      <c r="F2" s="1020"/>
      <c r="G2" s="1019" t="s">
        <v>42</v>
      </c>
      <c r="H2" s="1020"/>
    </row>
    <row r="3" spans="1:9" s="10" customFormat="1" ht="14.25" customHeight="1">
      <c r="A3" s="1016"/>
      <c r="B3" s="1018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773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73694726</v>
      </c>
      <c r="G4" s="58">
        <f t="shared" ref="G4:G7" si="0">ROUND(MAX(C4+E4-D4-F4,0),2)</f>
        <v>0</v>
      </c>
      <c r="H4" s="58">
        <f t="shared" ref="H4:H7" si="1">ROUND(MAX(D4+F4-C4-E4,0),2)</f>
        <v>73694726</v>
      </c>
    </row>
    <row r="5" spans="1:9" s="10" customFormat="1" ht="16.5" customHeight="1">
      <c r="A5" s="6">
        <f t="shared" ref="A5:A14" si="2">IF(B5&lt;&gt;"",ROW()-3,"")</f>
        <v>2</v>
      </c>
      <c r="B5" s="7" t="s">
        <v>537</v>
      </c>
      <c r="C5" s="8"/>
      <c r="D5" s="8"/>
      <c r="E5" s="8">
        <f t="array" ref="E5">SUM(IF("331"&amp;B5=KHN&amp;KH,TH))</f>
        <v>11000000</v>
      </c>
      <c r="F5" s="8">
        <f t="array" ref="F5">SUM(IF("331"&amp;B5=KHC&amp;KH,TH))</f>
        <v>11000000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538</v>
      </c>
      <c r="C6" s="8"/>
      <c r="D6" s="8"/>
      <c r="E6" s="8">
        <f t="array" ref="E6">SUM(IF("331"&amp;B6=KHN&amp;KH,TH))</f>
        <v>5544000</v>
      </c>
      <c r="F6" s="8">
        <f t="array" ref="F6">SUM(IF("331"&amp;B6=KHC&amp;KH,TH))</f>
        <v>5544000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558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59889106</v>
      </c>
      <c r="G7" s="58">
        <f t="shared" si="0"/>
        <v>0</v>
      </c>
      <c r="H7" s="58">
        <f t="shared" si="1"/>
        <v>59889106</v>
      </c>
    </row>
    <row r="8" spans="1:9" s="10" customFormat="1" ht="16.5" customHeight="1">
      <c r="A8" s="6">
        <f t="shared" si="2"/>
        <v>5</v>
      </c>
      <c r="B8" s="45" t="s">
        <v>564</v>
      </c>
      <c r="C8" s="8"/>
      <c r="D8" s="8"/>
      <c r="E8" s="8">
        <f t="array" ref="E8">SUM(IF("331"&amp;B8=KHN&amp;KH,TH))</f>
        <v>200000000</v>
      </c>
      <c r="F8" s="8">
        <f t="array" ref="F8">SUM(IF("331"&amp;B8=KHC&amp;KH,TH))</f>
        <v>2389482863</v>
      </c>
      <c r="G8" s="58">
        <f t="shared" ref="G8:G10" si="3">ROUND(MAX(C8+E8-D8-F8,0),2)</f>
        <v>0</v>
      </c>
      <c r="H8" s="58">
        <f t="shared" ref="H8:H10" si="4">ROUND(MAX(D8+F8-C8-E8,0),2)</f>
        <v>2189482863</v>
      </c>
    </row>
    <row r="9" spans="1:9" s="10" customFormat="1" ht="16.5" customHeight="1">
      <c r="A9" s="6">
        <f t="shared" si="2"/>
        <v>6</v>
      </c>
      <c r="B9" s="45" t="s">
        <v>970</v>
      </c>
      <c r="C9" s="8"/>
      <c r="D9" s="8"/>
      <c r="E9" s="8">
        <f t="array" ref="E9">SUM(IF("331"&amp;B9=KHN&amp;KH,TH))</f>
        <v>13857360</v>
      </c>
      <c r="F9" s="8">
        <f t="array" ref="F9">SUM(IF("331"&amp;B9=KHC&amp;KH,TH))</f>
        <v>13857360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957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28633275</v>
      </c>
      <c r="G10" s="58">
        <f t="shared" si="3"/>
        <v>0</v>
      </c>
      <c r="H10" s="58">
        <f t="shared" si="4"/>
        <v>28633275</v>
      </c>
    </row>
    <row r="11" spans="1:9" s="10" customFormat="1" ht="16.5" customHeight="1">
      <c r="A11" s="6">
        <f t="shared" si="2"/>
        <v>8</v>
      </c>
      <c r="B11" s="45" t="s">
        <v>707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247037970</v>
      </c>
      <c r="G11" s="58">
        <f t="shared" ref="G11:G12" si="5">ROUND(MAX(C11+E11-D11-F11,0),2)</f>
        <v>0</v>
      </c>
      <c r="H11" s="58">
        <f t="shared" ref="H11:H12" si="6">ROUND(MAX(D11+F11-C11-E11,0),2)</f>
        <v>247037970</v>
      </c>
    </row>
    <row r="12" spans="1:9" s="10" customFormat="1" ht="16.5" customHeight="1">
      <c r="A12" s="6">
        <f t="shared" si="2"/>
        <v>9</v>
      </c>
      <c r="B12" s="45" t="s">
        <v>1069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16090679</v>
      </c>
      <c r="G12" s="58">
        <f t="shared" si="5"/>
        <v>0</v>
      </c>
      <c r="H12" s="58">
        <f t="shared" si="6"/>
        <v>16090679</v>
      </c>
    </row>
    <row r="13" spans="1:9" s="10" customFormat="1" ht="16.5" customHeight="1">
      <c r="A13" s="6">
        <f t="shared" si="2"/>
        <v>10</v>
      </c>
      <c r="B13" s="45" t="s">
        <v>1106</v>
      </c>
      <c r="C13" s="8"/>
      <c r="D13" s="8"/>
      <c r="E13" s="8">
        <f t="array" ref="E13">SUM(IF("331"&amp;B13=KHN&amp;KH,TH))</f>
        <v>18253400</v>
      </c>
      <c r="F13" s="8">
        <f t="array" ref="F13">SUM(IF("331"&amp;B13=KHC&amp;KH,TH))</f>
        <v>18253400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>SUM(C4:C14)</f>
        <v>0</v>
      </c>
      <c r="D15" s="13">
        <f>SUM(D4:D14)</f>
        <v>0</v>
      </c>
      <c r="E15" s="13">
        <f>SUM(E4:E14)</f>
        <v>248654760</v>
      </c>
      <c r="F15" s="13">
        <f>SUM(F4:F14)</f>
        <v>2863483379</v>
      </c>
      <c r="G15" s="13">
        <f>SUM(G4:G14)</f>
        <v>0</v>
      </c>
      <c r="H15" s="13">
        <f>SUM(H4:H14)</f>
        <v>2614828619</v>
      </c>
    </row>
    <row r="17" spans="5:6">
      <c r="E17" s="15">
        <f>CDPS!E36</f>
        <v>1898375238</v>
      </c>
      <c r="F17" s="15">
        <f>CDPS!F36</f>
        <v>2863483379</v>
      </c>
    </row>
    <row r="19" spans="5:6">
      <c r="E19" s="192">
        <f>E15-E17</f>
        <v>-1649720478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3" t="s">
        <v>47</v>
      </c>
      <c r="I1" s="1023"/>
      <c r="J1" s="1023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4" t="s">
        <v>48</v>
      </c>
      <c r="I2" s="1024"/>
      <c r="J2" s="1024"/>
    </row>
    <row r="3" spans="1:10" s="3" customFormat="1" ht="14.25" customHeight="1">
      <c r="A3" s="4"/>
      <c r="B3" s="16"/>
      <c r="C3" s="16"/>
      <c r="G3" s="17"/>
      <c r="H3" s="1024"/>
      <c r="I3" s="1024"/>
      <c r="J3" s="1024"/>
    </row>
    <row r="4" spans="1:10" s="5" customFormat="1" ht="28.5" customHeight="1">
      <c r="A4" s="1025" t="s">
        <v>26</v>
      </c>
      <c r="B4" s="1025"/>
      <c r="C4" s="1025"/>
      <c r="D4" s="1025"/>
      <c r="E4" s="1025"/>
      <c r="F4" s="1025"/>
      <c r="G4" s="1025"/>
      <c r="H4" s="1025"/>
      <c r="I4" s="1025"/>
      <c r="J4" s="1025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6" t="s">
        <v>773</v>
      </c>
      <c r="F7" s="1026"/>
      <c r="G7" s="1026"/>
      <c r="H7" s="1026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7"/>
      <c r="D9" s="1027"/>
      <c r="E9" s="1027"/>
      <c r="F9" s="1027"/>
      <c r="G9" s="1027"/>
      <c r="H9" s="1027"/>
      <c r="I9" s="1027"/>
      <c r="J9" s="1027"/>
    </row>
    <row r="10" spans="1:10" s="18" customFormat="1" ht="14.25" customHeight="1">
      <c r="A10" s="993" t="s">
        <v>20</v>
      </c>
      <c r="B10" s="1028" t="s">
        <v>1</v>
      </c>
      <c r="C10" s="1028"/>
      <c r="D10" s="993" t="s">
        <v>0</v>
      </c>
      <c r="E10" s="993" t="s">
        <v>14</v>
      </c>
      <c r="F10" s="993" t="s">
        <v>30</v>
      </c>
      <c r="G10" s="1021" t="s">
        <v>21</v>
      </c>
      <c r="H10" s="1022"/>
      <c r="I10" s="1021" t="s">
        <v>31</v>
      </c>
      <c r="J10" s="1022"/>
    </row>
    <row r="11" spans="1:10" s="18" customFormat="1" ht="24.75" customHeight="1">
      <c r="A11" s="993"/>
      <c r="B11" s="30" t="s">
        <v>15</v>
      </c>
      <c r="C11" s="30" t="s">
        <v>32</v>
      </c>
      <c r="D11" s="993"/>
      <c r="E11" s="993"/>
      <c r="F11" s="9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>
        <f ca="1">IF(ROWS($1:1)&gt;COUNT(Dong),"",OFFSET(TH!C$1,SMALL(Dong,ROWS($1:1)),))</f>
        <v>40996</v>
      </c>
      <c r="B14" s="9" t="str">
        <f ca="1">IF(ROWS($1:1)&gt;COUNT(Dong),"",OFFSET(TH!D$1,SMALL(Dong,ROWS($1:1)),))</f>
        <v>NL/N16</v>
      </c>
      <c r="C14" s="9">
        <f ca="1">IF(ROWS($1:1)&gt;COUNT(Dong),"",OFFSET(TH!E$1,SMALL(Dong,ROWS($1:1)),))</f>
        <v>40996</v>
      </c>
      <c r="D14" s="241" t="str">
        <f ca="1">IF(ROWS($1:1)&gt;COUNT(Dong),"",OFFSET(TH!F$1,SMALL(Dong,ROWS($1:1)),))</f>
        <v>Giấy tấm 3 lớp (125x192)</v>
      </c>
      <c r="E14" s="49" t="str">
        <f ca="1">IF(ROWS($1:1)&gt;COUNT(Dong),"",IF(OFFSET(TH!L$1,SMALL(Dong,ROWS($1:1)),)="331",OFFSET(TH!M$1,SMALL(Dong,ROWS($1:1)),),OFFSET(TH!L$1,SMALL(Dong,ROWS($1:1)),)))</f>
        <v>1521</v>
      </c>
      <c r="F14" s="49"/>
      <c r="G14" s="61">
        <f ca="1">IF(ROWS($1:1)&gt;COUNT(Dong),"",IF(OFFSET(TH!L$1,SMALL(Dong,ROWS($1:1)),)="331",OFFSET(TH!K$1,SMALL(Dong,ROWS($1:1)),),0))</f>
        <v>0</v>
      </c>
      <c r="H14" s="61">
        <f ca="1">IF(ROWS($1:1)&gt;COUNT(Dong),"",IF(OFFSET(TH!M$1,SMALL(Dong,ROWS($1:1)),)="331",OFFSET(TH!K$1,SMALL(Dong,ROWS($1:1)),),0))</f>
        <v>6180000</v>
      </c>
      <c r="I14" s="25">
        <f ca="1">IF(D14&lt;&gt;"",MAX(I13+G14-H14-J13,0),0)</f>
        <v>0</v>
      </c>
      <c r="J14" s="25">
        <f ca="1">IF(D14&lt;&gt;"",MAX(J13+H14-I13-G14,0),0)</f>
        <v>6180000</v>
      </c>
    </row>
    <row r="15" spans="1:10" s="18" customFormat="1" ht="18" customHeight="1">
      <c r="A15" s="9">
        <f ca="1">IF(ROWS($1:2)&gt;COUNT(Dong),"",OFFSET(TH!C$1,SMALL(Dong,ROWS($1:2)),))</f>
        <v>40996</v>
      </c>
      <c r="B15" s="9" t="str">
        <f ca="1">IF(ROWS($1:2)&gt;COUNT(Dong),"",OFFSET(TH!D$1,SMALL(Dong,ROWS($1:2)),))</f>
        <v>NL/N16</v>
      </c>
      <c r="C15" s="9">
        <f ca="1">IF(ROWS($1:2)&gt;COUNT(Dong),"",OFFSET(TH!E$1,SMALL(Dong,ROWS($1:2)),))</f>
        <v>40996</v>
      </c>
      <c r="D15" s="241" t="str">
        <f ca="1">IF(ROWS($1:2)&gt;COUNT(Dong),"",OFFSET(TH!F$1,SMALL(Dong,ROWS($1:2)),))</f>
        <v>Giấy tấm 3 lớp (105x199)</v>
      </c>
      <c r="E15" s="49" t="str">
        <f ca="1">IF(ROWS($1:2)&gt;COUNT(Dong),"",IF(OFFSET(TH!L$1,SMALL(Dong,ROWS($1:2)),)="331",OFFSET(TH!M$1,SMALL(Dong,ROWS($1:2)),),OFFSET(TH!L$1,SMALL(Dong,ROWS($1:2)),)))</f>
        <v>1521</v>
      </c>
      <c r="F15" s="49"/>
      <c r="G15" s="61">
        <f ca="1">IF(ROWS($1:2)&gt;COUNT(Dong),"",IF(OFFSET(TH!L$1,SMALL(Dong,ROWS($1:2)),)="331",OFFSET(TH!K$1,SMALL(Dong,ROWS($1:2)),),0))</f>
        <v>0</v>
      </c>
      <c r="H15" s="61">
        <f ca="1">IF(ROWS($1:2)&gt;COUNT(Dong),"",IF(OFFSET(TH!M$1,SMALL(Dong,ROWS($1:2)),)="331",OFFSET(TH!K$1,SMALL(Dong,ROWS($1:2)),),0))</f>
        <v>1337000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7517000</v>
      </c>
    </row>
    <row r="16" spans="1:10" s="18" customFormat="1" ht="18" customHeight="1">
      <c r="A16" s="9">
        <f ca="1">IF(ROWS($1:3)&gt;COUNT(Dong),"",OFFSET(TH!C$1,SMALL(Dong,ROWS($1:3)),))</f>
        <v>40996</v>
      </c>
      <c r="B16" s="9" t="str">
        <f ca="1">IF(ROWS($1:3)&gt;COUNT(Dong),"",OFFSET(TH!D$1,SMALL(Dong,ROWS($1:3)),))</f>
        <v>NL/N16</v>
      </c>
      <c r="C16" s="9">
        <f ca="1">IF(ROWS($1:3)&gt;COUNT(Dong),"",OFFSET(TH!E$1,SMALL(Dong,ROWS($1:3)),))</f>
        <v>40996</v>
      </c>
      <c r="D16" s="241" t="str">
        <f ca="1">IF(ROWS($1:3)&gt;COUNT(Dong),"",OFFSET(TH!F$1,SMALL(Dong,ROWS($1:3)),))</f>
        <v>Giấy tấm 3 lớp (110x128)</v>
      </c>
      <c r="E16" s="49" t="str">
        <f ca="1">IF(ROWS($1:3)&gt;COUNT(Dong),"",IF(OFFSET(TH!L$1,SMALL(Dong,ROWS($1:3)),)="331",OFFSET(TH!M$1,SMALL(Dong,ROWS($1:3)),),OFFSET(TH!L$1,SMALL(Dong,ROWS($1:3)),)))</f>
        <v>1521</v>
      </c>
      <c r="F16" s="49"/>
      <c r="G16" s="61">
        <f ca="1">IF(ROWS($1:3)&gt;COUNT(Dong),"",IF(OFFSET(TH!L$1,SMALL(Dong,ROWS($1:3)),)="331",OFFSET(TH!K$1,SMALL(Dong,ROWS($1:3)),),0))</f>
        <v>0</v>
      </c>
      <c r="H16" s="61">
        <f ca="1">IF(ROWS($1:3)&gt;COUNT(Dong),"",IF(OFFSET(TH!M$1,SMALL(Dong,ROWS($1:3)),)="331",OFFSET(TH!K$1,SMALL(Dong,ROWS($1:3)),),0))</f>
        <v>10130000</v>
      </c>
      <c r="I16" s="25">
        <f t="shared" ca="1" si="0"/>
        <v>0</v>
      </c>
      <c r="J16" s="25">
        <f t="shared" ca="1" si="1"/>
        <v>17647000</v>
      </c>
    </row>
    <row r="17" spans="1:10" s="18" customFormat="1" ht="18" customHeight="1">
      <c r="A17" s="9">
        <f ca="1">IF(ROWS($1:4)&gt;COUNT(Dong),"",OFFSET(TH!C$1,SMALL(Dong,ROWS($1:4)),))</f>
        <v>40996</v>
      </c>
      <c r="B17" s="9" t="str">
        <f ca="1">IF(ROWS($1:4)&gt;COUNT(Dong),"",OFFSET(TH!D$1,SMALL(Dong,ROWS($1:4)),))</f>
        <v>NL/N16</v>
      </c>
      <c r="C17" s="9">
        <f ca="1">IF(ROWS($1:4)&gt;COUNT(Dong),"",OFFSET(TH!E$1,SMALL(Dong,ROWS($1:4)),))</f>
        <v>40996</v>
      </c>
      <c r="D17" s="241" t="str">
        <f ca="1">IF(ROWS($1:4)&gt;COUNT(Dong),"",OFFSET(TH!F$1,SMALL(Dong,ROWS($1:4)),))</f>
        <v>VAT Giấy tấm 3 lớp</v>
      </c>
      <c r="E17" s="49" t="str">
        <f ca="1">IF(ROWS($1:4)&gt;COUNT(Dong),"",IF(OFFSET(TH!L$1,SMALL(Dong,ROWS($1:4)),)="331",OFFSET(TH!M$1,SMALL(Dong,ROWS($1:4)),),OFFSET(TH!L$1,SMALL(Dong,ROWS($1:4)),)))</f>
        <v>1331</v>
      </c>
      <c r="F17" s="49"/>
      <c r="G17" s="61">
        <f ca="1">IF(ROWS($1:4)&gt;COUNT(Dong),"",IF(OFFSET(TH!L$1,SMALL(Dong,ROWS($1:4)),)="331",OFFSET(TH!K$1,SMALL(Dong,ROWS($1:4)),),0))</f>
        <v>0</v>
      </c>
      <c r="H17" s="61">
        <f ca="1">IF(ROWS($1:4)&gt;COUNT(Dong),"",IF(OFFSET(TH!M$1,SMALL(Dong,ROWS($1:4)),)="331",OFFSET(TH!K$1,SMALL(Dong,ROWS($1:4)),),0))</f>
        <v>1764700</v>
      </c>
      <c r="I17" s="25">
        <f t="shared" ca="1" si="0"/>
        <v>0</v>
      </c>
      <c r="J17" s="25">
        <f t="shared" ca="1" si="1"/>
        <v>19411700</v>
      </c>
    </row>
    <row r="18" spans="1:10" s="18" customFormat="1" ht="18" customHeight="1">
      <c r="A18" s="9">
        <f ca="1">IF(ROWS($1:5)&gt;COUNT(Dong),"",OFFSET(TH!C$1,SMALL(Dong,ROWS($1:5)),))</f>
        <v>41059</v>
      </c>
      <c r="B18" s="9" t="str">
        <f ca="1">IF(ROWS($1:5)&gt;COUNT(Dong),"",OFFSET(TH!D$1,SMALL(Dong,ROWS($1:5)),))</f>
        <v>NL/N24</v>
      </c>
      <c r="C18" s="9">
        <f ca="1">IF(ROWS($1:5)&gt;COUNT(Dong),"",OFFSET(TH!E$1,SMALL(Dong,ROWS($1:5)),))</f>
        <v>41059</v>
      </c>
      <c r="D18" s="241" t="str">
        <f ca="1">IF(ROWS($1:5)&gt;COUNT(Dong),"",OFFSET(TH!F$1,SMALL(Dong,ROWS($1:5)),))</f>
        <v>Giấy tấm 3 lớp (85x202)</v>
      </c>
      <c r="E18" s="49" t="str">
        <f ca="1">IF(ROWS($1:5)&gt;COUNT(Dong),"",IF(OFFSET(TH!L$1,SMALL(Dong,ROWS($1:5)),)="331",OFFSET(TH!M$1,SMALL(Dong,ROWS($1:5)),),OFFSET(TH!L$1,SMALL(Dong,ROWS($1:5)),)))</f>
        <v>1521</v>
      </c>
      <c r="F18" s="49"/>
      <c r="G18" s="61">
        <f ca="1">IF(ROWS($1:5)&gt;COUNT(Dong),"",IF(OFFSET(TH!L$1,SMALL(Dong,ROWS($1:5)),)="331",OFFSET(TH!K$1,SMALL(Dong,ROWS($1:5)),),0))</f>
        <v>0</v>
      </c>
      <c r="H18" s="61">
        <f ca="1">IF(ROWS($1:5)&gt;COUNT(Dong),"",IF(OFFSET(TH!M$1,SMALL(Dong,ROWS($1:5)),)="331",OFFSET(TH!K$1,SMALL(Dong,ROWS($1:5)),),0))</f>
        <v>3090600</v>
      </c>
      <c r="I18" s="25">
        <f t="shared" ca="1" si="0"/>
        <v>0</v>
      </c>
      <c r="J18" s="25">
        <f t="shared" ca="1" si="1"/>
        <v>22502300</v>
      </c>
    </row>
    <row r="19" spans="1:10" s="18" customFormat="1" ht="18" customHeight="1">
      <c r="A19" s="9">
        <f ca="1">IF(ROWS($1:6)&gt;COUNT(Dong),"",OFFSET(TH!C$1,SMALL(Dong,ROWS($1:6)),))</f>
        <v>41059</v>
      </c>
      <c r="B19" s="9" t="str">
        <f ca="1">IF(ROWS($1:6)&gt;COUNT(Dong),"",OFFSET(TH!D$1,SMALL(Dong,ROWS($1:6)),))</f>
        <v>NL/N24</v>
      </c>
      <c r="C19" s="9">
        <f ca="1">IF(ROWS($1:6)&gt;COUNT(Dong),"",OFFSET(TH!E$1,SMALL(Dong,ROWS($1:6)),))</f>
        <v>41059</v>
      </c>
      <c r="D19" s="241" t="str">
        <f ca="1">IF(ROWS($1:6)&gt;COUNT(Dong),"",OFFSET(TH!F$1,SMALL(Dong,ROWS($1:6)),))</f>
        <v>Giấy tấm 3 lớp (75x192)</v>
      </c>
      <c r="E19" s="49" t="str">
        <f ca="1">IF(ROWS($1:6)&gt;COUNT(Dong),"",IF(OFFSET(TH!L$1,SMALL(Dong,ROWS($1:6)),)="331",OFFSET(TH!M$1,SMALL(Dong,ROWS($1:6)),),OFFSET(TH!L$1,SMALL(Dong,ROWS($1:6)),)))</f>
        <v>1521</v>
      </c>
      <c r="F19" s="49"/>
      <c r="G19" s="61">
        <f ca="1">IF(ROWS($1:6)&gt;COUNT(Dong),"",IF(OFFSET(TH!L$1,SMALL(Dong,ROWS($1:6)),)="331",OFFSET(TH!K$1,SMALL(Dong,ROWS($1:6)),),0))</f>
        <v>0</v>
      </c>
      <c r="H19" s="61">
        <f ca="1">IF(ROWS($1:6)&gt;COUNT(Dong),"",IF(OFFSET(TH!M$1,SMALL(Dong,ROWS($1:6)),)="331",OFFSET(TH!K$1,SMALL(Dong,ROWS($1:6)),),0))</f>
        <v>2592000</v>
      </c>
      <c r="I19" s="25">
        <f t="shared" ca="1" si="0"/>
        <v>0</v>
      </c>
      <c r="J19" s="25">
        <f t="shared" ca="1" si="1"/>
        <v>25094300</v>
      </c>
    </row>
    <row r="20" spans="1:10" s="18" customFormat="1" ht="18" customHeight="1">
      <c r="A20" s="9">
        <f ca="1">IF(ROWS($1:7)&gt;COUNT(Dong),"",OFFSET(TH!C$1,SMALL(Dong,ROWS($1:7)),))</f>
        <v>41059</v>
      </c>
      <c r="B20" s="9" t="str">
        <f ca="1">IF(ROWS($1:7)&gt;COUNT(Dong),"",OFFSET(TH!D$1,SMALL(Dong,ROWS($1:7)),))</f>
        <v>NL/N24</v>
      </c>
      <c r="C20" s="9">
        <f ca="1">IF(ROWS($1:7)&gt;COUNT(Dong),"",OFFSET(TH!E$1,SMALL(Dong,ROWS($1:7)),))</f>
        <v>41059</v>
      </c>
      <c r="D20" s="241" t="str">
        <f ca="1">IF(ROWS($1:7)&gt;COUNT(Dong),"",OFFSET(TH!F$1,SMALL(Dong,ROWS($1:7)),))</f>
        <v>Giấy tấm 3 lớp (110x161)</v>
      </c>
      <c r="E20" s="49" t="str">
        <f ca="1">IF(ROWS($1:7)&gt;COUNT(Dong),"",IF(OFFSET(TH!L$1,SMALL(Dong,ROWS($1:7)),)="331",OFFSET(TH!M$1,SMALL(Dong,ROWS($1:7)),),OFFSET(TH!L$1,SMALL(Dong,ROWS($1:7)),)))</f>
        <v>1521</v>
      </c>
      <c r="F20" s="49"/>
      <c r="G20" s="61">
        <f ca="1">IF(ROWS($1:7)&gt;COUNT(Dong),"",IF(OFFSET(TH!L$1,SMALL(Dong,ROWS($1:7)),)="331",OFFSET(TH!K$1,SMALL(Dong,ROWS($1:7)),),0))</f>
        <v>0</v>
      </c>
      <c r="H20" s="61">
        <f ca="1">IF(ROWS($1:7)&gt;COUNT(Dong),"",IF(OFFSET(TH!M$1,SMALL(Dong,ROWS($1:7)),)="331",OFFSET(TH!K$1,SMALL(Dong,ROWS($1:7)),),0))</f>
        <v>4781700</v>
      </c>
      <c r="I20" s="25">
        <f t="shared" ca="1" si="0"/>
        <v>0</v>
      </c>
      <c r="J20" s="25">
        <f t="shared" ca="1" si="1"/>
        <v>29876000</v>
      </c>
    </row>
    <row r="21" spans="1:10" s="18" customFormat="1" ht="18" customHeight="1">
      <c r="A21" s="9">
        <f ca="1">IF(ROWS($1:8)&gt;COUNT(Dong),"",OFFSET(TH!C$1,SMALL(Dong,ROWS($1:8)),))</f>
        <v>41059</v>
      </c>
      <c r="B21" s="9" t="str">
        <f ca="1">IF(ROWS($1:8)&gt;COUNT(Dong),"",OFFSET(TH!D$1,SMALL(Dong,ROWS($1:8)),))</f>
        <v>NL/N24</v>
      </c>
      <c r="C21" s="9">
        <f ca="1">IF(ROWS($1:8)&gt;COUNT(Dong),"",OFFSET(TH!E$1,SMALL(Dong,ROWS($1:8)),))</f>
        <v>41059</v>
      </c>
      <c r="D21" s="241" t="str">
        <f ca="1">IF(ROWS($1:8)&gt;COUNT(Dong),"",OFFSET(TH!F$1,SMALL(Dong,ROWS($1:8)),))</f>
        <v>Giấy tấm 3 lớp (135x174)</v>
      </c>
      <c r="E21" s="49" t="str">
        <f ca="1">IF(ROWS($1:8)&gt;COUNT(Dong),"",IF(OFFSET(TH!L$1,SMALL(Dong,ROWS($1:8)),)="331",OFFSET(TH!M$1,SMALL(Dong,ROWS($1:8)),),OFFSET(TH!L$1,SMALL(Dong,ROWS($1:8)),)))</f>
        <v>1521</v>
      </c>
      <c r="F21" s="49"/>
      <c r="G21" s="61">
        <f ca="1">IF(ROWS($1:8)&gt;COUNT(Dong),"",IF(OFFSET(TH!L$1,SMALL(Dong,ROWS($1:8)),)="331",OFFSET(TH!K$1,SMALL(Dong,ROWS($1:8)),),0))</f>
        <v>0</v>
      </c>
      <c r="H21" s="61">
        <f ca="1">IF(ROWS($1:8)&gt;COUNT(Dong),"",IF(OFFSET(TH!M$1,SMALL(Dong,ROWS($1:8)),)="331",OFFSET(TH!K$1,SMALL(Dong,ROWS($1:8)),),0))</f>
        <v>2114100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31990100</v>
      </c>
    </row>
    <row r="22" spans="1:10" s="18" customFormat="1" ht="18" customHeight="1">
      <c r="A22" s="9">
        <f ca="1">IF(ROWS($1:9)&gt;COUNT(Dong),"",OFFSET(TH!C$1,SMALL(Dong,ROWS($1:9)),))</f>
        <v>41059</v>
      </c>
      <c r="B22" s="9" t="str">
        <f ca="1">IF(ROWS($1:9)&gt;COUNT(Dong),"",OFFSET(TH!D$1,SMALL(Dong,ROWS($1:9)),))</f>
        <v>NL/N24</v>
      </c>
      <c r="C22" s="9">
        <f ca="1">IF(ROWS($1:9)&gt;COUNT(Dong),"",OFFSET(TH!E$1,SMALL(Dong,ROWS($1:9)),))</f>
        <v>41059</v>
      </c>
      <c r="D22" s="241" t="str">
        <f ca="1">IF(ROWS($1:9)&gt;COUNT(Dong),"",OFFSET(TH!F$1,SMALL(Dong,ROWS($1:9)),))</f>
        <v>Giấy tấm 3 lớp (100x157)</v>
      </c>
      <c r="E22" s="49" t="str">
        <f ca="1">IF(ROWS($1:9)&gt;COUNT(Dong),"",IF(OFFSET(TH!L$1,SMALL(Dong,ROWS($1:9)),)="331",OFFSET(TH!M$1,SMALL(Dong,ROWS($1:9)),),OFFSET(TH!L$1,SMALL(Dong,ROWS($1:9)),)))</f>
        <v>1521</v>
      </c>
      <c r="F22" s="49"/>
      <c r="G22" s="61">
        <f ca="1">IF(ROWS($1:9)&gt;COUNT(Dong),"",IF(OFFSET(TH!L$1,SMALL(Dong,ROWS($1:9)),)="331",OFFSET(TH!K$1,SMALL(Dong,ROWS($1:9)),),0))</f>
        <v>0</v>
      </c>
      <c r="H22" s="61">
        <f ca="1">IF(ROWS($1:9)&gt;COUNT(Dong),"",IF(OFFSET(TH!M$1,SMALL(Dong,ROWS($1:9)),)="331",OFFSET(TH!K$1,SMALL(Dong,ROWS($1:9)),),0))</f>
        <v>5369400</v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37359500</v>
      </c>
    </row>
    <row r="23" spans="1:10" s="18" customFormat="1" ht="18" customHeight="1">
      <c r="A23" s="9">
        <f ca="1">IF(ROWS($1:10)&gt;COUNT(Dong),"",OFFSET(TH!C$1,SMALL(Dong,ROWS($1:10)),))</f>
        <v>41059</v>
      </c>
      <c r="B23" s="9" t="str">
        <f ca="1">IF(ROWS($1:10)&gt;COUNT(Dong),"",OFFSET(TH!D$1,SMALL(Dong,ROWS($1:10)),))</f>
        <v>NL/N24</v>
      </c>
      <c r="C23" s="9">
        <f ca="1">IF(ROWS($1:10)&gt;COUNT(Dong),"",OFFSET(TH!E$1,SMALL(Dong,ROWS($1:10)),))</f>
        <v>41059</v>
      </c>
      <c r="D23" s="241" t="str">
        <f ca="1">IF(ROWS($1:10)&gt;COUNT(Dong),"",OFFSET(TH!F$1,SMALL(Dong,ROWS($1:10)),))</f>
        <v>VAT Giấy tấm 3 lớp</v>
      </c>
      <c r="E23" s="49" t="str">
        <f ca="1">IF(ROWS($1:10)&gt;COUNT(Dong),"",IF(OFFSET(TH!L$1,SMALL(Dong,ROWS($1:10)),)="331",OFFSET(TH!M$1,SMALL(Dong,ROWS($1:10)),),OFFSET(TH!L$1,SMALL(Dong,ROWS($1:10)),)))</f>
        <v>1331</v>
      </c>
      <c r="F23" s="49"/>
      <c r="G23" s="61">
        <f ca="1">IF(ROWS($1:10)&gt;COUNT(Dong),"",IF(OFFSET(TH!L$1,SMALL(Dong,ROWS($1:10)),)="331",OFFSET(TH!K$1,SMALL(Dong,ROWS($1:10)),),0))</f>
        <v>0</v>
      </c>
      <c r="H23" s="61">
        <f ca="1">IF(ROWS($1:10)&gt;COUNT(Dong),"",IF(OFFSET(TH!M$1,SMALL(Dong,ROWS($1:10)),)="331",OFFSET(TH!K$1,SMALL(Dong,ROWS($1:10)),),0))</f>
        <v>1794780</v>
      </c>
      <c r="I23" s="25">
        <f t="shared" ca="1" si="4"/>
        <v>0</v>
      </c>
      <c r="J23" s="25">
        <f t="shared" ca="1" si="5"/>
        <v>39154280</v>
      </c>
    </row>
    <row r="24" spans="1:10" s="18" customFormat="1" ht="18" customHeight="1">
      <c r="A24" s="9">
        <f ca="1">IF(ROWS($1:11)&gt;COUNT(Dong),"",OFFSET(TH!C$1,SMALL(Dong,ROWS($1:11)),))</f>
        <v>41060</v>
      </c>
      <c r="B24" s="9" t="str">
        <f ca="1">IF(ROWS($1:11)&gt;COUNT(Dong),"",OFFSET(TH!D$1,SMALL(Dong,ROWS($1:11)),))</f>
        <v>NL/N27</v>
      </c>
      <c r="C24" s="9">
        <f ca="1">IF(ROWS($1:11)&gt;COUNT(Dong),"",OFFSET(TH!E$1,SMALL(Dong,ROWS($1:11)),))</f>
        <v>41060</v>
      </c>
      <c r="D24" s="241" t="str">
        <f ca="1">IF(ROWS($1:11)&gt;COUNT(Dong),"",OFFSET(TH!F$1,SMALL(Dong,ROWS($1:11)),))</f>
        <v>Giấy tấm 3 lớp (100x157)</v>
      </c>
      <c r="E24" s="49" t="str">
        <f ca="1">IF(ROWS($1:11)&gt;COUNT(Dong),"",IF(OFFSET(TH!L$1,SMALL(Dong,ROWS($1:11)),)="331",OFFSET(TH!M$1,SMALL(Dong,ROWS($1:11)),),OFFSET(TH!L$1,SMALL(Dong,ROWS($1:11)),)))</f>
        <v>1521</v>
      </c>
      <c r="F24" s="49"/>
      <c r="G24" s="61">
        <f ca="1">IF(ROWS($1:11)&gt;COUNT(Dong),"",IF(OFFSET(TH!L$1,SMALL(Dong,ROWS($1:11)),)="331",OFFSET(TH!K$1,SMALL(Dong,ROWS($1:11)),),0))</f>
        <v>0</v>
      </c>
      <c r="H24" s="61">
        <f ca="1">IF(ROWS($1:11)&gt;COUNT(Dong),"",IF(OFFSET(TH!M$1,SMALL(Dong,ROWS($1:11)),)="331",OFFSET(TH!K$1,SMALL(Dong,ROWS($1:11)),),0))</f>
        <v>753600</v>
      </c>
      <c r="I24" s="25">
        <f t="shared" ca="1" si="4"/>
        <v>0</v>
      </c>
      <c r="J24" s="25">
        <f t="shared" ca="1" si="5"/>
        <v>39907880</v>
      </c>
    </row>
    <row r="25" spans="1:10" s="18" customFormat="1" ht="18" customHeight="1">
      <c r="A25" s="9">
        <f ca="1">IF(ROWS($1:12)&gt;COUNT(Dong),"",OFFSET(TH!C$1,SMALL(Dong,ROWS($1:12)),))</f>
        <v>41060</v>
      </c>
      <c r="B25" s="9" t="str">
        <f ca="1">IF(ROWS($1:12)&gt;COUNT(Dong),"",OFFSET(TH!D$1,SMALL(Dong,ROWS($1:12)),))</f>
        <v>NL/N27</v>
      </c>
      <c r="C25" s="9">
        <f ca="1">IF(ROWS($1:12)&gt;COUNT(Dong),"",OFFSET(TH!E$1,SMALL(Dong,ROWS($1:12)),))</f>
        <v>41060</v>
      </c>
      <c r="D25" s="241" t="str">
        <f ca="1">IF(ROWS($1:12)&gt;COUNT(Dong),"",OFFSET(TH!F$1,SMALL(Dong,ROWS($1:12)),))</f>
        <v>Giấy tấm 3 lớp (140x180)</v>
      </c>
      <c r="E25" s="49" t="str">
        <f ca="1">IF(ROWS($1:12)&gt;COUNT(Dong),"",IF(OFFSET(TH!L$1,SMALL(Dong,ROWS($1:12)),)="331",OFFSET(TH!M$1,SMALL(Dong,ROWS($1:12)),),OFFSET(TH!L$1,SMALL(Dong,ROWS($1:12)),)))</f>
        <v>1521</v>
      </c>
      <c r="F25" s="49"/>
      <c r="G25" s="61">
        <f ca="1">IF(ROWS($1:12)&gt;COUNT(Dong),"",IF(OFFSET(TH!L$1,SMALL(Dong,ROWS($1:12)),)="331",OFFSET(TH!K$1,SMALL(Dong,ROWS($1:12)),),0))</f>
        <v>0</v>
      </c>
      <c r="H25" s="61">
        <f ca="1">IF(ROWS($1:12)&gt;COUNT(Dong),"",IF(OFFSET(TH!M$1,SMALL(Dong,ROWS($1:12)),)="331",OFFSET(TH!K$1,SMALL(Dong,ROWS($1:12)),),0))</f>
        <v>2721600</v>
      </c>
      <c r="I25" s="25">
        <f t="shared" ca="1" si="4"/>
        <v>0</v>
      </c>
      <c r="J25" s="25">
        <f t="shared" ca="1" si="5"/>
        <v>42629480</v>
      </c>
    </row>
    <row r="26" spans="1:10" s="18" customFormat="1" ht="18" customHeight="1">
      <c r="A26" s="9">
        <f ca="1">IF(ROWS($1:13)&gt;COUNT(Dong),"",OFFSET(TH!C$1,SMALL(Dong,ROWS($1:13)),))</f>
        <v>41060</v>
      </c>
      <c r="B26" s="9" t="str">
        <f ca="1">IF(ROWS($1:13)&gt;COUNT(Dong),"",OFFSET(TH!D$1,SMALL(Dong,ROWS($1:13)),))</f>
        <v>NL/N27</v>
      </c>
      <c r="C26" s="9">
        <f ca="1">IF(ROWS($1:13)&gt;COUNT(Dong),"",OFFSET(TH!E$1,SMALL(Dong,ROWS($1:13)),))</f>
        <v>41060</v>
      </c>
      <c r="D26" s="241" t="str">
        <f ca="1">IF(ROWS($1:13)&gt;COUNT(Dong),"",OFFSET(TH!F$1,SMALL(Dong,ROWS($1:13)),))</f>
        <v>Giấy tấm 3 lớp (85x230)</v>
      </c>
      <c r="E26" s="49" t="str">
        <f ca="1">IF(ROWS($1:13)&gt;COUNT(Dong),"",IF(OFFSET(TH!L$1,SMALL(Dong,ROWS($1:13)),)="331",OFFSET(TH!M$1,SMALL(Dong,ROWS($1:13)),),OFFSET(TH!L$1,SMALL(Dong,ROWS($1:13)),)))</f>
        <v>1521</v>
      </c>
      <c r="F26" s="49"/>
      <c r="G26" s="61">
        <f ca="1">IF(ROWS($1:13)&gt;COUNT(Dong),"",IF(OFFSET(TH!L$1,SMALL(Dong,ROWS($1:13)),)="331",OFFSET(TH!K$1,SMALL(Dong,ROWS($1:13)),),0))</f>
        <v>0</v>
      </c>
      <c r="H26" s="61">
        <f ca="1">IF(ROWS($1:13)&gt;COUNT(Dong),"",IF(OFFSET(TH!M$1,SMALL(Dong,ROWS($1:13)),)="331",OFFSET(TH!K$1,SMALL(Dong,ROWS($1:13)),),0))</f>
        <v>1173000</v>
      </c>
      <c r="I26" s="25">
        <f t="shared" ca="1" si="4"/>
        <v>0</v>
      </c>
      <c r="J26" s="25">
        <f t="shared" ca="1" si="5"/>
        <v>43802480</v>
      </c>
    </row>
    <row r="27" spans="1:10" s="18" customFormat="1" ht="18" customHeight="1">
      <c r="A27" s="9">
        <f ca="1">IF(ROWS($1:14)&gt;COUNT(Dong),"",OFFSET(TH!C$1,SMALL(Dong,ROWS($1:14)),))</f>
        <v>41060</v>
      </c>
      <c r="B27" s="9" t="str">
        <f ca="1">IF(ROWS($1:14)&gt;COUNT(Dong),"",OFFSET(TH!D$1,SMALL(Dong,ROWS($1:14)),))</f>
        <v>NL/N27</v>
      </c>
      <c r="C27" s="9">
        <f ca="1">IF(ROWS($1:14)&gt;COUNT(Dong),"",OFFSET(TH!E$1,SMALL(Dong,ROWS($1:14)),))</f>
        <v>41060</v>
      </c>
      <c r="D27" s="241" t="str">
        <f ca="1">IF(ROWS($1:14)&gt;COUNT(Dong),"",OFFSET(TH!F$1,SMALL(Dong,ROWS($1:14)),))</f>
        <v>Giấy tấm 3 lớp (110x183)</v>
      </c>
      <c r="E27" s="49" t="str">
        <f ca="1">IF(ROWS($1:14)&gt;COUNT(Dong),"",IF(OFFSET(TH!L$1,SMALL(Dong,ROWS($1:14)),)="331",OFFSET(TH!M$1,SMALL(Dong,ROWS($1:14)),),OFFSET(TH!L$1,SMALL(Dong,ROWS($1:14)),)))</f>
        <v>1521</v>
      </c>
      <c r="F27" s="49"/>
      <c r="G27" s="61">
        <f ca="1">IF(ROWS($1:14)&gt;COUNT(Dong),"",IF(OFFSET(TH!L$1,SMALL(Dong,ROWS($1:14)),)="331",OFFSET(TH!K$1,SMALL(Dong,ROWS($1:14)),),0))</f>
        <v>0</v>
      </c>
      <c r="H27" s="61">
        <f ca="1">IF(ROWS($1:14)&gt;COUNT(Dong),"",IF(OFFSET(TH!M$1,SMALL(Dong,ROWS($1:14)),)="331",OFFSET(TH!K$1,SMALL(Dong,ROWS($1:14)),),0))</f>
        <v>6743550</v>
      </c>
      <c r="I27" s="25">
        <f t="shared" ca="1" si="4"/>
        <v>0</v>
      </c>
      <c r="J27" s="25">
        <f t="shared" ca="1" si="5"/>
        <v>50546030</v>
      </c>
    </row>
    <row r="28" spans="1:10" s="18" customFormat="1" ht="18" customHeight="1">
      <c r="A28" s="9">
        <f ca="1">IF(ROWS($1:15)&gt;COUNT(Dong),"",OFFSET(TH!C$1,SMALL(Dong,ROWS($1:15)),))</f>
        <v>41060</v>
      </c>
      <c r="B28" s="9" t="str">
        <f ca="1">IF(ROWS($1:15)&gt;COUNT(Dong),"",OFFSET(TH!D$1,SMALL(Dong,ROWS($1:15)),))</f>
        <v>NL/N27</v>
      </c>
      <c r="C28" s="9">
        <f ca="1">IF(ROWS($1:15)&gt;COUNT(Dong),"",OFFSET(TH!E$1,SMALL(Dong,ROWS($1:15)),))</f>
        <v>41060</v>
      </c>
      <c r="D28" s="241" t="str">
        <f ca="1">IF(ROWS($1:15)&gt;COUNT(Dong),"",OFFSET(TH!F$1,SMALL(Dong,ROWS($1:15)),))</f>
        <v>Giấy tấm 3 lớp (80x108)</v>
      </c>
      <c r="E28" s="49" t="str">
        <f ca="1">IF(ROWS($1:15)&gt;COUNT(Dong),"",IF(OFFSET(TH!L$1,SMALL(Dong,ROWS($1:15)),)="331",OFFSET(TH!M$1,SMALL(Dong,ROWS($1:15)),),OFFSET(TH!L$1,SMALL(Dong,ROWS($1:15)),)))</f>
        <v>1521</v>
      </c>
      <c r="F28" s="49"/>
      <c r="G28" s="61">
        <f ca="1">IF(ROWS($1:15)&gt;COUNT(Dong),"",IF(OFFSET(TH!L$1,SMALL(Dong,ROWS($1:15)),)="331",OFFSET(TH!K$1,SMALL(Dong,ROWS($1:15)),),0))</f>
        <v>0</v>
      </c>
      <c r="H28" s="61">
        <f ca="1">IF(ROWS($1:15)&gt;COUNT(Dong),"",IF(OFFSET(TH!M$1,SMALL(Dong,ROWS($1:15)),)="331",OFFSET(TH!K$1,SMALL(Dong,ROWS($1:15)),),0))</f>
        <v>3110400</v>
      </c>
      <c r="I28" s="25">
        <f t="shared" ca="1" si="4"/>
        <v>0</v>
      </c>
      <c r="J28" s="25">
        <f t="shared" ca="1" si="5"/>
        <v>53656430</v>
      </c>
    </row>
    <row r="29" spans="1:10" s="18" customFormat="1" ht="18" customHeight="1">
      <c r="A29" s="9">
        <f ca="1">IF(ROWS($1:16)&gt;COUNT(Dong),"",OFFSET(TH!C$1,SMALL(Dong,ROWS($1:16)),))</f>
        <v>41060</v>
      </c>
      <c r="B29" s="9" t="str">
        <f ca="1">IF(ROWS($1:16)&gt;COUNT(Dong),"",OFFSET(TH!D$1,SMALL(Dong,ROWS($1:16)),))</f>
        <v>NL/N27</v>
      </c>
      <c r="C29" s="9">
        <f ca="1">IF(ROWS($1:16)&gt;COUNT(Dong),"",OFFSET(TH!E$1,SMALL(Dong,ROWS($1:16)),))</f>
        <v>41060</v>
      </c>
      <c r="D29" s="241" t="str">
        <f ca="1">IF(ROWS($1:16)&gt;COUNT(Dong),"",OFFSET(TH!F$1,SMALL(Dong,ROWS($1:16)),))</f>
        <v>Giấy tấm 5 lớp (90x128)</v>
      </c>
      <c r="E29" s="49" t="str">
        <f ca="1">IF(ROWS($1:16)&gt;COUNT(Dong),"",IF(OFFSET(TH!L$1,SMALL(Dong,ROWS($1:16)),)="331",OFFSET(TH!M$1,SMALL(Dong,ROWS($1:16)),),OFFSET(TH!L$1,SMALL(Dong,ROWS($1:16)),)))</f>
        <v>1521</v>
      </c>
      <c r="F29" s="49"/>
      <c r="G29" s="61">
        <f ca="1">IF(ROWS($1:16)&gt;COUNT(Dong),"",IF(OFFSET(TH!L$1,SMALL(Dong,ROWS($1:16)),)="331",OFFSET(TH!K$1,SMALL(Dong,ROWS($1:16)),),0))</f>
        <v>0</v>
      </c>
      <c r="H29" s="61">
        <f ca="1">IF(ROWS($1:16)&gt;COUNT(Dong),"",IF(OFFSET(TH!M$1,SMALL(Dong,ROWS($1:16)),)="331",OFFSET(TH!K$1,SMALL(Dong,ROWS($1:16)),),0))</f>
        <v>2211840</v>
      </c>
      <c r="I29" s="25">
        <f t="shared" ca="1" si="4"/>
        <v>0</v>
      </c>
      <c r="J29" s="25">
        <f t="shared" ca="1" si="5"/>
        <v>55868270</v>
      </c>
    </row>
    <row r="30" spans="1:10" s="18" customFormat="1" ht="18" customHeight="1">
      <c r="A30" s="9">
        <f ca="1">IF(ROWS($1:17)&gt;COUNT(Dong),"",OFFSET(TH!C$1,SMALL(Dong,ROWS($1:17)),))</f>
        <v>41060</v>
      </c>
      <c r="B30" s="9" t="str">
        <f ca="1">IF(ROWS($1:17)&gt;COUNT(Dong),"",OFFSET(TH!D$1,SMALL(Dong,ROWS($1:17)),))</f>
        <v>NL/N27</v>
      </c>
      <c r="C30" s="9">
        <f ca="1">IF(ROWS($1:17)&gt;COUNT(Dong),"",OFFSET(TH!E$1,SMALL(Dong,ROWS($1:17)),))</f>
        <v>41060</v>
      </c>
      <c r="D30" s="241" t="str">
        <f ca="1">IF(ROWS($1:17)&gt;COUNT(Dong),"",OFFSET(TH!F$1,SMALL(Dong,ROWS($1:17)),))</f>
        <v>Giấy tấm 5 lớp (80x124)</v>
      </c>
      <c r="E30" s="49" t="str">
        <f ca="1">IF(ROWS($1:17)&gt;COUNT(Dong),"",IF(OFFSET(TH!L$1,SMALL(Dong,ROWS($1:17)),)="331",OFFSET(TH!M$1,SMALL(Dong,ROWS($1:17)),),OFFSET(TH!L$1,SMALL(Dong,ROWS($1:17)),)))</f>
        <v>1521</v>
      </c>
      <c r="F30" s="49"/>
      <c r="G30" s="61">
        <f ca="1">IF(ROWS($1:17)&gt;COUNT(Dong),"",IF(OFFSET(TH!L$1,SMALL(Dong,ROWS($1:17)),)="331",OFFSET(TH!K$1,SMALL(Dong,ROWS($1:17)),),0))</f>
        <v>0</v>
      </c>
      <c r="H30" s="61">
        <f ca="1">IF(ROWS($1:17)&gt;COUNT(Dong),"",IF(OFFSET(TH!M$1,SMALL(Dong,ROWS($1:17)),)="331",OFFSET(TH!K$1,SMALL(Dong,ROWS($1:17)),),0))</f>
        <v>1428480</v>
      </c>
      <c r="I30" s="25">
        <f t="shared" ca="1" si="4"/>
        <v>0</v>
      </c>
      <c r="J30" s="25">
        <f t="shared" ca="1" si="5"/>
        <v>57296750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57296750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57296750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28/3/ 2012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1" t="s">
        <v>155</v>
      </c>
      <c r="F37" s="981"/>
      <c r="G37" s="981"/>
      <c r="H37" s="981"/>
      <c r="I37" s="981"/>
      <c r="J37" s="981"/>
    </row>
    <row r="38" spans="1:11" s="18" customFormat="1" ht="14.25" customHeight="1">
      <c r="C38" s="229" t="s">
        <v>11</v>
      </c>
      <c r="E38" s="981" t="s">
        <v>12</v>
      </c>
      <c r="F38" s="981"/>
      <c r="G38" s="981"/>
      <c r="H38" s="981"/>
      <c r="I38" s="981"/>
      <c r="J38" s="981"/>
    </row>
    <row r="39" spans="1:11" s="18" customFormat="1" ht="14.25" customHeight="1">
      <c r="C39" s="229" t="s">
        <v>13</v>
      </c>
      <c r="E39" s="981" t="s">
        <v>13</v>
      </c>
      <c r="F39" s="981"/>
      <c r="G39" s="981"/>
      <c r="H39" s="981"/>
      <c r="I39" s="981"/>
      <c r="J39" s="981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4" t="s">
        <v>156</v>
      </c>
      <c r="B1" s="1014"/>
      <c r="C1" s="1014"/>
      <c r="D1" s="1014"/>
      <c r="E1" s="1014"/>
      <c r="F1" s="1014"/>
      <c r="G1" s="1014"/>
      <c r="H1" s="1014"/>
      <c r="I1" s="1014"/>
      <c r="J1" s="1014"/>
    </row>
    <row r="2" spans="1:10" s="10" customFormat="1" ht="15.75" customHeight="1">
      <c r="A2" s="1015" t="s">
        <v>35</v>
      </c>
      <c r="B2" s="1017" t="s">
        <v>157</v>
      </c>
      <c r="C2" s="1017" t="s">
        <v>158</v>
      </c>
      <c r="D2" s="1017" t="s">
        <v>159</v>
      </c>
      <c r="E2" s="1019" t="s">
        <v>37</v>
      </c>
      <c r="F2" s="1020"/>
      <c r="G2" s="1019" t="s">
        <v>38</v>
      </c>
      <c r="H2" s="1020"/>
      <c r="I2" s="1019" t="s">
        <v>42</v>
      </c>
      <c r="J2" s="1020"/>
    </row>
    <row r="3" spans="1:10" s="10" customFormat="1" ht="15.75" customHeight="1">
      <c r="A3" s="1016"/>
      <c r="B3" s="1018"/>
      <c r="C3" s="1018"/>
      <c r="D3" s="1018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497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498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499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500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501</v>
      </c>
      <c r="G6" s="777"/>
      <c r="H6" s="777"/>
      <c r="I6" s="777"/>
    </row>
    <row r="7" spans="1:15" s="18" customFormat="1">
      <c r="F7" s="820" t="s">
        <v>502</v>
      </c>
      <c r="G7" s="779"/>
    </row>
    <row r="8" spans="1:15" s="18" customFormat="1" ht="15" customHeight="1">
      <c r="F8" s="820" t="s">
        <v>503</v>
      </c>
      <c r="G8" s="779"/>
    </row>
    <row r="9" spans="1:15" s="18" customFormat="1">
      <c r="A9" s="764"/>
      <c r="B9" s="764"/>
      <c r="C9" s="764"/>
      <c r="E9" s="767" t="s">
        <v>504</v>
      </c>
      <c r="F9" s="1029" t="s">
        <v>449</v>
      </c>
      <c r="G9" s="1029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505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30" t="s">
        <v>506</v>
      </c>
      <c r="B12" s="1032" t="s">
        <v>1</v>
      </c>
      <c r="C12" s="1033"/>
      <c r="D12" s="1039" t="s">
        <v>0</v>
      </c>
      <c r="E12" s="1040"/>
      <c r="F12" s="1030" t="s">
        <v>14</v>
      </c>
      <c r="G12" s="1034" t="s">
        <v>507</v>
      </c>
      <c r="H12" s="1038" t="s">
        <v>149</v>
      </c>
      <c r="I12" s="1038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31"/>
      <c r="B13" s="784" t="s">
        <v>15</v>
      </c>
      <c r="C13" s="784" t="s">
        <v>32</v>
      </c>
      <c r="D13" s="1041"/>
      <c r="E13" s="1042"/>
      <c r="F13" s="1031"/>
      <c r="G13" s="1035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43" t="s">
        <v>5</v>
      </c>
      <c r="E14" s="1044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45" t="s">
        <v>7</v>
      </c>
      <c r="E15" s="1046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6" t="str">
        <f ca="1">IF(ROWS($1:1)&gt;COUNT(Dong4),"",OFFSET(TH!F$1,SMALL(Dong4,ROWS($1:1)),))</f>
        <v/>
      </c>
      <c r="E16" s="1037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6" t="str">
        <f ca="1">IF(ROWS($1:2)&gt;COUNT(Dong4),"",OFFSET(TH!F$1,SMALL(Dong4,ROWS($1:2)),))</f>
        <v/>
      </c>
      <c r="E17" s="1037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6" t="str">
        <f ca="1">IF(ROWS($1:3)&gt;COUNT(Dong4),"",OFFSET(TH!F$1,SMALL(Dong4,ROWS($1:3)),))</f>
        <v/>
      </c>
      <c r="E18" s="1037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6" t="str">
        <f ca="1">IF(ROWS($1:3)&gt;COUNT(Dong4),"",OFFSET(TH!F$1,SMALL(Dong4,ROWS($1:3)),))</f>
        <v/>
      </c>
      <c r="E19" s="1037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508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D19:E19"/>
    <mergeCell ref="D18:E18"/>
    <mergeCell ref="H12:I12"/>
    <mergeCell ref="D12:E13"/>
    <mergeCell ref="D14:E14"/>
    <mergeCell ref="D15:E15"/>
    <mergeCell ref="D16:E16"/>
    <mergeCell ref="D17:E17"/>
    <mergeCell ref="F9:G9"/>
    <mergeCell ref="A12:A13"/>
    <mergeCell ref="B12:C12"/>
    <mergeCell ref="F12:F13"/>
    <mergeCell ref="G12:G13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55" t="s">
        <v>218</v>
      </c>
      <c r="B5" s="1055"/>
      <c r="C5" s="1055"/>
      <c r="D5" s="1055"/>
      <c r="E5" s="1055"/>
      <c r="F5" s="1055"/>
      <c r="G5" s="1055"/>
      <c r="H5" s="1055"/>
      <c r="I5" s="1055"/>
      <c r="J5" s="1055"/>
      <c r="K5" s="1055"/>
      <c r="L5" s="1055"/>
      <c r="M5" s="1055"/>
      <c r="N5" s="1055"/>
    </row>
    <row r="6" spans="1:14">
      <c r="A6" s="1056" t="s">
        <v>182</v>
      </c>
      <c r="B6" s="1056" t="s">
        <v>219</v>
      </c>
      <c r="C6" s="1056"/>
      <c r="D6" s="1056"/>
      <c r="E6" s="1056"/>
      <c r="F6" s="1056"/>
      <c r="G6" s="1056"/>
      <c r="H6" s="1056"/>
      <c r="I6" s="1056"/>
      <c r="J6" s="1056"/>
      <c r="K6" s="1056"/>
      <c r="L6" s="1056"/>
      <c r="M6" s="1056"/>
      <c r="N6" s="1056"/>
    </row>
    <row r="7" spans="1:14">
      <c r="C7" s="1057"/>
      <c r="D7" s="1057"/>
      <c r="E7" s="1057"/>
      <c r="F7" s="1057"/>
      <c r="G7" s="1057"/>
      <c r="H7" s="1057"/>
      <c r="I7" s="1057"/>
      <c r="J7" s="1057"/>
      <c r="K7" s="1057"/>
      <c r="L7" s="1057"/>
      <c r="M7" s="1057"/>
      <c r="N7" s="1057"/>
    </row>
    <row r="8" spans="1:14" ht="15.75" customHeight="1">
      <c r="A8" s="1049" t="s">
        <v>20</v>
      </c>
      <c r="B8" s="1058" t="s">
        <v>1</v>
      </c>
      <c r="C8" s="1059"/>
      <c r="D8" s="1049" t="s">
        <v>0</v>
      </c>
      <c r="E8" s="1049" t="s">
        <v>14</v>
      </c>
      <c r="F8" s="1048" t="s">
        <v>21</v>
      </c>
      <c r="G8" s="1048"/>
      <c r="H8" s="1048"/>
      <c r="I8" s="1048"/>
      <c r="J8" s="1048"/>
      <c r="K8" s="1048"/>
      <c r="L8" s="1048" t="s">
        <v>31</v>
      </c>
      <c r="M8" s="1048"/>
      <c r="N8" s="1048"/>
    </row>
    <row r="9" spans="1:14" ht="15.75" customHeight="1">
      <c r="A9" s="1049"/>
      <c r="B9" s="1060"/>
      <c r="C9" s="1061"/>
      <c r="D9" s="1049"/>
      <c r="E9" s="1049"/>
      <c r="F9" s="1048" t="s">
        <v>220</v>
      </c>
      <c r="G9" s="1048"/>
      <c r="H9" s="1048"/>
      <c r="I9" s="1048" t="s">
        <v>221</v>
      </c>
      <c r="J9" s="1048"/>
      <c r="K9" s="1048"/>
      <c r="L9" s="1049" t="s">
        <v>222</v>
      </c>
      <c r="M9" s="1049" t="s">
        <v>223</v>
      </c>
      <c r="N9" s="1049" t="s">
        <v>224</v>
      </c>
    </row>
    <row r="10" spans="1:14" ht="15.75" customHeight="1">
      <c r="A10" s="1049"/>
      <c r="B10" s="1051" t="s">
        <v>15</v>
      </c>
      <c r="C10" s="1051" t="s">
        <v>32</v>
      </c>
      <c r="D10" s="1049"/>
      <c r="E10" s="1049"/>
      <c r="F10" s="1053" t="s">
        <v>222</v>
      </c>
      <c r="G10" s="1053" t="s">
        <v>223</v>
      </c>
      <c r="H10" s="1053" t="s">
        <v>224</v>
      </c>
      <c r="I10" s="1053" t="s">
        <v>222</v>
      </c>
      <c r="J10" s="1053" t="s">
        <v>223</v>
      </c>
      <c r="K10" s="1053" t="s">
        <v>224</v>
      </c>
      <c r="L10" s="1050"/>
      <c r="M10" s="1050"/>
      <c r="N10" s="1050"/>
    </row>
    <row r="11" spans="1:14">
      <c r="A11" s="1049"/>
      <c r="B11" s="1052"/>
      <c r="C11" s="1052"/>
      <c r="D11" s="1049"/>
      <c r="E11" s="1049"/>
      <c r="F11" s="1054"/>
      <c r="G11" s="1054"/>
      <c r="H11" s="1054"/>
      <c r="I11" s="1054"/>
      <c r="J11" s="1054"/>
      <c r="K11" s="1054"/>
      <c r="L11" s="1050"/>
      <c r="M11" s="1050"/>
      <c r="N11" s="1050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47" t="s">
        <v>228</v>
      </c>
      <c r="F22" s="1047"/>
      <c r="G22" s="1047"/>
      <c r="H22" s="1047"/>
      <c r="I22" s="1047"/>
      <c r="J22" s="1047"/>
      <c r="K22" s="1047"/>
      <c r="L22" s="1047"/>
      <c r="M22" s="1047"/>
      <c r="N22" s="1047"/>
    </row>
    <row r="23" spans="1:14">
      <c r="A23" s="1047" t="s">
        <v>11</v>
      </c>
      <c r="B23" s="1047"/>
      <c r="C23" s="1047"/>
      <c r="D23" s="1047"/>
      <c r="E23" s="1047" t="s">
        <v>12</v>
      </c>
      <c r="F23" s="1047"/>
      <c r="G23" s="1047"/>
      <c r="H23" s="1047"/>
      <c r="I23" s="1047"/>
      <c r="J23" s="1047"/>
      <c r="K23" s="1047"/>
      <c r="L23" s="1047"/>
      <c r="M23" s="1047"/>
      <c r="N23" s="1047"/>
    </row>
    <row r="24" spans="1:14">
      <c r="A24" s="1047" t="s">
        <v>13</v>
      </c>
      <c r="B24" s="1047"/>
      <c r="C24" s="1047"/>
      <c r="D24" s="1047"/>
      <c r="E24" s="1047" t="s">
        <v>13</v>
      </c>
      <c r="F24" s="1047"/>
      <c r="G24" s="1047"/>
      <c r="H24" s="1047"/>
      <c r="I24" s="1047"/>
      <c r="J24" s="1047"/>
      <c r="K24" s="1047"/>
      <c r="L24" s="1047"/>
      <c r="M24" s="1047"/>
      <c r="N24" s="1047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346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3" t="s">
        <v>230</v>
      </c>
      <c r="I1" s="1023"/>
      <c r="J1" s="1023"/>
      <c r="K1" s="1023"/>
      <c r="L1" s="1023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4" t="s">
        <v>232</v>
      </c>
      <c r="I2" s="1024"/>
      <c r="J2" s="1024"/>
      <c r="K2" s="1024"/>
      <c r="L2" s="1024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63" t="s">
        <v>233</v>
      </c>
      <c r="I3" s="1063"/>
      <c r="J3" s="1063"/>
      <c r="K3" s="1063"/>
      <c r="L3" s="1063"/>
      <c r="M3" s="313"/>
    </row>
    <row r="4" spans="1:13" s="314" customFormat="1" ht="27.75" customHeight="1">
      <c r="B4" s="1064" t="s">
        <v>234</v>
      </c>
      <c r="C4" s="1064"/>
      <c r="D4" s="1064"/>
      <c r="E4" s="1064"/>
      <c r="F4" s="1064"/>
      <c r="G4" s="1064"/>
      <c r="H4" s="1064"/>
      <c r="I4" s="1064"/>
      <c r="J4" s="1064"/>
      <c r="K4" s="1064"/>
      <c r="L4" s="1064"/>
      <c r="M4" s="315"/>
    </row>
    <row r="5" spans="1:13" s="314" customFormat="1" ht="15" customHeight="1">
      <c r="B5" s="1062" t="s">
        <v>235</v>
      </c>
      <c r="C5" s="1062"/>
      <c r="D5" s="1062"/>
      <c r="E5" s="1062"/>
      <c r="F5" s="1062"/>
      <c r="G5" s="1062"/>
      <c r="H5" s="1062"/>
      <c r="I5" s="1062"/>
      <c r="J5" s="1062"/>
      <c r="K5" s="1062"/>
      <c r="L5" s="1062"/>
      <c r="M5" s="315"/>
    </row>
    <row r="6" spans="1:13" s="314" customFormat="1" ht="12.75" hidden="1" customHeight="1">
      <c r="B6" s="1062" t="s">
        <v>236</v>
      </c>
      <c r="C6" s="1062"/>
      <c r="D6" s="1062"/>
      <c r="E6" s="1062"/>
      <c r="F6" s="1062"/>
      <c r="G6" s="1062"/>
      <c r="H6" s="1062"/>
      <c r="I6" s="1062"/>
      <c r="J6" s="1062"/>
      <c r="K6" s="1062"/>
      <c r="L6" s="1062"/>
      <c r="M6" s="315"/>
    </row>
    <row r="7" spans="1:13" s="316" customFormat="1" ht="24" hidden="1" customHeight="1">
      <c r="C7" s="1071" t="s">
        <v>237</v>
      </c>
      <c r="D7" s="1071"/>
      <c r="E7" s="1071"/>
      <c r="F7" s="1071"/>
      <c r="G7" s="1071"/>
      <c r="H7" s="1071"/>
      <c r="I7" s="1071"/>
      <c r="J7" s="1071"/>
      <c r="K7" s="1071"/>
      <c r="L7" s="1071"/>
      <c r="M7" s="317"/>
    </row>
    <row r="8" spans="1:13" ht="20.25" customHeight="1">
      <c r="B8" s="1065" t="s">
        <v>35</v>
      </c>
      <c r="C8" s="1066" t="s">
        <v>238</v>
      </c>
      <c r="D8" s="1067" t="s">
        <v>239</v>
      </c>
      <c r="E8" s="1069" t="s">
        <v>149</v>
      </c>
      <c r="F8" s="1069"/>
      <c r="G8" s="1069"/>
      <c r="H8" s="1069"/>
      <c r="I8" s="1069"/>
      <c r="J8" s="1069"/>
      <c r="K8" s="1069"/>
      <c r="L8" s="1069"/>
    </row>
    <row r="9" spans="1:13" ht="20.25" customHeight="1">
      <c r="B9" s="1065"/>
      <c r="C9" s="1066"/>
      <c r="D9" s="1068"/>
      <c r="E9" s="1069" t="s">
        <v>240</v>
      </c>
      <c r="F9" s="1069"/>
      <c r="G9" s="1070" t="s">
        <v>241</v>
      </c>
      <c r="H9" s="1070"/>
      <c r="I9" s="1070" t="s">
        <v>242</v>
      </c>
      <c r="J9" s="1070"/>
      <c r="K9" s="1070" t="s">
        <v>243</v>
      </c>
      <c r="L9" s="1070"/>
    </row>
    <row r="10" spans="1:13" ht="20.25" hidden="1" customHeight="1">
      <c r="B10" s="1065"/>
      <c r="C10" s="1066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535</v>
      </c>
      <c r="D12" s="328" t="s">
        <v>456</v>
      </c>
      <c r="E12" s="25"/>
      <c r="F12" s="25"/>
      <c r="G12" s="25">
        <f t="array" ref="G12">SUM(IF("1522"&amp;C12=KHN&amp;MH,SL))</f>
        <v>400</v>
      </c>
      <c r="H12" s="25">
        <f t="array" ref="H12">SUM(IF("1522"&amp;C12=KHN&amp;MH,TH))</f>
        <v>10000000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400</v>
      </c>
      <c r="L12" s="25">
        <f t="shared" si="0"/>
        <v>10000000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457</v>
      </c>
      <c r="D13" s="328" t="s">
        <v>456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5040000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5040000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1151" t="s">
        <v>955</v>
      </c>
      <c r="D14" s="328" t="s">
        <v>456</v>
      </c>
      <c r="E14" s="8"/>
      <c r="F14" s="8"/>
      <c r="G14" s="25">
        <f t="array" ref="G14">SUM(IF("1522"&amp;C14=KHN&amp;MH,SL))</f>
        <v>104121</v>
      </c>
      <c r="H14" s="25">
        <f t="array" ref="H14">SUM(IF("1522"&amp;C14=KHN&amp;MH,TH))</f>
        <v>26030250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104121</v>
      </c>
      <c r="L14" s="8">
        <f t="shared" ref="L14" si="4">F14+H14-J14</f>
        <v>26030250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455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104641</v>
      </c>
      <c r="H16" s="13">
        <f t="shared" si="6"/>
        <v>41070250</v>
      </c>
      <c r="I16" s="13">
        <f t="shared" si="6"/>
        <v>0</v>
      </c>
      <c r="J16" s="13">
        <f t="shared" si="6"/>
        <v>0</v>
      </c>
      <c r="K16" s="13">
        <f t="shared" si="6"/>
        <v>104641</v>
      </c>
      <c r="L16" s="13">
        <f t="shared" si="6"/>
        <v>41070250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41070250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41070250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1054</v>
      </c>
      <c r="D18" s="328" t="s">
        <v>563</v>
      </c>
      <c r="E18" s="25"/>
      <c r="F18" s="25"/>
      <c r="G18" s="25">
        <f t="array" ref="G18">SUM(IF("1521"&amp;C18=KHN&amp;MH,SL))</f>
        <v>670</v>
      </c>
      <c r="H18" s="25">
        <f t="array" ref="H18">SUM(IF("1521"&amp;C18=KHN&amp;MH,TH))</f>
        <v>4891000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>E18+G18-I18</f>
        <v>670</v>
      </c>
      <c r="L18" s="25">
        <f>F18+H18-J18</f>
        <v>4891000</v>
      </c>
      <c r="M18" s="329"/>
    </row>
    <row r="19" spans="1:13" ht="18.75" customHeight="1">
      <c r="A19" s="325" t="str">
        <f t="shared" ref="A19:A82" si="7">IF(B19&lt;&gt;"","NL","")</f>
        <v>NL</v>
      </c>
      <c r="B19" s="616">
        <f t="shared" ref="B19:B82" si="8">IF(C19&lt;&gt;"",B18+1,"")</f>
        <v>2</v>
      </c>
      <c r="C19" s="40" t="s">
        <v>809</v>
      </c>
      <c r="D19" s="328" t="s">
        <v>563</v>
      </c>
      <c r="E19" s="8"/>
      <c r="F19" s="8"/>
      <c r="G19" s="25">
        <f t="array" ref="G19">SUM(IF("1521"&amp;C19=KHN&amp;MH,SL))</f>
        <v>100</v>
      </c>
      <c r="H19" s="25">
        <f t="array" ref="H19">SUM(IF("1521"&amp;C19=KHN&amp;MH,TH))</f>
        <v>880700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>E19+G19-I19</f>
        <v>100</v>
      </c>
      <c r="L19" s="8">
        <f>F19+H19-J19</f>
        <v>880700</v>
      </c>
      <c r="M19" s="329"/>
    </row>
    <row r="20" spans="1:13" ht="18.75" customHeight="1">
      <c r="A20" s="325" t="str">
        <f t="shared" si="7"/>
        <v>NL</v>
      </c>
      <c r="B20" s="616">
        <f t="shared" si="8"/>
        <v>3</v>
      </c>
      <c r="C20" s="40" t="s">
        <v>896</v>
      </c>
      <c r="D20" s="328" t="s">
        <v>563</v>
      </c>
      <c r="E20" s="8"/>
      <c r="F20" s="8"/>
      <c r="G20" s="25">
        <f t="array" ref="G20">SUM(IF("1521"&amp;C20=KHN&amp;MH,SL))</f>
        <v>600</v>
      </c>
      <c r="H20" s="25">
        <f t="array" ref="H20">SUM(IF("1521"&amp;C20=KHN&amp;MH,TH))</f>
        <v>5458800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>E20+G20-I20</f>
        <v>600</v>
      </c>
      <c r="L20" s="8">
        <f>F20+H20-J20</f>
        <v>5458800</v>
      </c>
      <c r="M20" s="329"/>
    </row>
    <row r="21" spans="1:13" ht="18" customHeight="1">
      <c r="A21" s="325" t="str">
        <f t="shared" si="7"/>
        <v>NL</v>
      </c>
      <c r="B21" s="616">
        <f t="shared" si="8"/>
        <v>4</v>
      </c>
      <c r="C21" s="40" t="s">
        <v>846</v>
      </c>
      <c r="D21" s="328" t="s">
        <v>563</v>
      </c>
      <c r="E21" s="8"/>
      <c r="F21" s="8"/>
      <c r="G21" s="25">
        <f t="array" ref="G21">SUM(IF("1521"&amp;C21=KHN&amp;MH,SL))</f>
        <v>100</v>
      </c>
      <c r="H21" s="25">
        <f t="array" ref="H21">SUM(IF("1521"&amp;C21=KHN&amp;MH,TH))</f>
        <v>641300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>E21+G21-I21</f>
        <v>100</v>
      </c>
      <c r="L21" s="8">
        <f>F21+H21-J21</f>
        <v>641300</v>
      </c>
      <c r="M21" s="329"/>
    </row>
    <row r="22" spans="1:13" ht="18" customHeight="1">
      <c r="A22" s="325" t="str">
        <f t="shared" si="7"/>
        <v>NL</v>
      </c>
      <c r="B22" s="616">
        <f t="shared" si="8"/>
        <v>5</v>
      </c>
      <c r="C22" s="40" t="s">
        <v>1099</v>
      </c>
      <c r="D22" s="328" t="s">
        <v>563</v>
      </c>
      <c r="E22" s="8"/>
      <c r="F22" s="8"/>
      <c r="G22" s="25">
        <f t="array" ref="G22">SUM(IF("1521"&amp;C22=KHN&amp;MH,SL))</f>
        <v>120</v>
      </c>
      <c r="H22" s="25">
        <f t="array" ref="H22">SUM(IF("1521"&amp;C22=KHN&amp;MH,TH))</f>
        <v>1234440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>E22+G22-I22</f>
        <v>120</v>
      </c>
      <c r="L22" s="8">
        <f>F22+H22-J22</f>
        <v>1234440</v>
      </c>
      <c r="M22" s="329"/>
    </row>
    <row r="23" spans="1:13" ht="18" customHeight="1">
      <c r="A23" s="325" t="str">
        <f t="shared" si="7"/>
        <v>NL</v>
      </c>
      <c r="B23" s="616">
        <f t="shared" si="8"/>
        <v>6</v>
      </c>
      <c r="C23" s="40" t="s">
        <v>1064</v>
      </c>
      <c r="D23" s="328" t="s">
        <v>563</v>
      </c>
      <c r="E23" s="8"/>
      <c r="F23" s="8"/>
      <c r="G23" s="25">
        <f t="array" ref="G23">SUM(IF("1521"&amp;C23=KHN&amp;MH,SL))</f>
        <v>1670</v>
      </c>
      <c r="H23" s="25">
        <f t="array" ref="H23">SUM(IF("1521"&amp;C23=KHN&amp;MH,TH))</f>
        <v>17838170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>E23+G23-I23</f>
        <v>1670</v>
      </c>
      <c r="L23" s="8">
        <f>F23+H23-J23</f>
        <v>17838170</v>
      </c>
      <c r="M23" s="329"/>
    </row>
    <row r="24" spans="1:13" ht="18" customHeight="1">
      <c r="A24" s="325" t="str">
        <f t="shared" si="7"/>
        <v>NL</v>
      </c>
      <c r="B24" s="616">
        <f t="shared" si="8"/>
        <v>7</v>
      </c>
      <c r="C24" s="40" t="s">
        <v>1037</v>
      </c>
      <c r="D24" s="328" t="s">
        <v>563</v>
      </c>
      <c r="E24" s="8"/>
      <c r="F24" s="8"/>
      <c r="G24" s="25">
        <f t="array" ref="G24">SUM(IF("1521"&amp;C24=KHN&amp;MH,SL))</f>
        <v>1350</v>
      </c>
      <c r="H24" s="25">
        <f t="array" ref="H24">SUM(IF("1521"&amp;C24=KHN&amp;MH,TH))</f>
        <v>19791600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>E24+G24-I24</f>
        <v>1350</v>
      </c>
      <c r="L24" s="8">
        <f>F24+H24-J24</f>
        <v>19791600</v>
      </c>
      <c r="M24" s="329"/>
    </row>
    <row r="25" spans="1:13" ht="18" customHeight="1">
      <c r="A25" s="325" t="str">
        <f t="shared" si="7"/>
        <v>NL</v>
      </c>
      <c r="B25" s="616">
        <f t="shared" si="8"/>
        <v>8</v>
      </c>
      <c r="C25" s="330" t="s">
        <v>643</v>
      </c>
      <c r="D25" s="328" t="s">
        <v>563</v>
      </c>
      <c r="E25" s="8"/>
      <c r="F25" s="8"/>
      <c r="G25" s="25">
        <f t="array" ref="G25">SUM(IF("1521"&amp;C25=KHN&amp;MH,SL))</f>
        <v>1200</v>
      </c>
      <c r="H25" s="25">
        <f t="array" ref="H25">SUM(IF("1521"&amp;C25=KHN&amp;MH,TH))</f>
        <v>10521600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>E25+G25-I25</f>
        <v>1200</v>
      </c>
      <c r="L25" s="8">
        <f>F25+H25-J25</f>
        <v>10521600</v>
      </c>
      <c r="M25" s="329"/>
    </row>
    <row r="26" spans="1:13" ht="18" customHeight="1">
      <c r="A26" s="325" t="str">
        <f t="shared" si="7"/>
        <v>NL</v>
      </c>
      <c r="B26" s="616">
        <f t="shared" si="8"/>
        <v>9</v>
      </c>
      <c r="C26" s="40" t="s">
        <v>906</v>
      </c>
      <c r="D26" s="328" t="s">
        <v>563</v>
      </c>
      <c r="E26" s="8"/>
      <c r="F26" s="8"/>
      <c r="G26" s="25">
        <f t="array" ref="G26">SUM(IF("1521"&amp;C26=KHN&amp;MH,SL))</f>
        <v>1000</v>
      </c>
      <c r="H26" s="25">
        <f t="array" ref="H26">SUM(IF("1521"&amp;C26=KHN&amp;MH,TH))</f>
        <v>10752000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>E26+G26-I26</f>
        <v>1000</v>
      </c>
      <c r="L26" s="8">
        <f>F26+H26-J26</f>
        <v>10752000</v>
      </c>
      <c r="M26" s="329"/>
    </row>
    <row r="27" spans="1:13" ht="18" customHeight="1">
      <c r="A27" s="325" t="str">
        <f t="shared" si="7"/>
        <v>NL</v>
      </c>
      <c r="B27" s="616">
        <f t="shared" si="8"/>
        <v>10</v>
      </c>
      <c r="C27" s="40" t="s">
        <v>883</v>
      </c>
      <c r="D27" s="328" t="s">
        <v>563</v>
      </c>
      <c r="E27" s="8"/>
      <c r="F27" s="8"/>
      <c r="G27" s="25">
        <f t="array" ref="G27">SUM(IF("1521"&amp;C27=KHN&amp;MH,SL))</f>
        <v>150</v>
      </c>
      <c r="H27" s="25">
        <f t="array" ref="H27">SUM(IF("1521"&amp;C27=KHN&amp;MH,TH))</f>
        <v>2190400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>E27+G27-I27</f>
        <v>150</v>
      </c>
      <c r="L27" s="8">
        <f>F27+H27-J27</f>
        <v>2190400</v>
      </c>
      <c r="M27" s="329"/>
    </row>
    <row r="28" spans="1:13" ht="18" customHeight="1">
      <c r="A28" s="325" t="str">
        <f t="shared" si="7"/>
        <v>NL</v>
      </c>
      <c r="B28" s="616">
        <f t="shared" si="8"/>
        <v>11</v>
      </c>
      <c r="C28" s="40" t="s">
        <v>835</v>
      </c>
      <c r="D28" s="328" t="s">
        <v>563</v>
      </c>
      <c r="E28" s="8"/>
      <c r="F28" s="8"/>
      <c r="G28" s="25">
        <f t="array" ref="G28">SUM(IF("1521"&amp;C28=KHN&amp;MH,SL))</f>
        <v>250</v>
      </c>
      <c r="H28" s="25">
        <f t="array" ref="H28">SUM(IF("1521"&amp;C28=KHN&amp;MH,TH))</f>
        <v>2116250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>E28+G28-I28</f>
        <v>250</v>
      </c>
      <c r="L28" s="8">
        <f>F28+H28-J28</f>
        <v>2116250</v>
      </c>
      <c r="M28" s="329"/>
    </row>
    <row r="29" spans="1:13" ht="18" customHeight="1">
      <c r="A29" s="325" t="str">
        <f t="shared" si="7"/>
        <v>NL</v>
      </c>
      <c r="B29" s="616">
        <f t="shared" si="8"/>
        <v>12</v>
      </c>
      <c r="C29" s="40" t="s">
        <v>849</v>
      </c>
      <c r="D29" s="328" t="s">
        <v>563</v>
      </c>
      <c r="E29" s="8"/>
      <c r="F29" s="8"/>
      <c r="G29" s="25">
        <f t="array" ref="G29">SUM(IF("1521"&amp;C29=KHN&amp;MH,SL))</f>
        <v>486</v>
      </c>
      <c r="H29" s="25">
        <f t="array" ref="H29">SUM(IF("1521"&amp;C29=KHN&amp;MH,TH))</f>
        <v>4512996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>E29+G29-I29</f>
        <v>486</v>
      </c>
      <c r="L29" s="8">
        <f>F29+H29-J29</f>
        <v>4512996</v>
      </c>
      <c r="M29" s="329"/>
    </row>
    <row r="30" spans="1:13" ht="18" customHeight="1">
      <c r="A30" s="325" t="str">
        <f t="shared" si="7"/>
        <v>NL</v>
      </c>
      <c r="B30" s="616">
        <f t="shared" si="8"/>
        <v>13</v>
      </c>
      <c r="C30" s="40" t="s">
        <v>1041</v>
      </c>
      <c r="D30" s="328" t="s">
        <v>563</v>
      </c>
      <c r="E30" s="8"/>
      <c r="F30" s="8"/>
      <c r="G30" s="25">
        <f t="array" ref="G30">SUM(IF("1521"&amp;C30=KHN&amp;MH,SL))</f>
        <v>690</v>
      </c>
      <c r="H30" s="25">
        <f t="array" ref="H30">SUM(IF("1521"&amp;C30=KHN&amp;MH,TH))</f>
        <v>9319830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>E30+G30-I30</f>
        <v>690</v>
      </c>
      <c r="L30" s="8">
        <f>F30+H30-J30</f>
        <v>9319830</v>
      </c>
      <c r="M30" s="329"/>
    </row>
    <row r="31" spans="1:13" ht="18" customHeight="1">
      <c r="A31" s="325" t="str">
        <f t="shared" si="7"/>
        <v>NL</v>
      </c>
      <c r="B31" s="616">
        <f t="shared" si="8"/>
        <v>14</v>
      </c>
      <c r="C31" s="40" t="s">
        <v>850</v>
      </c>
      <c r="D31" s="328" t="s">
        <v>563</v>
      </c>
      <c r="E31" s="8"/>
      <c r="F31" s="8"/>
      <c r="G31" s="25">
        <f t="array" ref="G31">SUM(IF("1521"&amp;C31=KHN&amp;MH,SL))</f>
        <v>760</v>
      </c>
      <c r="H31" s="25">
        <f t="array" ref="H31">SUM(IF("1521"&amp;C31=KHN&amp;MH,TH))</f>
        <v>6463800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>E31+G31-I31</f>
        <v>760</v>
      </c>
      <c r="L31" s="8">
        <f>F31+H31-J31</f>
        <v>6463800</v>
      </c>
      <c r="M31" s="329"/>
    </row>
    <row r="32" spans="1:13" ht="18" customHeight="1">
      <c r="A32" s="325" t="str">
        <f t="shared" si="7"/>
        <v>NL</v>
      </c>
      <c r="B32" s="616">
        <f t="shared" si="8"/>
        <v>15</v>
      </c>
      <c r="C32" s="203" t="s">
        <v>657</v>
      </c>
      <c r="D32" s="328" t="s">
        <v>563</v>
      </c>
      <c r="E32" s="8"/>
      <c r="F32" s="8"/>
      <c r="G32" s="25">
        <f t="array" ref="G32">SUM(IF("1521"&amp;C32=KHN&amp;MH,SL))</f>
        <v>100</v>
      </c>
      <c r="H32" s="25">
        <f t="array" ref="H32">SUM(IF("1521"&amp;C32=KHN&amp;MH,TH))</f>
        <v>1202200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>E32+G32-I32</f>
        <v>100</v>
      </c>
      <c r="L32" s="8">
        <f>F32+H32-J32</f>
        <v>1202200</v>
      </c>
      <c r="M32" s="329"/>
    </row>
    <row r="33" spans="1:13" ht="18" customHeight="1">
      <c r="A33" s="325" t="str">
        <f t="shared" si="7"/>
        <v>NL</v>
      </c>
      <c r="B33" s="616">
        <f t="shared" si="8"/>
        <v>16</v>
      </c>
      <c r="C33" s="40" t="s">
        <v>909</v>
      </c>
      <c r="D33" s="328" t="s">
        <v>563</v>
      </c>
      <c r="E33" s="8"/>
      <c r="F33" s="8"/>
      <c r="G33" s="25">
        <f t="array" ref="G33">SUM(IF("1521"&amp;C33=KHN&amp;MH,SL))</f>
        <v>250</v>
      </c>
      <c r="H33" s="25">
        <f t="array" ref="H33">SUM(IF("1521"&amp;C33=KHN&amp;MH,TH))</f>
        <v>3052750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>E33+G33-I33</f>
        <v>250</v>
      </c>
      <c r="L33" s="8">
        <f>F33+H33-J33</f>
        <v>3052750</v>
      </c>
      <c r="M33" s="329"/>
    </row>
    <row r="34" spans="1:13" ht="18" customHeight="1">
      <c r="A34" s="325" t="str">
        <f t="shared" si="7"/>
        <v>NL</v>
      </c>
      <c r="B34" s="616">
        <f t="shared" si="8"/>
        <v>17</v>
      </c>
      <c r="C34" s="40" t="s">
        <v>798</v>
      </c>
      <c r="D34" s="328" t="s">
        <v>563</v>
      </c>
      <c r="E34" s="8"/>
      <c r="F34" s="8"/>
      <c r="G34" s="25">
        <f t="array" ref="G34">SUM(IF("1521"&amp;C34=KHN&amp;MH,SL))</f>
        <v>940</v>
      </c>
      <c r="H34" s="25">
        <f t="array" ref="H34">SUM(IF("1521"&amp;C34=KHN&amp;MH,TH))</f>
        <v>10505440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>E34+G34-I34</f>
        <v>940</v>
      </c>
      <c r="L34" s="8">
        <f>F34+H34-J34</f>
        <v>10505440</v>
      </c>
      <c r="M34" s="329"/>
    </row>
    <row r="35" spans="1:13" ht="18" customHeight="1">
      <c r="A35" s="325" t="str">
        <f t="shared" si="7"/>
        <v>NL</v>
      </c>
      <c r="B35" s="616">
        <f t="shared" si="8"/>
        <v>18</v>
      </c>
      <c r="C35" s="40" t="s">
        <v>1006</v>
      </c>
      <c r="D35" s="328" t="s">
        <v>563</v>
      </c>
      <c r="E35" s="8"/>
      <c r="F35" s="8"/>
      <c r="G35" s="25">
        <f t="array" ref="G35">SUM(IF("1521"&amp;C35=KHN&amp;MH,SL))</f>
        <v>250</v>
      </c>
      <c r="H35" s="25">
        <f t="array" ref="H35">SUM(IF("1521"&amp;C35=KHN&amp;MH,TH))</f>
        <v>2572500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>E35+G35-I35</f>
        <v>250</v>
      </c>
      <c r="L35" s="8">
        <f>F35+H35-J35</f>
        <v>2572500</v>
      </c>
      <c r="M35" s="329"/>
    </row>
    <row r="36" spans="1:13" ht="18" customHeight="1">
      <c r="A36" s="325" t="str">
        <f t="shared" si="7"/>
        <v>NL</v>
      </c>
      <c r="B36" s="616">
        <f t="shared" si="8"/>
        <v>19</v>
      </c>
      <c r="C36" s="203" t="s">
        <v>696</v>
      </c>
      <c r="D36" s="328" t="s">
        <v>563</v>
      </c>
      <c r="E36" s="8"/>
      <c r="F36" s="8"/>
      <c r="G36" s="25">
        <f t="array" ref="G36">SUM(IF("1521"&amp;C36=KHN&amp;MH,SL))</f>
        <v>100</v>
      </c>
      <c r="H36" s="25">
        <f t="array" ref="H36">SUM(IF("1521"&amp;C36=KHN&amp;MH,TH))</f>
        <v>1150800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>E36+G36-I36</f>
        <v>100</v>
      </c>
      <c r="L36" s="8">
        <f>F36+H36-J36</f>
        <v>1150800</v>
      </c>
      <c r="M36" s="329"/>
    </row>
    <row r="37" spans="1:13" ht="18" customHeight="1">
      <c r="A37" s="325" t="str">
        <f t="shared" si="7"/>
        <v>NL</v>
      </c>
      <c r="B37" s="616">
        <f t="shared" si="8"/>
        <v>20</v>
      </c>
      <c r="C37" s="40" t="s">
        <v>1085</v>
      </c>
      <c r="D37" s="328" t="s">
        <v>563</v>
      </c>
      <c r="E37" s="8"/>
      <c r="F37" s="8"/>
      <c r="G37" s="25">
        <f t="array" ref="G37">SUM(IF("1521"&amp;C37=KHN&amp;MH,SL))</f>
        <v>1020</v>
      </c>
      <c r="H37" s="25">
        <f t="array" ref="H37">SUM(IF("1521"&amp;C37=KHN&amp;MH,TH))</f>
        <v>15593760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>E37+G37-I37</f>
        <v>1020</v>
      </c>
      <c r="L37" s="8">
        <f>F37+H37-J37</f>
        <v>15593760</v>
      </c>
      <c r="M37" s="329"/>
    </row>
    <row r="38" spans="1:13" ht="18" customHeight="1">
      <c r="A38" s="325" t="str">
        <f t="shared" si="7"/>
        <v>NL</v>
      </c>
      <c r="B38" s="616">
        <f t="shared" si="8"/>
        <v>21</v>
      </c>
      <c r="C38" s="203" t="s">
        <v>697</v>
      </c>
      <c r="D38" s="328" t="s">
        <v>563</v>
      </c>
      <c r="E38" s="8"/>
      <c r="F38" s="8"/>
      <c r="G38" s="25">
        <f t="array" ref="G38">SUM(IF("1521"&amp;C38=KHN&amp;MH,SL))</f>
        <v>100</v>
      </c>
      <c r="H38" s="25">
        <f t="array" ref="H38">SUM(IF("1521"&amp;C38=KHN&amp;MH,TH))</f>
        <v>1534400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>E38+G38-I38</f>
        <v>100</v>
      </c>
      <c r="L38" s="8">
        <f>F38+H38-J38</f>
        <v>1534400</v>
      </c>
      <c r="M38" s="329"/>
    </row>
    <row r="39" spans="1:13" ht="18" customHeight="1">
      <c r="A39" s="325" t="str">
        <f t="shared" si="7"/>
        <v>NL</v>
      </c>
      <c r="B39" s="616">
        <f t="shared" si="8"/>
        <v>22</v>
      </c>
      <c r="C39" s="40" t="s">
        <v>847</v>
      </c>
      <c r="D39" s="328" t="s">
        <v>563</v>
      </c>
      <c r="E39" s="8"/>
      <c r="F39" s="8"/>
      <c r="G39" s="25">
        <f t="array" ref="G39">SUM(IF("1521"&amp;C39=KHN&amp;MH,SL))</f>
        <v>100</v>
      </c>
      <c r="H39" s="25">
        <f t="array" ref="H39">SUM(IF("1521"&amp;C39=KHN&amp;MH,TH))</f>
        <v>678300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>E39+G39-I39</f>
        <v>100</v>
      </c>
      <c r="L39" s="8">
        <f>F39+H39-J39</f>
        <v>678300</v>
      </c>
      <c r="M39" s="329"/>
    </row>
    <row r="40" spans="1:13" ht="18" customHeight="1">
      <c r="A40" s="325" t="str">
        <f t="shared" si="7"/>
        <v>NL</v>
      </c>
      <c r="B40" s="616">
        <f t="shared" si="8"/>
        <v>23</v>
      </c>
      <c r="C40" s="40" t="s">
        <v>1021</v>
      </c>
      <c r="D40" s="328" t="s">
        <v>563</v>
      </c>
      <c r="E40" s="8"/>
      <c r="F40" s="8"/>
      <c r="G40" s="25">
        <f t="array" ref="G40">SUM(IF("1521"&amp;C40=KHN&amp;MH,SL))</f>
        <v>1030</v>
      </c>
      <c r="H40" s="25">
        <f t="array" ref="H40">SUM(IF("1521"&amp;C40=KHN&amp;MH,TH))</f>
        <v>10685220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>E40+G40-I40</f>
        <v>1030</v>
      </c>
      <c r="L40" s="8">
        <f>F40+H40-J40</f>
        <v>10685220</v>
      </c>
      <c r="M40" s="329"/>
    </row>
    <row r="41" spans="1:13" ht="18" customHeight="1">
      <c r="A41" s="325" t="str">
        <f t="shared" si="7"/>
        <v>NL</v>
      </c>
      <c r="B41" s="616">
        <f t="shared" si="8"/>
        <v>24</v>
      </c>
      <c r="C41" s="40" t="s">
        <v>840</v>
      </c>
      <c r="D41" s="328" t="s">
        <v>563</v>
      </c>
      <c r="E41" s="8"/>
      <c r="F41" s="8"/>
      <c r="G41" s="25">
        <f t="array" ref="G41">SUM(IF("1521"&amp;C41=KHN&amp;MH,SL))</f>
        <v>150</v>
      </c>
      <c r="H41" s="25">
        <f t="array" ref="H41">SUM(IF("1521"&amp;C41=KHN&amp;MH,TH))</f>
        <v>1621650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>E41+G41-I41</f>
        <v>150</v>
      </c>
      <c r="L41" s="8">
        <f>F41+H41-J41</f>
        <v>1621650</v>
      </c>
      <c r="M41" s="329"/>
    </row>
    <row r="42" spans="1:13" ht="18" customHeight="1">
      <c r="A42" s="325" t="str">
        <f t="shared" si="7"/>
        <v>NL</v>
      </c>
      <c r="B42" s="616">
        <f t="shared" si="8"/>
        <v>25</v>
      </c>
      <c r="C42" s="40" t="s">
        <v>848</v>
      </c>
      <c r="D42" s="328" t="s">
        <v>563</v>
      </c>
      <c r="E42" s="8"/>
      <c r="F42" s="8"/>
      <c r="G42" s="25">
        <f t="array" ref="G42">SUM(IF("1521"&amp;C42=KHN&amp;MH,SL))</f>
        <v>50</v>
      </c>
      <c r="H42" s="25">
        <f t="array" ref="H42">SUM(IF("1521"&amp;C42=KHN&amp;MH,TH))</f>
        <v>530650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>E42+G42-I42</f>
        <v>50</v>
      </c>
      <c r="L42" s="8">
        <f>F42+H42-J42</f>
        <v>530650</v>
      </c>
      <c r="M42" s="329"/>
    </row>
    <row r="43" spans="1:13" ht="18" customHeight="1">
      <c r="A43" s="325" t="str">
        <f t="shared" si="7"/>
        <v>NL</v>
      </c>
      <c r="B43" s="616">
        <f t="shared" si="8"/>
        <v>26</v>
      </c>
      <c r="C43" s="203" t="s">
        <v>701</v>
      </c>
      <c r="D43" s="328" t="s">
        <v>563</v>
      </c>
      <c r="E43" s="8"/>
      <c r="F43" s="8"/>
      <c r="G43" s="25">
        <f t="array" ref="G43">SUM(IF("1521"&amp;C43=KHN&amp;MH,SL))</f>
        <v>100</v>
      </c>
      <c r="H43" s="25">
        <f t="array" ref="H43">SUM(IF("1521"&amp;C43=KHN&amp;MH,TH))</f>
        <v>1472900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>E43+G43-I43</f>
        <v>100</v>
      </c>
      <c r="L43" s="8">
        <f>F43+H43-J43</f>
        <v>1472900</v>
      </c>
      <c r="M43" s="329"/>
    </row>
    <row r="44" spans="1:13" ht="18" customHeight="1">
      <c r="A44" s="325" t="str">
        <f t="shared" si="7"/>
        <v>NL</v>
      </c>
      <c r="B44" s="616">
        <f t="shared" si="8"/>
        <v>27</v>
      </c>
      <c r="C44" s="40" t="s">
        <v>975</v>
      </c>
      <c r="D44" s="328" t="s">
        <v>563</v>
      </c>
      <c r="E44" s="8"/>
      <c r="F44" s="8"/>
      <c r="G44" s="25">
        <f t="array" ref="G44">SUM(IF("1521"&amp;C44=KHN&amp;MH,SL))</f>
        <v>310</v>
      </c>
      <c r="H44" s="25">
        <f t="array" ref="H44">SUM(IF("1521"&amp;C44=KHN&amp;MH,TH))</f>
        <v>2890440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>E44+G44-I44</f>
        <v>310</v>
      </c>
      <c r="L44" s="8">
        <f>F44+H44-J44</f>
        <v>2890440</v>
      </c>
      <c r="M44" s="329"/>
    </row>
    <row r="45" spans="1:13" ht="18" customHeight="1">
      <c r="A45" s="325" t="str">
        <f t="shared" si="7"/>
        <v>NL</v>
      </c>
      <c r="B45" s="616">
        <f t="shared" si="8"/>
        <v>28</v>
      </c>
      <c r="C45" s="40" t="s">
        <v>790</v>
      </c>
      <c r="D45" s="328" t="s">
        <v>563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2870000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>E45+G45-I45</f>
        <v>250</v>
      </c>
      <c r="L45" s="8">
        <f>F45+H45-J45</f>
        <v>2870000</v>
      </c>
      <c r="M45" s="329"/>
    </row>
    <row r="46" spans="1:13" ht="18" customHeight="1">
      <c r="A46" s="325" t="str">
        <f t="shared" si="7"/>
        <v>NL</v>
      </c>
      <c r="B46" s="616">
        <f t="shared" si="8"/>
        <v>29</v>
      </c>
      <c r="C46" s="40" t="s">
        <v>873</v>
      </c>
      <c r="D46" s="328" t="s">
        <v>563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3755000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>E46+G46-I46</f>
        <v>500</v>
      </c>
      <c r="L46" s="8">
        <f>F46+H46-J46</f>
        <v>3755000</v>
      </c>
      <c r="M46" s="329"/>
    </row>
    <row r="47" spans="1:13" ht="18" customHeight="1">
      <c r="A47" s="325" t="str">
        <f t="shared" si="7"/>
        <v>NL</v>
      </c>
      <c r="B47" s="616">
        <f t="shared" si="8"/>
        <v>30</v>
      </c>
      <c r="C47" s="40" t="s">
        <v>799</v>
      </c>
      <c r="D47" s="328" t="s">
        <v>563</v>
      </c>
      <c r="E47" s="8"/>
      <c r="F47" s="8"/>
      <c r="G47" s="25">
        <f t="array" ref="G47">SUM(IF("1521"&amp;C47=KHN&amp;MH,SL))</f>
        <v>200</v>
      </c>
      <c r="H47" s="25">
        <f t="array" ref="H47">SUM(IF("1521"&amp;C47=KHN&amp;MH,TH))</f>
        <v>2512600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>E47+G47-I47</f>
        <v>200</v>
      </c>
      <c r="L47" s="8">
        <f>F47+H47-J47</f>
        <v>2512600</v>
      </c>
      <c r="M47" s="329"/>
    </row>
    <row r="48" spans="1:13" ht="18" customHeight="1">
      <c r="A48" s="325" t="str">
        <f t="shared" si="7"/>
        <v>NL</v>
      </c>
      <c r="B48" s="616">
        <f t="shared" si="8"/>
        <v>31</v>
      </c>
      <c r="C48" s="40" t="s">
        <v>1020</v>
      </c>
      <c r="D48" s="328" t="s">
        <v>563</v>
      </c>
      <c r="E48" s="8"/>
      <c r="F48" s="8"/>
      <c r="G48" s="25">
        <f t="array" ref="G48">SUM(IF("1521"&amp;C48=KHN&amp;MH,SL))</f>
        <v>680</v>
      </c>
      <c r="H48" s="25">
        <f t="array" ref="H48">SUM(IF("1521"&amp;C48=KHN&amp;MH,TH))</f>
        <v>11388640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>E48+G48-I48</f>
        <v>680</v>
      </c>
      <c r="L48" s="8">
        <f>F48+H48-J48</f>
        <v>11388640</v>
      </c>
      <c r="M48" s="329"/>
    </row>
    <row r="49" spans="1:13" ht="18" customHeight="1">
      <c r="A49" s="325" t="str">
        <f t="shared" si="7"/>
        <v>NL</v>
      </c>
      <c r="B49" s="616">
        <f t="shared" si="8"/>
        <v>32</v>
      </c>
      <c r="C49" s="40" t="s">
        <v>1053</v>
      </c>
      <c r="D49" s="328" t="s">
        <v>563</v>
      </c>
      <c r="E49" s="8"/>
      <c r="F49" s="8"/>
      <c r="G49" s="25">
        <f t="array" ref="G49">SUM(IF("1521"&amp;C49=KHN&amp;MH,SL))</f>
        <v>340</v>
      </c>
      <c r="H49" s="25">
        <f t="array" ref="H49">SUM(IF("1521"&amp;C49=KHN&amp;MH,TH))</f>
        <v>5140800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>E49+G49-I49</f>
        <v>340</v>
      </c>
      <c r="L49" s="8">
        <f>F49+H49-J49</f>
        <v>5140800</v>
      </c>
      <c r="M49" s="329"/>
    </row>
    <row r="50" spans="1:13" ht="18" customHeight="1">
      <c r="A50" s="325" t="str">
        <f t="shared" si="7"/>
        <v>NL</v>
      </c>
      <c r="B50" s="616">
        <f t="shared" si="8"/>
        <v>33</v>
      </c>
      <c r="C50" s="40" t="s">
        <v>1033</v>
      </c>
      <c r="D50" s="328" t="s">
        <v>563</v>
      </c>
      <c r="E50" s="8"/>
      <c r="F50" s="8"/>
      <c r="G50" s="25">
        <f t="array" ref="G50">SUM(IF("1521"&amp;C50=KHN&amp;MH,SL))</f>
        <v>500</v>
      </c>
      <c r="H50" s="25">
        <f t="array" ref="H50">SUM(IF("1521"&amp;C50=KHN&amp;MH,TH))</f>
        <v>4688500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>E50+G50-I50</f>
        <v>500</v>
      </c>
      <c r="L50" s="8">
        <f>F50+H50-J50</f>
        <v>4688500</v>
      </c>
      <c r="M50" s="329"/>
    </row>
    <row r="51" spans="1:13" ht="18" customHeight="1">
      <c r="A51" s="325" t="str">
        <f t="shared" si="7"/>
        <v>NL</v>
      </c>
      <c r="B51" s="616">
        <f t="shared" si="8"/>
        <v>34</v>
      </c>
      <c r="C51" s="203" t="s">
        <v>698</v>
      </c>
      <c r="D51" s="328" t="s">
        <v>563</v>
      </c>
      <c r="E51" s="8"/>
      <c r="F51" s="8"/>
      <c r="G51" s="25">
        <f t="array" ref="G51">SUM(IF("1521"&amp;C51=KHN&amp;MH,SL))</f>
        <v>250</v>
      </c>
      <c r="H51" s="25">
        <f t="array" ref="H51">SUM(IF("1521"&amp;C51=KHN&amp;MH,TH))</f>
        <v>3013250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>E51+G51-I51</f>
        <v>250</v>
      </c>
      <c r="L51" s="8">
        <f>F51+H51-J51</f>
        <v>3013250</v>
      </c>
      <c r="M51" s="329"/>
    </row>
    <row r="52" spans="1:13" ht="18" customHeight="1">
      <c r="A52" s="325" t="str">
        <f t="shared" si="7"/>
        <v>NL</v>
      </c>
      <c r="B52" s="616">
        <f t="shared" si="8"/>
        <v>35</v>
      </c>
      <c r="C52" s="40" t="s">
        <v>838</v>
      </c>
      <c r="D52" s="328" t="s">
        <v>563</v>
      </c>
      <c r="E52" s="8"/>
      <c r="F52" s="8"/>
      <c r="G52" s="25">
        <f t="array" ref="G52">SUM(IF("1521"&amp;C52=KHN&amp;MH,SL))</f>
        <v>910</v>
      </c>
      <c r="H52" s="25">
        <f t="array" ref="H52">SUM(IF("1521"&amp;C52=KHN&amp;MH,TH))</f>
        <v>8943480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>E52+G52-I52</f>
        <v>910</v>
      </c>
      <c r="L52" s="8">
        <f>F52+H52-J52</f>
        <v>8943480</v>
      </c>
      <c r="M52" s="329"/>
    </row>
    <row r="53" spans="1:13" ht="18" customHeight="1">
      <c r="A53" s="325" t="str">
        <f t="shared" si="7"/>
        <v>NL</v>
      </c>
      <c r="B53" s="616">
        <f t="shared" si="8"/>
        <v>36</v>
      </c>
      <c r="C53" s="40" t="s">
        <v>982</v>
      </c>
      <c r="D53" s="328" t="s">
        <v>563</v>
      </c>
      <c r="E53" s="8"/>
      <c r="F53" s="8"/>
      <c r="G53" s="25">
        <f t="array" ref="G53">SUM(IF("1521"&amp;C53=KHN&amp;MH,SL))</f>
        <v>550</v>
      </c>
      <c r="H53" s="25">
        <f t="array" ref="H53">SUM(IF("1521"&amp;C53=KHN&amp;MH,TH))</f>
        <v>5440050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>E53+G53-I53</f>
        <v>550</v>
      </c>
      <c r="L53" s="8">
        <f>F53+H53-J53</f>
        <v>5440050</v>
      </c>
      <c r="M53" s="329"/>
    </row>
    <row r="54" spans="1:13" ht="18" customHeight="1">
      <c r="A54" s="325" t="str">
        <f t="shared" si="7"/>
        <v>NL</v>
      </c>
      <c r="B54" s="616">
        <f t="shared" si="8"/>
        <v>37</v>
      </c>
      <c r="C54" s="40" t="s">
        <v>1025</v>
      </c>
      <c r="D54" s="328" t="s">
        <v>563</v>
      </c>
      <c r="E54" s="8"/>
      <c r="F54" s="8"/>
      <c r="G54" s="25">
        <f t="array" ref="G54">SUM(IF("1521"&amp;C54=KHN&amp;MH,SL))</f>
        <v>500</v>
      </c>
      <c r="H54" s="25">
        <f t="array" ref="H54">SUM(IF("1521"&amp;C54=KHN&amp;MH,TH))</f>
        <v>5723500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>E54+G54-I54</f>
        <v>500</v>
      </c>
      <c r="L54" s="8">
        <f>F54+H54-J54</f>
        <v>5723500</v>
      </c>
      <c r="M54" s="329"/>
    </row>
    <row r="55" spans="1:13" ht="18" customHeight="1">
      <c r="A55" s="325" t="str">
        <f t="shared" si="7"/>
        <v>NL</v>
      </c>
      <c r="B55" s="616">
        <f t="shared" si="8"/>
        <v>38</v>
      </c>
      <c r="C55" s="40" t="s">
        <v>859</v>
      </c>
      <c r="D55" s="328" t="s">
        <v>563</v>
      </c>
      <c r="E55" s="8"/>
      <c r="F55" s="8"/>
      <c r="G55" s="25">
        <f t="array" ref="G55">SUM(IF("1521"&amp;C55=KHN&amp;MH,SL))</f>
        <v>350</v>
      </c>
      <c r="H55" s="25">
        <f t="array" ref="H55">SUM(IF("1521"&amp;C55=KHN&amp;MH,TH))</f>
        <v>5400150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>E55+G55-I55</f>
        <v>350</v>
      </c>
      <c r="L55" s="8">
        <f>F55+H55-J55</f>
        <v>5400150</v>
      </c>
      <c r="M55" s="329"/>
    </row>
    <row r="56" spans="1:13" ht="18" customHeight="1">
      <c r="A56" s="325" t="str">
        <f t="shared" si="7"/>
        <v>NL</v>
      </c>
      <c r="B56" s="616">
        <f t="shared" si="8"/>
        <v>39</v>
      </c>
      <c r="C56" s="40" t="s">
        <v>921</v>
      </c>
      <c r="D56" s="328" t="s">
        <v>563</v>
      </c>
      <c r="E56" s="8"/>
      <c r="F56" s="8"/>
      <c r="G56" s="25">
        <f t="array" ref="G56">SUM(IF("1521"&amp;C56=KHN&amp;MH,SL))</f>
        <v>400</v>
      </c>
      <c r="H56" s="25">
        <f t="array" ref="H56">SUM(IF("1521"&amp;C56=KHN&amp;MH,TH))</f>
        <v>4261200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>E56+G56-I56</f>
        <v>400</v>
      </c>
      <c r="L56" s="8">
        <f>F56+H56-J56</f>
        <v>4261200</v>
      </c>
      <c r="M56" s="329"/>
    </row>
    <row r="57" spans="1:13" ht="18" customHeight="1">
      <c r="A57" s="325" t="str">
        <f t="shared" si="7"/>
        <v>NL</v>
      </c>
      <c r="B57" s="616">
        <f t="shared" si="8"/>
        <v>40</v>
      </c>
      <c r="C57" s="40" t="s">
        <v>918</v>
      </c>
      <c r="D57" s="328" t="s">
        <v>563</v>
      </c>
      <c r="E57" s="8"/>
      <c r="F57" s="8"/>
      <c r="G57" s="25">
        <f t="array" ref="G57">SUM(IF("1521"&amp;C57=KHN&amp;MH,SL))</f>
        <v>500</v>
      </c>
      <c r="H57" s="25">
        <f t="array" ref="H57">SUM(IF("1521"&amp;C57=KHN&amp;MH,TH))</f>
        <v>5292000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>E57+G57-I57</f>
        <v>500</v>
      </c>
      <c r="L57" s="8">
        <f>F57+H57-J57</f>
        <v>5292000</v>
      </c>
      <c r="M57" s="329"/>
    </row>
    <row r="58" spans="1:13" ht="18" customHeight="1">
      <c r="A58" s="325" t="str">
        <f t="shared" si="7"/>
        <v>NL</v>
      </c>
      <c r="B58" s="616">
        <f t="shared" si="8"/>
        <v>41</v>
      </c>
      <c r="C58" s="40" t="s">
        <v>800</v>
      </c>
      <c r="D58" s="328" t="s">
        <v>563</v>
      </c>
      <c r="E58" s="8"/>
      <c r="F58" s="8"/>
      <c r="G58" s="25">
        <f t="array" ref="G58">SUM(IF("1521"&amp;C58=KHN&amp;MH,SL))</f>
        <v>100</v>
      </c>
      <c r="H58" s="25">
        <f t="array" ref="H58">SUM(IF("1521"&amp;C58=KHN&amp;MH,TH))</f>
        <v>1554400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>E58+G58-I58</f>
        <v>100</v>
      </c>
      <c r="L58" s="8">
        <f>F58+H58-J58</f>
        <v>1554400</v>
      </c>
      <c r="M58" s="329"/>
    </row>
    <row r="59" spans="1:13" ht="18" customHeight="1">
      <c r="A59" s="325" t="str">
        <f t="shared" si="7"/>
        <v>NL</v>
      </c>
      <c r="B59" s="616">
        <f t="shared" si="8"/>
        <v>42</v>
      </c>
      <c r="C59" s="40" t="s">
        <v>1030</v>
      </c>
      <c r="D59" s="328" t="s">
        <v>563</v>
      </c>
      <c r="E59" s="8"/>
      <c r="F59" s="8"/>
      <c r="G59" s="25">
        <f t="array" ref="G59">SUM(IF("1521"&amp;C59=KHN&amp;MH,SL))</f>
        <v>350</v>
      </c>
      <c r="H59" s="25">
        <f t="array" ref="H59">SUM(IF("1521"&amp;C59=KHN&amp;MH,TH))</f>
        <v>5644800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>E59+G59-I59</f>
        <v>350</v>
      </c>
      <c r="L59" s="8">
        <f>F59+H59-J59</f>
        <v>5644800</v>
      </c>
      <c r="M59" s="329"/>
    </row>
    <row r="60" spans="1:13" ht="18" customHeight="1">
      <c r="A60" s="325" t="str">
        <f t="shared" si="7"/>
        <v>NL</v>
      </c>
      <c r="B60" s="616">
        <f t="shared" si="8"/>
        <v>43</v>
      </c>
      <c r="C60" s="40" t="s">
        <v>839</v>
      </c>
      <c r="D60" s="328" t="s">
        <v>563</v>
      </c>
      <c r="E60" s="8"/>
      <c r="F60" s="8"/>
      <c r="G60" s="25">
        <f t="array" ref="G60">SUM(IF("1521"&amp;C60=KHN&amp;MH,SL))</f>
        <v>470</v>
      </c>
      <c r="H60" s="25">
        <f t="array" ref="H60">SUM(IF("1521"&amp;C60=KHN&amp;MH,TH))</f>
        <v>5243790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>E60+G60-I60</f>
        <v>470</v>
      </c>
      <c r="L60" s="8">
        <f>F60+H60-J60</f>
        <v>5243790</v>
      </c>
      <c r="M60" s="329"/>
    </row>
    <row r="61" spans="1:13" ht="18" customHeight="1">
      <c r="A61" s="325" t="str">
        <f t="shared" si="7"/>
        <v>NL</v>
      </c>
      <c r="B61" s="616">
        <f t="shared" si="8"/>
        <v>44</v>
      </c>
      <c r="C61" s="40" t="s">
        <v>818</v>
      </c>
      <c r="D61" s="328" t="s">
        <v>563</v>
      </c>
      <c r="E61" s="8"/>
      <c r="F61" s="8"/>
      <c r="G61" s="25">
        <f t="array" ref="G61">SUM(IF("1521"&amp;C61=KHN&amp;MH,SL))</f>
        <v>100</v>
      </c>
      <c r="H61" s="25">
        <f t="array" ref="H61">SUM(IF("1521"&amp;C61=KHN&amp;MH,TH))</f>
        <v>1186600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>E61+G61-I61</f>
        <v>100</v>
      </c>
      <c r="L61" s="8">
        <f>F61+H61-J61</f>
        <v>1186600</v>
      </c>
      <c r="M61" s="329"/>
    </row>
    <row r="62" spans="1:13" ht="18" customHeight="1">
      <c r="A62" s="325" t="str">
        <f t="shared" si="7"/>
        <v>NL</v>
      </c>
      <c r="B62" s="616">
        <f t="shared" si="8"/>
        <v>45</v>
      </c>
      <c r="C62" s="40" t="s">
        <v>992</v>
      </c>
      <c r="D62" s="328" t="s">
        <v>563</v>
      </c>
      <c r="E62" s="8"/>
      <c r="F62" s="8"/>
      <c r="G62" s="25">
        <f t="array" ref="G62">SUM(IF("1521"&amp;C62=KHN&amp;MH,SL))</f>
        <v>105</v>
      </c>
      <c r="H62" s="25">
        <f t="array" ref="H62">SUM(IF("1521"&amp;C62=KHN&amp;MH,TH))</f>
        <v>1812195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>E62+G62-I62</f>
        <v>105</v>
      </c>
      <c r="L62" s="8">
        <f>F62+H62-J62</f>
        <v>1812195</v>
      </c>
      <c r="M62" s="329"/>
    </row>
    <row r="63" spans="1:13" ht="18" customHeight="1">
      <c r="A63" s="325" t="str">
        <f t="shared" si="7"/>
        <v>NL</v>
      </c>
      <c r="B63" s="616">
        <f t="shared" si="8"/>
        <v>46</v>
      </c>
      <c r="C63" s="330" t="s">
        <v>645</v>
      </c>
      <c r="D63" s="328" t="s">
        <v>563</v>
      </c>
      <c r="E63" s="8"/>
      <c r="F63" s="8"/>
      <c r="G63" s="25">
        <f t="array" ref="G63">SUM(IF("1521"&amp;C63=KHN&amp;MH,SL))</f>
        <v>1633</v>
      </c>
      <c r="H63" s="25">
        <f t="array" ref="H63">SUM(IF("1521"&amp;C63=KHN&amp;MH,TH))</f>
        <v>18737351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>E63+G63-I63</f>
        <v>1633</v>
      </c>
      <c r="L63" s="8">
        <f>F63+H63-J63</f>
        <v>18737351</v>
      </c>
      <c r="M63" s="329"/>
    </row>
    <row r="64" spans="1:13" ht="18" customHeight="1">
      <c r="A64" s="325" t="str">
        <f t="shared" si="7"/>
        <v>NL</v>
      </c>
      <c r="B64" s="616">
        <f t="shared" si="8"/>
        <v>47</v>
      </c>
      <c r="C64" s="40" t="s">
        <v>1028</v>
      </c>
      <c r="D64" s="328" t="s">
        <v>563</v>
      </c>
      <c r="E64" s="8"/>
      <c r="F64" s="8"/>
      <c r="G64" s="25">
        <f t="array" ref="G64">SUM(IF("1521"&amp;C64=KHN&amp;MH,SL))</f>
        <v>200</v>
      </c>
      <c r="H64" s="25">
        <f t="array" ref="H64">SUM(IF("1521"&amp;C64=KHN&amp;MH,TH))</f>
        <v>1633000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>E64+G64-I64</f>
        <v>200</v>
      </c>
      <c r="L64" s="8">
        <f>F64+H64-J64</f>
        <v>1633000</v>
      </c>
      <c r="M64" s="329"/>
    </row>
    <row r="65" spans="1:13" ht="18" customHeight="1">
      <c r="A65" s="325" t="str">
        <f t="shared" si="7"/>
        <v>NL</v>
      </c>
      <c r="B65" s="616">
        <f t="shared" si="8"/>
        <v>48</v>
      </c>
      <c r="C65" s="40" t="s">
        <v>920</v>
      </c>
      <c r="D65" s="328" t="s">
        <v>563</v>
      </c>
      <c r="E65" s="8"/>
      <c r="F65" s="8"/>
      <c r="G65" s="25">
        <f t="array" ref="G65">SUM(IF("1521"&amp;C65=KHN&amp;MH,SL))</f>
        <v>500</v>
      </c>
      <c r="H65" s="25">
        <f t="array" ref="H65">SUM(IF("1521"&amp;C65=KHN&amp;MH,TH))</f>
        <v>5941000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>E65+G65-I65</f>
        <v>500</v>
      </c>
      <c r="L65" s="8">
        <f>F65+H65-J65</f>
        <v>5941000</v>
      </c>
      <c r="M65" s="329"/>
    </row>
    <row r="66" spans="1:13" ht="18" customHeight="1">
      <c r="A66" s="325" t="str">
        <f t="shared" si="7"/>
        <v>NL</v>
      </c>
      <c r="B66" s="616">
        <f t="shared" si="8"/>
        <v>49</v>
      </c>
      <c r="C66" s="40" t="s">
        <v>1088</v>
      </c>
      <c r="D66" s="328" t="s">
        <v>563</v>
      </c>
      <c r="E66" s="8"/>
      <c r="F66" s="8"/>
      <c r="G66" s="25">
        <f t="array" ref="G66">SUM(IF("1521"&amp;C66=KHN&amp;MH,SL))</f>
        <v>220</v>
      </c>
      <c r="H66" s="25">
        <f t="array" ref="H66">SUM(IF("1521"&amp;C66=KHN&amp;MH,TH))</f>
        <v>3897520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>E66+G66-I66</f>
        <v>220</v>
      </c>
      <c r="L66" s="8">
        <f>F66+H66-J66</f>
        <v>3897520</v>
      </c>
      <c r="M66" s="329"/>
    </row>
    <row r="67" spans="1:13" ht="18" customHeight="1">
      <c r="A67" s="325" t="str">
        <f t="shared" si="7"/>
        <v>NL</v>
      </c>
      <c r="B67" s="616">
        <f t="shared" si="8"/>
        <v>50</v>
      </c>
      <c r="C67" s="40" t="s">
        <v>875</v>
      </c>
      <c r="D67" s="328" t="s">
        <v>563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4158000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>E67+G67-I67</f>
        <v>500</v>
      </c>
      <c r="L67" s="8">
        <f>F67+H67-J67</f>
        <v>4158000</v>
      </c>
      <c r="M67" s="329"/>
    </row>
    <row r="68" spans="1:13" ht="18" customHeight="1">
      <c r="A68" s="325" t="str">
        <f t="shared" si="7"/>
        <v>NL</v>
      </c>
      <c r="B68" s="616">
        <f t="shared" si="8"/>
        <v>51</v>
      </c>
      <c r="C68" s="40" t="s">
        <v>1148</v>
      </c>
      <c r="D68" s="328" t="s">
        <v>563</v>
      </c>
      <c r="E68" s="8"/>
      <c r="F68" s="8"/>
      <c r="G68" s="25">
        <f t="array" ref="G68">SUM(IF("1521"&amp;C68=KHN&amp;MH,SL))</f>
        <v>470</v>
      </c>
      <c r="H68" s="25">
        <f t="array" ref="H68">SUM(IF("1521"&amp;C68=KHN&amp;MH,TH))</f>
        <v>5223110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>E68+G68-I68</f>
        <v>470</v>
      </c>
      <c r="L68" s="8">
        <f>F68+H68-J68</f>
        <v>5223110</v>
      </c>
      <c r="M68" s="329"/>
    </row>
    <row r="69" spans="1:13" ht="18" customHeight="1">
      <c r="A69" s="325" t="str">
        <f t="shared" si="7"/>
        <v>NL</v>
      </c>
      <c r="B69" s="616">
        <f t="shared" si="8"/>
        <v>52</v>
      </c>
      <c r="C69" s="40" t="s">
        <v>1052</v>
      </c>
      <c r="D69" s="328" t="s">
        <v>563</v>
      </c>
      <c r="E69" s="8"/>
      <c r="F69" s="8"/>
      <c r="G69" s="25">
        <f t="array" ref="G69">SUM(IF("1521"&amp;C69=KHN&amp;MH,SL))</f>
        <v>100</v>
      </c>
      <c r="H69" s="25">
        <f t="array" ref="H69">SUM(IF("1521"&amp;C69=KHN&amp;MH,TH))</f>
        <v>1188900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>E69+G69-I69</f>
        <v>100</v>
      </c>
      <c r="L69" s="8">
        <f>F69+H69-J69</f>
        <v>1188900</v>
      </c>
      <c r="M69" s="329"/>
    </row>
    <row r="70" spans="1:13" ht="18" customHeight="1">
      <c r="A70" s="325" t="str">
        <f t="shared" si="7"/>
        <v>NL</v>
      </c>
      <c r="B70" s="616">
        <f t="shared" si="8"/>
        <v>53</v>
      </c>
      <c r="C70" s="40" t="s">
        <v>1027</v>
      </c>
      <c r="D70" s="328" t="s">
        <v>563</v>
      </c>
      <c r="E70" s="8"/>
      <c r="F70" s="8"/>
      <c r="G70" s="25">
        <f t="array" ref="G70">SUM(IF("1521"&amp;C70=KHN&amp;MH,SL))</f>
        <v>500</v>
      </c>
      <c r="H70" s="25">
        <f t="array" ref="H70">SUM(IF("1521"&amp;C70=KHN&amp;MH,TH))</f>
        <v>6451500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>E70+G70-I70</f>
        <v>500</v>
      </c>
      <c r="L70" s="8">
        <f>F70+H70-J70</f>
        <v>6451500</v>
      </c>
      <c r="M70" s="329"/>
    </row>
    <row r="71" spans="1:13" ht="18" customHeight="1">
      <c r="A71" s="325" t="str">
        <f t="shared" si="7"/>
        <v>NL</v>
      </c>
      <c r="B71" s="616">
        <f t="shared" si="8"/>
        <v>54</v>
      </c>
      <c r="C71" s="40" t="s">
        <v>820</v>
      </c>
      <c r="D71" s="328" t="s">
        <v>563</v>
      </c>
      <c r="E71" s="8"/>
      <c r="F71" s="8"/>
      <c r="G71" s="25">
        <f t="array" ref="G71">SUM(IF("1521"&amp;C71=KHN&amp;MH,SL))</f>
        <v>339</v>
      </c>
      <c r="H71" s="25">
        <f t="array" ref="H71">SUM(IF("1521"&amp;C71=KHN&amp;MH,TH))</f>
        <v>4440561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>E71+G71-I71</f>
        <v>339</v>
      </c>
      <c r="L71" s="8">
        <f>F71+H71-J71</f>
        <v>4440561</v>
      </c>
      <c r="M71" s="329"/>
    </row>
    <row r="72" spans="1:13" ht="18" customHeight="1">
      <c r="A72" s="325" t="str">
        <f t="shared" si="7"/>
        <v>NL</v>
      </c>
      <c r="B72" s="616">
        <f t="shared" si="8"/>
        <v>55</v>
      </c>
      <c r="C72" s="40" t="s">
        <v>1123</v>
      </c>
      <c r="D72" s="328" t="s">
        <v>563</v>
      </c>
      <c r="E72" s="8"/>
      <c r="F72" s="8"/>
      <c r="G72" s="25">
        <f t="array" ref="G72">SUM(IF("1521"&amp;C72=KHN&amp;MH,SL))</f>
        <v>690</v>
      </c>
      <c r="H72" s="25">
        <f t="array" ref="H72">SUM(IF("1521"&amp;C72=KHN&amp;MH,TH))</f>
        <v>13723250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>E72+G72-I72</f>
        <v>690</v>
      </c>
      <c r="L72" s="8">
        <f>F72+H72-J72</f>
        <v>13723250</v>
      </c>
      <c r="M72" s="329"/>
    </row>
    <row r="73" spans="1:13" ht="18" customHeight="1">
      <c r="A73" s="325" t="str">
        <f t="shared" si="7"/>
        <v>NL</v>
      </c>
      <c r="B73" s="616">
        <f t="shared" si="8"/>
        <v>56</v>
      </c>
      <c r="C73" s="330" t="s">
        <v>646</v>
      </c>
      <c r="D73" s="328" t="s">
        <v>563</v>
      </c>
      <c r="E73" s="8"/>
      <c r="F73" s="8"/>
      <c r="G73" s="25">
        <f t="array" ref="G73">SUM(IF("1521"&amp;C73=KHN&amp;MH,SL))</f>
        <v>712</v>
      </c>
      <c r="H73" s="25">
        <f t="array" ref="H73">SUM(IF("1521"&amp;C73=KHN&amp;MH,TH))</f>
        <v>9491052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>E73+G73-I73</f>
        <v>712</v>
      </c>
      <c r="L73" s="8">
        <f>F73+H73-J73</f>
        <v>9491052</v>
      </c>
      <c r="M73" s="329"/>
    </row>
    <row r="74" spans="1:13" ht="18" customHeight="1">
      <c r="A74" s="325" t="str">
        <f t="shared" si="7"/>
        <v>NL</v>
      </c>
      <c r="B74" s="616">
        <f t="shared" si="8"/>
        <v>57</v>
      </c>
      <c r="C74" s="40" t="s">
        <v>851</v>
      </c>
      <c r="D74" s="328" t="s">
        <v>563</v>
      </c>
      <c r="E74" s="8"/>
      <c r="F74" s="8"/>
      <c r="G74" s="25">
        <f t="array" ref="G74">SUM(IF("1521"&amp;C74=KHN&amp;MH,SL))</f>
        <v>395</v>
      </c>
      <c r="H74" s="25">
        <f t="array" ref="H74">SUM(IF("1521"&amp;C74=KHN&amp;MH,TH))</f>
        <v>4835195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>E74+G74-I74</f>
        <v>395</v>
      </c>
      <c r="L74" s="8">
        <f>F74+H74-J74</f>
        <v>4835195</v>
      </c>
      <c r="M74" s="329"/>
    </row>
    <row r="75" spans="1:13" ht="18" customHeight="1">
      <c r="A75" s="325" t="str">
        <f t="shared" si="7"/>
        <v>NL</v>
      </c>
      <c r="B75" s="616">
        <f t="shared" si="8"/>
        <v>58</v>
      </c>
      <c r="C75" s="40" t="s">
        <v>922</v>
      </c>
      <c r="D75" s="328" t="s">
        <v>563</v>
      </c>
      <c r="E75" s="8"/>
      <c r="F75" s="8"/>
      <c r="G75" s="25">
        <f t="array" ref="G75">SUM(IF("1521"&amp;C75=KHN&amp;MH,SL))</f>
        <v>150</v>
      </c>
      <c r="H75" s="25">
        <f t="array" ref="H75">SUM(IF("1521"&amp;C75=KHN&amp;MH,TH))</f>
        <v>1890900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>E75+G75-I75</f>
        <v>150</v>
      </c>
      <c r="L75" s="8">
        <f>F75+H75-J75</f>
        <v>1890900</v>
      </c>
      <c r="M75" s="329"/>
    </row>
    <row r="76" spans="1:13" ht="18" customHeight="1">
      <c r="A76" s="325" t="str">
        <f t="shared" si="7"/>
        <v>NL</v>
      </c>
      <c r="B76" s="616">
        <f t="shared" si="8"/>
        <v>59</v>
      </c>
      <c r="C76" s="40" t="s">
        <v>821</v>
      </c>
      <c r="D76" s="328" t="s">
        <v>563</v>
      </c>
      <c r="E76" s="8"/>
      <c r="F76" s="8"/>
      <c r="G76" s="25">
        <f t="array" ref="G76">SUM(IF("1521"&amp;C76=KHN&amp;MH,SL))</f>
        <v>510</v>
      </c>
      <c r="H76" s="25">
        <f t="array" ref="H76">SUM(IF("1521"&amp;C76=KHN&amp;MH,TH))</f>
        <v>7432230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>E76+G76-I76</f>
        <v>510</v>
      </c>
      <c r="L76" s="8">
        <f>F76+H76-J76</f>
        <v>7432230</v>
      </c>
      <c r="M76" s="329"/>
    </row>
    <row r="77" spans="1:13" ht="18" customHeight="1">
      <c r="A77" s="325" t="str">
        <f t="shared" si="7"/>
        <v>NL</v>
      </c>
      <c r="B77" s="616">
        <f t="shared" si="8"/>
        <v>60</v>
      </c>
      <c r="C77" s="40" t="s">
        <v>837</v>
      </c>
      <c r="D77" s="328" t="s">
        <v>563</v>
      </c>
      <c r="E77" s="8"/>
      <c r="F77" s="8"/>
      <c r="G77" s="25">
        <f t="array" ref="G77">SUM(IF("1521"&amp;C77=KHN&amp;MH,SL))</f>
        <v>350</v>
      </c>
      <c r="H77" s="25">
        <f t="array" ref="H77">SUM(IF("1521"&amp;C77=KHN&amp;MH,TH))</f>
        <v>5712350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>E77+G77-I77</f>
        <v>350</v>
      </c>
      <c r="L77" s="8">
        <f>F77+H77-J77</f>
        <v>5712350</v>
      </c>
      <c r="M77" s="329"/>
    </row>
    <row r="78" spans="1:13" ht="18" customHeight="1">
      <c r="A78" s="325" t="str">
        <f t="shared" si="7"/>
        <v>NL</v>
      </c>
      <c r="B78" s="616">
        <f t="shared" si="8"/>
        <v>61</v>
      </c>
      <c r="C78" s="203" t="s">
        <v>651</v>
      </c>
      <c r="D78" s="328" t="s">
        <v>563</v>
      </c>
      <c r="E78" s="8"/>
      <c r="F78" s="8"/>
      <c r="G78" s="25">
        <f t="array" ref="G78">SUM(IF("1521"&amp;C78=KHN&amp;MH,SL))</f>
        <v>1105</v>
      </c>
      <c r="H78" s="25">
        <f t="array" ref="H78">SUM(IF("1521"&amp;C78=KHN&amp;MH,TH))</f>
        <v>16386760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>E78+G78-I78</f>
        <v>1105</v>
      </c>
      <c r="L78" s="8">
        <f>F78+H78-J78</f>
        <v>16386760</v>
      </c>
      <c r="M78" s="329"/>
    </row>
    <row r="79" spans="1:13" ht="18" customHeight="1">
      <c r="A79" s="325" t="str">
        <f t="shared" si="7"/>
        <v>NL</v>
      </c>
      <c r="B79" s="616">
        <f t="shared" si="8"/>
        <v>62</v>
      </c>
      <c r="C79" s="40" t="s">
        <v>785</v>
      </c>
      <c r="D79" s="328" t="s">
        <v>563</v>
      </c>
      <c r="E79" s="8"/>
      <c r="F79" s="8"/>
      <c r="G79" s="25">
        <f t="array" ref="G79">SUM(IF("1521"&amp;C79=KHN&amp;MH,SL))</f>
        <v>100</v>
      </c>
      <c r="H79" s="25">
        <f t="array" ref="H79">SUM(IF("1521"&amp;C79=KHN&amp;MH,TH))</f>
        <v>1515900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>E79+G79-I79</f>
        <v>100</v>
      </c>
      <c r="L79" s="8">
        <f>F79+H79-J79</f>
        <v>1515900</v>
      </c>
      <c r="M79" s="329"/>
    </row>
    <row r="80" spans="1:13" ht="18" customHeight="1">
      <c r="A80" s="325" t="str">
        <f t="shared" si="7"/>
        <v>NL</v>
      </c>
      <c r="B80" s="616">
        <f t="shared" si="8"/>
        <v>63</v>
      </c>
      <c r="C80" s="40" t="s">
        <v>885</v>
      </c>
      <c r="D80" s="328" t="s">
        <v>563</v>
      </c>
      <c r="E80" s="8"/>
      <c r="F80" s="8"/>
      <c r="G80" s="25">
        <f t="array" ref="G80">SUM(IF("1521"&amp;C80=KHN&amp;MH,SL))</f>
        <v>1000</v>
      </c>
      <c r="H80" s="25">
        <f t="array" ref="H80">SUM(IF("1521"&amp;C80=KHN&amp;MH,TH))</f>
        <v>9122000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>E80+G80-I80</f>
        <v>1000</v>
      </c>
      <c r="L80" s="8">
        <f>F80+H80-J80</f>
        <v>9122000</v>
      </c>
      <c r="M80" s="329"/>
    </row>
    <row r="81" spans="1:13" ht="18" customHeight="1">
      <c r="A81" s="325" t="str">
        <f t="shared" si="7"/>
        <v>NL</v>
      </c>
      <c r="B81" s="616">
        <f t="shared" si="8"/>
        <v>64</v>
      </c>
      <c r="C81" s="40" t="s">
        <v>939</v>
      </c>
      <c r="D81" s="328" t="s">
        <v>563</v>
      </c>
      <c r="E81" s="8"/>
      <c r="F81" s="8"/>
      <c r="G81" s="25">
        <f t="array" ref="G81">SUM(IF("1521"&amp;C81=KHN&amp;MH,SL))</f>
        <v>100</v>
      </c>
      <c r="H81" s="25">
        <f t="array" ref="H81">SUM(IF("1521"&amp;C81=KHN&amp;MH,TH))</f>
        <v>1787600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>E81+G81-I81</f>
        <v>100</v>
      </c>
      <c r="L81" s="8">
        <f>F81+H81-J81</f>
        <v>1787600</v>
      </c>
      <c r="M81" s="329"/>
    </row>
    <row r="82" spans="1:13" ht="18" customHeight="1">
      <c r="A82" s="325" t="str">
        <f t="shared" si="7"/>
        <v>NL</v>
      </c>
      <c r="B82" s="616">
        <f t="shared" si="8"/>
        <v>65</v>
      </c>
      <c r="C82" s="40" t="s">
        <v>925</v>
      </c>
      <c r="D82" s="328" t="s">
        <v>563</v>
      </c>
      <c r="E82" s="8"/>
      <c r="F82" s="8"/>
      <c r="G82" s="25">
        <f t="array" ref="G82">SUM(IF("1521"&amp;C82=KHN&amp;MH,SL))</f>
        <v>300</v>
      </c>
      <c r="H82" s="25">
        <f t="array" ref="H82">SUM(IF("1521"&amp;C82=KHN&amp;MH,TH))</f>
        <v>6102300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>E82+G82-I82</f>
        <v>300</v>
      </c>
      <c r="L82" s="8">
        <f>F82+H82-J82</f>
        <v>6102300</v>
      </c>
      <c r="M82" s="329"/>
    </row>
    <row r="83" spans="1:13" ht="18" customHeight="1">
      <c r="A83" s="325" t="str">
        <f t="shared" ref="A83:A146" si="9">IF(B83&lt;&gt;"","NL","")</f>
        <v>NL</v>
      </c>
      <c r="B83" s="616">
        <f t="shared" ref="B83:B146" si="10">IF(C83&lt;&gt;"",B82+1,"")</f>
        <v>66</v>
      </c>
      <c r="C83" s="40" t="s">
        <v>926</v>
      </c>
      <c r="D83" s="328" t="s">
        <v>563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2342400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>E83+G83-I83</f>
        <v>200</v>
      </c>
      <c r="L83" s="8">
        <f>F83+H83-J83</f>
        <v>2342400</v>
      </c>
      <c r="M83" s="329"/>
    </row>
    <row r="84" spans="1:13" ht="18" customHeight="1">
      <c r="A84" s="325" t="str">
        <f t="shared" si="9"/>
        <v>NL</v>
      </c>
      <c r="B84" s="616">
        <f t="shared" si="10"/>
        <v>67</v>
      </c>
      <c r="C84" s="40" t="s">
        <v>822</v>
      </c>
      <c r="D84" s="328" t="s">
        <v>563</v>
      </c>
      <c r="E84" s="8"/>
      <c r="F84" s="8"/>
      <c r="G84" s="25">
        <f t="array" ref="G84">SUM(IF("1521"&amp;C84=KHN&amp;MH,SL))</f>
        <v>50</v>
      </c>
      <c r="H84" s="25">
        <f t="array" ref="H84">SUM(IF("1521"&amp;C84=KHN&amp;MH,TH))</f>
        <v>778900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>E84+G84-I84</f>
        <v>50</v>
      </c>
      <c r="L84" s="8">
        <f>F84+H84-J84</f>
        <v>778900</v>
      </c>
      <c r="M84" s="329"/>
    </row>
    <row r="85" spans="1:13" ht="18" customHeight="1">
      <c r="A85" s="325" t="str">
        <f t="shared" si="9"/>
        <v>NL</v>
      </c>
      <c r="B85" s="616">
        <f t="shared" si="10"/>
        <v>68</v>
      </c>
      <c r="C85" s="40" t="s">
        <v>1089</v>
      </c>
      <c r="D85" s="328" t="s">
        <v>563</v>
      </c>
      <c r="E85" s="8"/>
      <c r="F85" s="8"/>
      <c r="G85" s="25">
        <f t="array" ref="G85">SUM(IF("1521"&amp;C85=KHN&amp;MH,SL))</f>
        <v>360</v>
      </c>
      <c r="H85" s="25">
        <f t="array" ref="H85">SUM(IF("1521"&amp;C85=KHN&amp;MH,TH))</f>
        <v>5860080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>E85+G85-I85</f>
        <v>360</v>
      </c>
      <c r="L85" s="8">
        <f>F85+H85-J85</f>
        <v>5860080</v>
      </c>
      <c r="M85" s="329"/>
    </row>
    <row r="86" spans="1:13" ht="18" customHeight="1">
      <c r="A86" s="325" t="str">
        <f t="shared" si="9"/>
        <v>NL</v>
      </c>
      <c r="B86" s="616">
        <f t="shared" si="10"/>
        <v>69</v>
      </c>
      <c r="C86" s="40" t="s">
        <v>1087</v>
      </c>
      <c r="D86" s="328" t="s">
        <v>563</v>
      </c>
      <c r="E86" s="8"/>
      <c r="F86" s="8"/>
      <c r="G86" s="25">
        <f t="array" ref="G86">SUM(IF("1521"&amp;C86=KHN&amp;MH,SL))</f>
        <v>200</v>
      </c>
      <c r="H86" s="25">
        <f t="array" ref="H86">SUM(IF("1521"&amp;C86=KHN&amp;MH,TH))</f>
        <v>3680400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>E86+G86-I86</f>
        <v>200</v>
      </c>
      <c r="L86" s="8">
        <f>F86+H86-J86</f>
        <v>3680400</v>
      </c>
      <c r="M86" s="329"/>
    </row>
    <row r="87" spans="1:13" ht="18" customHeight="1">
      <c r="A87" s="325" t="str">
        <f t="shared" si="9"/>
        <v>NL</v>
      </c>
      <c r="B87" s="616">
        <f t="shared" si="10"/>
        <v>70</v>
      </c>
      <c r="C87" s="40" t="s">
        <v>861</v>
      </c>
      <c r="D87" s="328" t="s">
        <v>563</v>
      </c>
      <c r="E87" s="8"/>
      <c r="F87" s="8"/>
      <c r="G87" s="25">
        <f t="array" ref="G87">SUM(IF("1521"&amp;C87=KHN&amp;MH,SL))</f>
        <v>1010</v>
      </c>
      <c r="H87" s="25">
        <f t="array" ref="H87">SUM(IF("1521"&amp;C87=KHN&amp;MH,TH))</f>
        <v>17899220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>E87+G87-I87</f>
        <v>1010</v>
      </c>
      <c r="L87" s="8">
        <f>F87+H87-J87</f>
        <v>17899220</v>
      </c>
      <c r="M87" s="329"/>
    </row>
    <row r="88" spans="1:13" ht="18" customHeight="1">
      <c r="A88" s="325" t="str">
        <f t="shared" si="9"/>
        <v>NL</v>
      </c>
      <c r="B88" s="616">
        <f t="shared" si="10"/>
        <v>71</v>
      </c>
      <c r="C88" s="40" t="s">
        <v>973</v>
      </c>
      <c r="D88" s="328" t="s">
        <v>563</v>
      </c>
      <c r="E88" s="8"/>
      <c r="F88" s="8"/>
      <c r="G88" s="25">
        <f t="array" ref="G88">SUM(IF("1521"&amp;C88=KHN&amp;MH,SL))</f>
        <v>300</v>
      </c>
      <c r="H88" s="25">
        <f t="array" ref="H88">SUM(IF("1521"&amp;C88=KHN&amp;MH,TH))</f>
        <v>4136700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>E88+G88-I88</f>
        <v>300</v>
      </c>
      <c r="L88" s="8">
        <f>F88+H88-J88</f>
        <v>4136700</v>
      </c>
      <c r="M88" s="329"/>
    </row>
    <row r="89" spans="1:13" ht="18" customHeight="1">
      <c r="A89" s="325" t="str">
        <f t="shared" si="9"/>
        <v>NL</v>
      </c>
      <c r="B89" s="616">
        <f t="shared" si="10"/>
        <v>72</v>
      </c>
      <c r="C89" s="40" t="s">
        <v>830</v>
      </c>
      <c r="D89" s="328" t="s">
        <v>563</v>
      </c>
      <c r="E89" s="8"/>
      <c r="F89" s="8"/>
      <c r="G89" s="25">
        <f t="array" ref="G89">SUM(IF("1521"&amp;C89=KHN&amp;MH,SL))</f>
        <v>985</v>
      </c>
      <c r="H89" s="25">
        <f t="array" ref="H89">SUM(IF("1521"&amp;C89=KHN&amp;MH,TH))</f>
        <v>18755385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>E89+G89-I89</f>
        <v>985</v>
      </c>
      <c r="L89" s="8">
        <f>F89+H89-J89</f>
        <v>18755385</v>
      </c>
      <c r="M89" s="329"/>
    </row>
    <row r="90" spans="1:13" ht="18" customHeight="1">
      <c r="A90" s="325" t="str">
        <f t="shared" si="9"/>
        <v>NL</v>
      </c>
      <c r="B90" s="616">
        <f t="shared" si="10"/>
        <v>73</v>
      </c>
      <c r="C90" s="203" t="s">
        <v>655</v>
      </c>
      <c r="D90" s="328" t="s">
        <v>563</v>
      </c>
      <c r="E90" s="8"/>
      <c r="F90" s="8"/>
      <c r="G90" s="25">
        <f t="array" ref="G90">SUM(IF("1521"&amp;C90=KHN&amp;MH,SL))</f>
        <v>2340</v>
      </c>
      <c r="H90" s="25">
        <f t="array" ref="H90">SUM(IF("1521"&amp;C90=KHN&amp;MH,TH))</f>
        <v>45273180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>E90+G90-I90</f>
        <v>2340</v>
      </c>
      <c r="L90" s="8">
        <f>F90+H90-J90</f>
        <v>45273180</v>
      </c>
      <c r="M90" s="329"/>
    </row>
    <row r="91" spans="1:13" ht="18" customHeight="1">
      <c r="A91" s="325" t="str">
        <f t="shared" si="9"/>
        <v>NL</v>
      </c>
      <c r="B91" s="616">
        <f t="shared" si="10"/>
        <v>74</v>
      </c>
      <c r="C91" s="40" t="s">
        <v>880</v>
      </c>
      <c r="D91" s="328" t="s">
        <v>563</v>
      </c>
      <c r="E91" s="8"/>
      <c r="F91" s="8"/>
      <c r="G91" s="25">
        <f t="array" ref="G91">SUM(IF("1521"&amp;C91=KHN&amp;MH,SL))</f>
        <v>200</v>
      </c>
      <c r="H91" s="25">
        <f t="array" ref="H91">SUM(IF("1521"&amp;C91=KHN&amp;MH,TH))</f>
        <v>2800000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>E91+G91-I91</f>
        <v>200</v>
      </c>
      <c r="L91" s="8">
        <f>F91+H91-J91</f>
        <v>2800000</v>
      </c>
      <c r="M91" s="329"/>
    </row>
    <row r="92" spans="1:13" ht="18" customHeight="1">
      <c r="A92" s="325" t="str">
        <f t="shared" si="9"/>
        <v>NL</v>
      </c>
      <c r="B92" s="616">
        <f t="shared" si="10"/>
        <v>75</v>
      </c>
      <c r="C92" s="40" t="s">
        <v>827</v>
      </c>
      <c r="D92" s="328" t="s">
        <v>563</v>
      </c>
      <c r="E92" s="8"/>
      <c r="F92" s="8"/>
      <c r="G92" s="25">
        <f t="array" ref="G92">SUM(IF("1521"&amp;C92=KHN&amp;MH,SL))</f>
        <v>1075</v>
      </c>
      <c r="H92" s="25">
        <f t="array" ref="H92">SUM(IF("1521"&amp;C92=KHN&amp;MH,TH))</f>
        <v>21305425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>E92+G92-I92</f>
        <v>1075</v>
      </c>
      <c r="L92" s="8">
        <f>F92+H92-J92</f>
        <v>21305425</v>
      </c>
      <c r="M92" s="329"/>
    </row>
    <row r="93" spans="1:13" ht="18" customHeight="1">
      <c r="A93" s="325" t="str">
        <f t="shared" si="9"/>
        <v>NL</v>
      </c>
      <c r="B93" s="616">
        <f t="shared" si="10"/>
        <v>76</v>
      </c>
      <c r="C93" s="40" t="s">
        <v>897</v>
      </c>
      <c r="D93" s="328" t="s">
        <v>563</v>
      </c>
      <c r="E93" s="8"/>
      <c r="F93" s="8"/>
      <c r="G93" s="25">
        <f t="array" ref="G93">SUM(IF("1521"&amp;C93=KHN&amp;MH,SL))</f>
        <v>274</v>
      </c>
      <c r="H93" s="25">
        <f t="array" ref="H93">SUM(IF("1521"&amp;C93=KHN&amp;MH,TH))</f>
        <v>3557890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>E93+G93-I93</f>
        <v>274</v>
      </c>
      <c r="L93" s="8">
        <f>F93+H93-J93</f>
        <v>3557890</v>
      </c>
      <c r="M93" s="329"/>
    </row>
    <row r="94" spans="1:13" ht="18" customHeight="1">
      <c r="A94" s="325" t="str">
        <f t="shared" si="9"/>
        <v>NL</v>
      </c>
      <c r="B94" s="616">
        <f t="shared" si="10"/>
        <v>77</v>
      </c>
      <c r="C94" s="203" t="s">
        <v>653</v>
      </c>
      <c r="D94" s="328" t="s">
        <v>563</v>
      </c>
      <c r="E94" s="8"/>
      <c r="F94" s="8"/>
      <c r="G94" s="25">
        <f t="array" ref="G94">SUM(IF("1521"&amp;C94=KHN&amp;MH,SL))</f>
        <v>2599</v>
      </c>
      <c r="H94" s="25">
        <f t="array" ref="H94">SUM(IF("1521"&amp;C94=KHN&amp;MH,TH))</f>
        <v>52360662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>E94+G94-I94</f>
        <v>2599</v>
      </c>
      <c r="L94" s="8">
        <f>F94+H94-J94</f>
        <v>52360662</v>
      </c>
      <c r="M94" s="329"/>
    </row>
    <row r="95" spans="1:13" ht="18" customHeight="1">
      <c r="A95" s="325" t="str">
        <f t="shared" si="9"/>
        <v>NL</v>
      </c>
      <c r="B95" s="616">
        <f t="shared" si="10"/>
        <v>78</v>
      </c>
      <c r="C95" s="203" t="s">
        <v>641</v>
      </c>
      <c r="D95" s="328" t="s">
        <v>563</v>
      </c>
      <c r="E95" s="8"/>
      <c r="F95" s="8"/>
      <c r="G95" s="25">
        <f t="array" ref="G95">SUM(IF("1521"&amp;C95=KHN&amp;MH,SL))</f>
        <v>100</v>
      </c>
      <c r="H95" s="25">
        <f t="array" ref="H95">SUM(IF("1521"&amp;C95=KHN&amp;MH,TH))</f>
        <v>2176600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>E95+G95-I95</f>
        <v>100</v>
      </c>
      <c r="L95" s="8">
        <f>F95+H95-J95</f>
        <v>2176600</v>
      </c>
      <c r="M95" s="329"/>
    </row>
    <row r="96" spans="1:13" ht="18" customHeight="1">
      <c r="A96" s="325" t="str">
        <f t="shared" si="9"/>
        <v>NL</v>
      </c>
      <c r="B96" s="616">
        <f t="shared" si="10"/>
        <v>79</v>
      </c>
      <c r="C96" s="40" t="s">
        <v>854</v>
      </c>
      <c r="D96" s="328" t="s">
        <v>563</v>
      </c>
      <c r="E96" s="8"/>
      <c r="F96" s="8"/>
      <c r="G96" s="25">
        <f t="array" ref="G96">SUM(IF("1521"&amp;C96=KHN&amp;MH,SL))</f>
        <v>300</v>
      </c>
      <c r="H96" s="25">
        <f t="array" ref="H96">SUM(IF("1521"&amp;C96=KHN&amp;MH,TH))</f>
        <v>3933600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>E96+G96-I96</f>
        <v>300</v>
      </c>
      <c r="L96" s="8">
        <f>F96+H96-J96</f>
        <v>3933600</v>
      </c>
      <c r="M96" s="329"/>
    </row>
    <row r="97" spans="1:13" ht="18" customHeight="1">
      <c r="A97" s="325" t="str">
        <f t="shared" si="9"/>
        <v>NL</v>
      </c>
      <c r="B97" s="616">
        <f t="shared" si="10"/>
        <v>80</v>
      </c>
      <c r="C97" s="40" t="s">
        <v>881</v>
      </c>
      <c r="D97" s="328" t="s">
        <v>563</v>
      </c>
      <c r="E97" s="8"/>
      <c r="F97" s="8"/>
      <c r="G97" s="25">
        <f t="array" ref="G97">SUM(IF("1521"&amp;C97=KHN&amp;MH,SL))</f>
        <v>100</v>
      </c>
      <c r="H97" s="25">
        <f t="array" ref="H97">SUM(IF("1521"&amp;C97=KHN&amp;MH,TH))</f>
        <v>1456200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>E97+G97-I97</f>
        <v>100</v>
      </c>
      <c r="L97" s="8">
        <f>F97+H97-J97</f>
        <v>1456200</v>
      </c>
      <c r="M97" s="329"/>
    </row>
    <row r="98" spans="1:13" ht="18" customHeight="1">
      <c r="A98" s="325" t="str">
        <f t="shared" si="9"/>
        <v>NL</v>
      </c>
      <c r="B98" s="616">
        <f t="shared" si="10"/>
        <v>81</v>
      </c>
      <c r="C98" s="330" t="s">
        <v>644</v>
      </c>
      <c r="D98" s="328" t="s">
        <v>563</v>
      </c>
      <c r="E98" s="8"/>
      <c r="F98" s="8"/>
      <c r="G98" s="25">
        <f t="array" ref="G98">SUM(IF("1521"&amp;C98=KHN&amp;MH,SL))</f>
        <v>300</v>
      </c>
      <c r="H98" s="25">
        <f t="array" ref="H98">SUM(IF("1521"&amp;C98=KHN&amp;MH,TH))</f>
        <v>4041300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>E98+G98-I98</f>
        <v>300</v>
      </c>
      <c r="L98" s="8">
        <f>F98+H98-J98</f>
        <v>4041300</v>
      </c>
      <c r="M98" s="329"/>
    </row>
    <row r="99" spans="1:13" ht="18" customHeight="1">
      <c r="A99" s="325" t="str">
        <f t="shared" si="9"/>
        <v>NL</v>
      </c>
      <c r="B99" s="616">
        <f t="shared" si="10"/>
        <v>82</v>
      </c>
      <c r="C99" s="40" t="s">
        <v>879</v>
      </c>
      <c r="D99" s="328" t="s">
        <v>563</v>
      </c>
      <c r="E99" s="8"/>
      <c r="F99" s="8"/>
      <c r="G99" s="25">
        <f t="array" ref="G99">SUM(IF("1521"&amp;C99=KHN&amp;MH,SL))</f>
        <v>50</v>
      </c>
      <c r="H99" s="25">
        <f t="array" ref="H99">SUM(IF("1521"&amp;C99=KHN&amp;MH,TH))</f>
        <v>1111200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>E99+G99-I99</f>
        <v>50</v>
      </c>
      <c r="L99" s="8">
        <f>F99+H99-J99</f>
        <v>1111200</v>
      </c>
      <c r="M99" s="329"/>
    </row>
    <row r="100" spans="1:13" ht="18" customHeight="1">
      <c r="A100" s="325" t="str">
        <f t="shared" si="9"/>
        <v>NL</v>
      </c>
      <c r="B100" s="616">
        <f t="shared" si="10"/>
        <v>83</v>
      </c>
      <c r="C100" s="40" t="s">
        <v>952</v>
      </c>
      <c r="D100" s="328" t="s">
        <v>563</v>
      </c>
      <c r="E100" s="8"/>
      <c r="F100" s="8"/>
      <c r="G100" s="25">
        <f t="array" ref="G100">SUM(IF("1521"&amp;C100=KHN&amp;MH,SL))</f>
        <v>292</v>
      </c>
      <c r="H100" s="25">
        <f t="array" ref="H100">SUM(IF("1521"&amp;C100=KHN&amp;MH,TH))</f>
        <v>5916212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>E100+G100-I100</f>
        <v>292</v>
      </c>
      <c r="L100" s="8">
        <f>F100+H100-J100</f>
        <v>5916212</v>
      </c>
      <c r="M100" s="329"/>
    </row>
    <row r="101" spans="1:13" ht="18" customHeight="1">
      <c r="A101" s="325" t="str">
        <f t="shared" si="9"/>
        <v>NL</v>
      </c>
      <c r="B101" s="616">
        <f t="shared" si="10"/>
        <v>84</v>
      </c>
      <c r="C101" s="40" t="s">
        <v>831</v>
      </c>
      <c r="D101" s="328" t="s">
        <v>563</v>
      </c>
      <c r="E101" s="8"/>
      <c r="F101" s="8"/>
      <c r="G101" s="25">
        <f t="array" ref="G101">SUM(IF("1521"&amp;C101=KHN&amp;MH,SL))</f>
        <v>50</v>
      </c>
      <c r="H101" s="25">
        <f t="array" ref="H101">SUM(IF("1521"&amp;C101=KHN&amp;MH,TH))</f>
        <v>1157750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>E101+G101-I101</f>
        <v>50</v>
      </c>
      <c r="L101" s="8">
        <f>F101+H101-J101</f>
        <v>1157750</v>
      </c>
      <c r="M101" s="329"/>
    </row>
    <row r="102" spans="1:13" ht="18" customHeight="1">
      <c r="A102" s="325" t="str">
        <f t="shared" si="9"/>
        <v>NL</v>
      </c>
      <c r="B102" s="616">
        <f t="shared" si="10"/>
        <v>85</v>
      </c>
      <c r="C102" s="40" t="s">
        <v>938</v>
      </c>
      <c r="D102" s="328" t="s">
        <v>563</v>
      </c>
      <c r="E102" s="8"/>
      <c r="F102" s="8"/>
      <c r="G102" s="25">
        <f t="array" ref="G102">SUM(IF("1521"&amp;C102=KHN&amp;MH,SL))</f>
        <v>120</v>
      </c>
      <c r="H102" s="25">
        <f t="array" ref="H102">SUM(IF("1521"&amp;C102=KHN&amp;MH,TH))</f>
        <v>1389360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>E102+G102-I102</f>
        <v>120</v>
      </c>
      <c r="L102" s="8">
        <f>F102+H102-J102</f>
        <v>1389360</v>
      </c>
      <c r="M102" s="329"/>
    </row>
    <row r="103" spans="1:13" ht="18" customHeight="1">
      <c r="A103" s="325" t="str">
        <f t="shared" si="9"/>
        <v>NL</v>
      </c>
      <c r="B103" s="616">
        <f t="shared" si="10"/>
        <v>86</v>
      </c>
      <c r="C103" s="203" t="s">
        <v>656</v>
      </c>
      <c r="D103" s="328" t="s">
        <v>563</v>
      </c>
      <c r="E103" s="8"/>
      <c r="F103" s="8"/>
      <c r="G103" s="25">
        <f t="array" ref="G103">SUM(IF("1521"&amp;C103=KHN&amp;MH,SL))</f>
        <v>285</v>
      </c>
      <c r="H103" s="25">
        <f t="array" ref="H103">SUM(IF("1521"&amp;C103=KHN&amp;MH,TH))</f>
        <v>6715635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>E103+G103-I103</f>
        <v>285</v>
      </c>
      <c r="L103" s="8">
        <f>F103+H103-J103</f>
        <v>6715635</v>
      </c>
      <c r="M103" s="329"/>
    </row>
    <row r="104" spans="1:13" ht="18" customHeight="1">
      <c r="A104" s="325" t="str">
        <f t="shared" si="9"/>
        <v>NL</v>
      </c>
      <c r="B104" s="616">
        <f t="shared" si="10"/>
        <v>87</v>
      </c>
      <c r="C104" s="40" t="s">
        <v>993</v>
      </c>
      <c r="D104" s="328" t="s">
        <v>563</v>
      </c>
      <c r="E104" s="8"/>
      <c r="F104" s="8"/>
      <c r="G104" s="25">
        <f t="array" ref="G104">SUM(IF("1521"&amp;C104=KHN&amp;MH,SL))</f>
        <v>440</v>
      </c>
      <c r="H104" s="25">
        <f t="array" ref="H104">SUM(IF("1521"&amp;C104=KHN&amp;MH,TH))</f>
        <v>10282800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>E104+G104-I104</f>
        <v>440</v>
      </c>
      <c r="L104" s="8">
        <f>F104+H104-J104</f>
        <v>10282800</v>
      </c>
      <c r="M104" s="329"/>
    </row>
    <row r="105" spans="1:13" ht="18" customHeight="1">
      <c r="A105" s="325" t="str">
        <f t="shared" si="9"/>
        <v>NL</v>
      </c>
      <c r="B105" s="616">
        <f t="shared" si="10"/>
        <v>88</v>
      </c>
      <c r="C105" s="40" t="s">
        <v>786</v>
      </c>
      <c r="D105" s="328" t="s">
        <v>563</v>
      </c>
      <c r="E105" s="8"/>
      <c r="F105" s="8"/>
      <c r="G105" s="25">
        <f t="array" ref="G105">SUM(IF("1521"&amp;C105=KHN&amp;MH,SL))</f>
        <v>130</v>
      </c>
      <c r="H105" s="25">
        <f t="array" ref="H105">SUM(IF("1521"&amp;C105=KHN&amp;MH,TH))</f>
        <v>3052010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>E105+G105-I105</f>
        <v>130</v>
      </c>
      <c r="L105" s="8">
        <f>F105+H105-J105</f>
        <v>3052010</v>
      </c>
      <c r="M105" s="329"/>
    </row>
    <row r="106" spans="1:13" ht="18" customHeight="1">
      <c r="A106" s="325" t="str">
        <f t="shared" si="9"/>
        <v>NL</v>
      </c>
      <c r="B106" s="616">
        <f t="shared" si="10"/>
        <v>89</v>
      </c>
      <c r="C106" s="40" t="s">
        <v>908</v>
      </c>
      <c r="D106" s="328" t="s">
        <v>563</v>
      </c>
      <c r="E106" s="8"/>
      <c r="F106" s="8"/>
      <c r="G106" s="25">
        <f t="array" ref="G106">SUM(IF("1521"&amp;C106=KHN&amp;MH,SL))</f>
        <v>300</v>
      </c>
      <c r="H106" s="25">
        <f t="array" ref="H106">SUM(IF("1521"&amp;C106=KHN&amp;MH,TH))</f>
        <v>4365900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>E106+G106-I106</f>
        <v>300</v>
      </c>
      <c r="L106" s="8">
        <f>F106+H106-J106</f>
        <v>4365900</v>
      </c>
      <c r="M106" s="329"/>
    </row>
    <row r="107" spans="1:13" ht="18" customHeight="1">
      <c r="A107" s="325" t="str">
        <f t="shared" si="9"/>
        <v>NL</v>
      </c>
      <c r="B107" s="616">
        <f t="shared" si="10"/>
        <v>90</v>
      </c>
      <c r="C107" s="40" t="s">
        <v>882</v>
      </c>
      <c r="D107" s="328" t="s">
        <v>563</v>
      </c>
      <c r="E107" s="8"/>
      <c r="F107" s="8"/>
      <c r="G107" s="25">
        <f t="array" ref="G107">SUM(IF("1521"&amp;C107=KHN&amp;MH,SL))</f>
        <v>200</v>
      </c>
      <c r="H107" s="25">
        <f t="array" ref="H107">SUM(IF("1521"&amp;C107=KHN&amp;MH,TH))</f>
        <v>3123600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>E107+G107-I107</f>
        <v>200</v>
      </c>
      <c r="L107" s="8">
        <f>F107+H107-J107</f>
        <v>3123600</v>
      </c>
      <c r="M107" s="329"/>
    </row>
    <row r="108" spans="1:13" ht="18" customHeight="1">
      <c r="A108" s="325" t="str">
        <f t="shared" si="9"/>
        <v>NL</v>
      </c>
      <c r="B108" s="616">
        <f t="shared" si="10"/>
        <v>91</v>
      </c>
      <c r="C108" s="40" t="s">
        <v>829</v>
      </c>
      <c r="D108" s="328" t="s">
        <v>563</v>
      </c>
      <c r="E108" s="8"/>
      <c r="F108" s="8"/>
      <c r="G108" s="25">
        <f t="array" ref="G108">SUM(IF("1521"&amp;C108=KHN&amp;MH,SL))</f>
        <v>50</v>
      </c>
      <c r="H108" s="25">
        <f t="array" ref="H108">SUM(IF("1521"&amp;C108=KHN&amp;MH,TH))</f>
        <v>1088100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>E108+G108-I108</f>
        <v>50</v>
      </c>
      <c r="L108" s="8">
        <f>F108+H108-J108</f>
        <v>1088100</v>
      </c>
      <c r="M108" s="329"/>
    </row>
    <row r="109" spans="1:13" ht="18" customHeight="1">
      <c r="A109" s="325" t="str">
        <f t="shared" si="9"/>
        <v>NL</v>
      </c>
      <c r="B109" s="616">
        <f t="shared" si="10"/>
        <v>92</v>
      </c>
      <c r="C109" s="40" t="s">
        <v>832</v>
      </c>
      <c r="D109" s="328" t="s">
        <v>563</v>
      </c>
      <c r="E109" s="8"/>
      <c r="F109" s="8"/>
      <c r="G109" s="25">
        <f t="array" ref="G109">SUM(IF("1521"&amp;C109=KHN&amp;MH,SL))</f>
        <v>100</v>
      </c>
      <c r="H109" s="25">
        <f t="array" ref="H109">SUM(IF("1521"&amp;C109=KHN&amp;MH,TH))</f>
        <v>1275700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>E109+G109-I109</f>
        <v>100</v>
      </c>
      <c r="L109" s="8">
        <f>F109+H109-J109</f>
        <v>1275700</v>
      </c>
      <c r="M109" s="329"/>
    </row>
    <row r="110" spans="1:13" ht="18" customHeight="1">
      <c r="A110" s="325" t="str">
        <f t="shared" si="9"/>
        <v>NL</v>
      </c>
      <c r="B110" s="616">
        <f t="shared" si="10"/>
        <v>93</v>
      </c>
      <c r="C110" s="203" t="s">
        <v>654</v>
      </c>
      <c r="D110" s="328" t="s">
        <v>563</v>
      </c>
      <c r="E110" s="8"/>
      <c r="F110" s="8"/>
      <c r="G110" s="25">
        <f t="array" ref="G110">SUM(IF("1521"&amp;C110=KHN&amp;MH,SL))</f>
        <v>276</v>
      </c>
      <c r="H110" s="25">
        <f t="array" ref="H110">SUM(IF("1521"&amp;C110=KHN&amp;MH,TH))</f>
        <v>6089808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>E110+G110-I110</f>
        <v>276</v>
      </c>
      <c r="L110" s="8">
        <f>F110+H110-J110</f>
        <v>6089808</v>
      </c>
      <c r="M110" s="329"/>
    </row>
    <row r="111" spans="1:13" ht="18" customHeight="1">
      <c r="A111" s="325" t="str">
        <f t="shared" si="9"/>
        <v>NL</v>
      </c>
      <c r="B111" s="616">
        <f t="shared" si="10"/>
        <v>94</v>
      </c>
      <c r="C111" s="40" t="s">
        <v>787</v>
      </c>
      <c r="D111" s="328" t="s">
        <v>563</v>
      </c>
      <c r="E111" s="8"/>
      <c r="F111" s="8"/>
      <c r="G111" s="25">
        <f t="array" ref="G111">SUM(IF("1521"&amp;C111=KHN&amp;MH,SL))</f>
        <v>100</v>
      </c>
      <c r="H111" s="25">
        <f t="array" ref="H111">SUM(IF("1521"&amp;C111=KHN&amp;MH,TH))</f>
        <v>1281400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>E111+G111-I111</f>
        <v>100</v>
      </c>
      <c r="L111" s="8">
        <f>F111+H111-J111</f>
        <v>1281400</v>
      </c>
      <c r="M111" s="329"/>
    </row>
    <row r="112" spans="1:13" ht="18" customHeight="1">
      <c r="A112" s="325" t="str">
        <f t="shared" si="9"/>
        <v>NL</v>
      </c>
      <c r="B112" s="616">
        <f t="shared" si="10"/>
        <v>95</v>
      </c>
      <c r="C112" s="40" t="s">
        <v>988</v>
      </c>
      <c r="D112" s="328" t="s">
        <v>563</v>
      </c>
      <c r="E112" s="8"/>
      <c r="F112" s="8"/>
      <c r="G112" s="25">
        <f t="array" ref="G112">SUM(IF("1521"&amp;C112=KHN&amp;MH,SL))</f>
        <v>630</v>
      </c>
      <c r="H112" s="25">
        <f t="array" ref="H112">SUM(IF("1521"&amp;C112=KHN&amp;MH,TH))</f>
        <v>8216460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>E112+G112-I112</f>
        <v>630</v>
      </c>
      <c r="L112" s="8">
        <f>F112+H112-J112</f>
        <v>8216460</v>
      </c>
      <c r="M112" s="329"/>
    </row>
    <row r="113" spans="1:13" ht="18" customHeight="1">
      <c r="A113" s="325" t="str">
        <f t="shared" si="9"/>
        <v>NL</v>
      </c>
      <c r="B113" s="616">
        <f t="shared" si="10"/>
        <v>96</v>
      </c>
      <c r="C113" s="40" t="s">
        <v>789</v>
      </c>
      <c r="D113" s="328" t="s">
        <v>563</v>
      </c>
      <c r="E113" s="8"/>
      <c r="F113" s="8"/>
      <c r="G113" s="25">
        <f t="array" ref="G113">SUM(IF("1521"&amp;C113=KHN&amp;MH,SL))</f>
        <v>100</v>
      </c>
      <c r="H113" s="25">
        <f t="array" ref="H113">SUM(IF("1521"&amp;C113=KHN&amp;MH,TH))</f>
        <v>1378200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>E113+G113-I113</f>
        <v>100</v>
      </c>
      <c r="L113" s="8">
        <f>F113+H113-J113</f>
        <v>1378200</v>
      </c>
      <c r="M113" s="329"/>
    </row>
    <row r="114" spans="1:13" ht="18" customHeight="1">
      <c r="A114" s="325" t="str">
        <f t="shared" si="9"/>
        <v>NL</v>
      </c>
      <c r="B114" s="616">
        <f t="shared" si="10"/>
        <v>97</v>
      </c>
      <c r="C114" s="40" t="s">
        <v>898</v>
      </c>
      <c r="D114" s="328" t="s">
        <v>563</v>
      </c>
      <c r="E114" s="8"/>
      <c r="F114" s="8"/>
      <c r="G114" s="25">
        <f t="array" ref="G114">SUM(IF("1521"&amp;C114=KHN&amp;MH,SL))</f>
        <v>134</v>
      </c>
      <c r="H114" s="25">
        <f t="array" ref="H114">SUM(IF("1521"&amp;C114=KHN&amp;MH,TH))</f>
        <v>2328384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>E114+G114-I114</f>
        <v>134</v>
      </c>
      <c r="L114" s="8">
        <f>F114+H114-J114</f>
        <v>2328384</v>
      </c>
      <c r="M114" s="329"/>
    </row>
    <row r="115" spans="1:13" ht="18" customHeight="1">
      <c r="A115" s="325" t="str">
        <f t="shared" si="9"/>
        <v>NL</v>
      </c>
      <c r="B115" s="616">
        <f t="shared" si="10"/>
        <v>98</v>
      </c>
      <c r="C115" s="40" t="s">
        <v>844</v>
      </c>
      <c r="D115" s="328" t="s">
        <v>563</v>
      </c>
      <c r="E115" s="8"/>
      <c r="F115" s="8"/>
      <c r="G115" s="25">
        <f t="array" ref="G115">SUM(IF("1521"&amp;C115=KHN&amp;MH,SL))</f>
        <v>100</v>
      </c>
      <c r="H115" s="25">
        <f t="array" ref="H115">SUM(IF("1521"&amp;C115=KHN&amp;MH,TH))</f>
        <v>592800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>E115+G115-I115</f>
        <v>100</v>
      </c>
      <c r="L115" s="8">
        <f>F115+H115-J115</f>
        <v>592800</v>
      </c>
      <c r="M115" s="329"/>
    </row>
    <row r="116" spans="1:13" ht="18" customHeight="1">
      <c r="A116" s="325" t="str">
        <f t="shared" si="9"/>
        <v>NL</v>
      </c>
      <c r="B116" s="616">
        <f t="shared" si="10"/>
        <v>99</v>
      </c>
      <c r="C116" s="40" t="s">
        <v>1058</v>
      </c>
      <c r="D116" s="328" t="s">
        <v>563</v>
      </c>
      <c r="E116" s="8"/>
      <c r="F116" s="8"/>
      <c r="G116" s="25">
        <f t="array" ref="G116">SUM(IF("1521"&amp;C116=KHN&amp;MH,SL))</f>
        <v>680</v>
      </c>
      <c r="H116" s="25">
        <f t="array" ref="H116">SUM(IF("1521"&amp;C116=KHN&amp;MH,TH))</f>
        <v>4898720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>E116+G116-I116</f>
        <v>680</v>
      </c>
      <c r="L116" s="8">
        <f>F116+H116-J116</f>
        <v>4898720</v>
      </c>
      <c r="M116" s="329"/>
    </row>
    <row r="117" spans="1:13" ht="18" customHeight="1">
      <c r="A117" s="325" t="str">
        <f t="shared" si="9"/>
        <v>NL</v>
      </c>
      <c r="B117" s="616">
        <f t="shared" si="10"/>
        <v>100</v>
      </c>
      <c r="C117" s="40" t="s">
        <v>1065</v>
      </c>
      <c r="D117" s="328" t="s">
        <v>563</v>
      </c>
      <c r="E117" s="8"/>
      <c r="F117" s="8"/>
      <c r="G117" s="25">
        <f t="array" ref="G117">SUM(IF("1521"&amp;C117=KHN&amp;MH,SL))</f>
        <v>200</v>
      </c>
      <c r="H117" s="25">
        <f t="array" ref="H117">SUM(IF("1521"&amp;C117=KHN&amp;MH,TH))</f>
        <v>885800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>E117+G117-I117</f>
        <v>200</v>
      </c>
      <c r="L117" s="8">
        <f>F117+H117-J117</f>
        <v>885800</v>
      </c>
      <c r="M117" s="329"/>
    </row>
    <row r="118" spans="1:13" ht="18" customHeight="1">
      <c r="A118" s="325" t="str">
        <f t="shared" si="9"/>
        <v>NL</v>
      </c>
      <c r="B118" s="616">
        <f t="shared" si="10"/>
        <v>101</v>
      </c>
      <c r="C118" s="40" t="s">
        <v>876</v>
      </c>
      <c r="D118" s="328" t="s">
        <v>563</v>
      </c>
      <c r="E118" s="8"/>
      <c r="F118" s="8"/>
      <c r="G118" s="25">
        <f t="array" ref="G118">SUM(IF("1521"&amp;C118=KHN&amp;MH,SL))</f>
        <v>150</v>
      </c>
      <c r="H118" s="25">
        <f t="array" ref="H118">SUM(IF("1521"&amp;C118=KHN&amp;MH,TH))</f>
        <v>729600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>E118+G118-I118</f>
        <v>150</v>
      </c>
      <c r="L118" s="8">
        <f>F118+H118-J118</f>
        <v>729600</v>
      </c>
      <c r="M118" s="329"/>
    </row>
    <row r="119" spans="1:13" ht="18" customHeight="1">
      <c r="A119" s="325" t="str">
        <f t="shared" si="9"/>
        <v>NL</v>
      </c>
      <c r="B119" s="616">
        <f t="shared" si="10"/>
        <v>102</v>
      </c>
      <c r="C119" s="40" t="s">
        <v>796</v>
      </c>
      <c r="D119" s="328" t="s">
        <v>563</v>
      </c>
      <c r="E119" s="8"/>
      <c r="F119" s="8"/>
      <c r="G119" s="25">
        <f t="array" ref="G119">SUM(IF("1521"&amp;C119=KHN&amp;MH,SL))</f>
        <v>520</v>
      </c>
      <c r="H119" s="25">
        <f t="array" ref="H119">SUM(IF("1521"&amp;C119=KHN&amp;MH,TH))</f>
        <v>4693900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>E119+G119-I119</f>
        <v>520</v>
      </c>
      <c r="L119" s="8">
        <f>F119+H119-J119</f>
        <v>4693900</v>
      </c>
      <c r="M119" s="329"/>
    </row>
    <row r="120" spans="1:13" ht="18" customHeight="1">
      <c r="A120" s="325" t="str">
        <f t="shared" si="9"/>
        <v>NL</v>
      </c>
      <c r="B120" s="616">
        <f t="shared" si="10"/>
        <v>103</v>
      </c>
      <c r="C120" s="40" t="s">
        <v>923</v>
      </c>
      <c r="D120" s="328" t="s">
        <v>563</v>
      </c>
      <c r="E120" s="8"/>
      <c r="F120" s="8"/>
      <c r="G120" s="25">
        <f t="array" ref="G120">SUM(IF("1521"&amp;C120=KHN&amp;MH,SL))</f>
        <v>670</v>
      </c>
      <c r="H120" s="25">
        <f t="array" ref="H120">SUM(IF("1521"&amp;C120=KHN&amp;MH,TH))</f>
        <v>3303770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>E120+G120-I120</f>
        <v>670</v>
      </c>
      <c r="L120" s="8">
        <f>F120+H120-J120</f>
        <v>3303770</v>
      </c>
      <c r="M120" s="329"/>
    </row>
    <row r="121" spans="1:13" ht="18" customHeight="1">
      <c r="A121" s="325" t="str">
        <f t="shared" si="9"/>
        <v>NL</v>
      </c>
      <c r="B121" s="616">
        <f t="shared" si="10"/>
        <v>104</v>
      </c>
      <c r="C121" s="40" t="s">
        <v>895</v>
      </c>
      <c r="D121" s="328" t="s">
        <v>563</v>
      </c>
      <c r="E121" s="8"/>
      <c r="F121" s="8"/>
      <c r="G121" s="25">
        <f t="array" ref="G121">SUM(IF("1521"&amp;C121=KHN&amp;MH,SL))</f>
        <v>150</v>
      </c>
      <c r="H121" s="25">
        <f t="array" ref="H121">SUM(IF("1521"&amp;C121=KHN&amp;MH,TH))</f>
        <v>1036800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>E121+G121-I121</f>
        <v>150</v>
      </c>
      <c r="L121" s="8">
        <f>F121+H121-J121</f>
        <v>1036800</v>
      </c>
      <c r="M121" s="329"/>
    </row>
    <row r="122" spans="1:13" ht="18" customHeight="1">
      <c r="A122" s="325" t="str">
        <f t="shared" si="9"/>
        <v>NL</v>
      </c>
      <c r="B122" s="616">
        <f t="shared" si="10"/>
        <v>105</v>
      </c>
      <c r="C122" s="40" t="s">
        <v>990</v>
      </c>
      <c r="D122" s="328" t="s">
        <v>563</v>
      </c>
      <c r="E122" s="8"/>
      <c r="F122" s="8"/>
      <c r="G122" s="25">
        <f t="array" ref="G122">SUM(IF("1521"&amp;C122=KHN&amp;MH,SL))</f>
        <v>268</v>
      </c>
      <c r="H122" s="25">
        <f t="array" ref="H122">SUM(IF("1521"&amp;C122=KHN&amp;MH,TH))</f>
        <v>5684280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>E122+G122-I122</f>
        <v>268</v>
      </c>
      <c r="L122" s="8">
        <f>F122+H122-J122</f>
        <v>5684280</v>
      </c>
      <c r="M122" s="329"/>
    </row>
    <row r="123" spans="1:13" ht="18" customHeight="1">
      <c r="A123" s="325" t="str">
        <f t="shared" si="9"/>
        <v>NL</v>
      </c>
      <c r="B123" s="616">
        <f t="shared" si="10"/>
        <v>106</v>
      </c>
      <c r="C123" s="203" t="s">
        <v>638</v>
      </c>
      <c r="D123" s="328" t="s">
        <v>563</v>
      </c>
      <c r="E123" s="8"/>
      <c r="F123" s="8"/>
      <c r="G123" s="25">
        <f t="array" ref="G123">SUM(IF("1521"&amp;C123=KHN&amp;MH,SL))</f>
        <v>100</v>
      </c>
      <c r="H123" s="25">
        <f t="array" ref="H123">SUM(IF("1521"&amp;C123=KHN&amp;MH,TH))</f>
        <v>1143500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>E123+G123-I123</f>
        <v>100</v>
      </c>
      <c r="L123" s="8">
        <f>F123+H123-J123</f>
        <v>1143500</v>
      </c>
      <c r="M123" s="329"/>
    </row>
    <row r="124" spans="1:13" ht="18" customHeight="1">
      <c r="A124" s="325" t="str">
        <f t="shared" si="9"/>
        <v>NL</v>
      </c>
      <c r="B124" s="616">
        <f t="shared" si="10"/>
        <v>107</v>
      </c>
      <c r="C124" s="40" t="s">
        <v>1034</v>
      </c>
      <c r="D124" s="328" t="s">
        <v>563</v>
      </c>
      <c r="E124" s="8"/>
      <c r="F124" s="8"/>
      <c r="G124" s="25">
        <f t="array" ref="G124">SUM(IF("1521"&amp;C124=KHN&amp;MH,SL))</f>
        <v>110</v>
      </c>
      <c r="H124" s="25">
        <f t="array" ref="H124">SUM(IF("1521"&amp;C124=KHN&amp;MH,TH))</f>
        <v>1494900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>E124+G124-I124</f>
        <v>110</v>
      </c>
      <c r="L124" s="8">
        <f>F124+H124-J124</f>
        <v>1494900</v>
      </c>
      <c r="M124" s="329"/>
    </row>
    <row r="125" spans="1:13" ht="18" customHeight="1">
      <c r="A125" s="325" t="str">
        <f t="shared" si="9"/>
        <v>NL</v>
      </c>
      <c r="B125" s="616">
        <f t="shared" si="10"/>
        <v>108</v>
      </c>
      <c r="C125" s="203" t="s">
        <v>703</v>
      </c>
      <c r="D125" s="328" t="s">
        <v>563</v>
      </c>
      <c r="E125" s="8"/>
      <c r="F125" s="8"/>
      <c r="G125" s="25">
        <f t="array" ref="G125">SUM(IF("1521"&amp;C125=KHN&amp;MH,SL))</f>
        <v>250</v>
      </c>
      <c r="H125" s="25">
        <f t="array" ref="H125">SUM(IF("1521"&amp;C125=KHN&amp;MH,TH))</f>
        <v>3183750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>E125+G125-I125</f>
        <v>250</v>
      </c>
      <c r="L125" s="8">
        <f>F125+H125-J125</f>
        <v>3183750</v>
      </c>
      <c r="M125" s="329"/>
    </row>
    <row r="126" spans="1:13" ht="18" customHeight="1">
      <c r="A126" s="325" t="str">
        <f t="shared" si="9"/>
        <v>NL</v>
      </c>
      <c r="B126" s="616">
        <f t="shared" si="10"/>
        <v>109</v>
      </c>
      <c r="C126" s="40" t="s">
        <v>824</v>
      </c>
      <c r="D126" s="328" t="s">
        <v>563</v>
      </c>
      <c r="E126" s="8"/>
      <c r="F126" s="8"/>
      <c r="G126" s="25">
        <f t="array" ref="G126">SUM(IF("1521"&amp;C126=KHN&amp;MH,SL))</f>
        <v>315</v>
      </c>
      <c r="H126" s="25">
        <f t="array" ref="H126">SUM(IF("1521"&amp;C126=KHN&amp;MH,TH))</f>
        <v>5490570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>E126+G126-I126</f>
        <v>315</v>
      </c>
      <c r="L126" s="8">
        <f>F126+H126-J126</f>
        <v>5490570</v>
      </c>
      <c r="M126" s="329"/>
    </row>
    <row r="127" spans="1:13" ht="18" customHeight="1">
      <c r="A127" s="325" t="str">
        <f t="shared" si="9"/>
        <v>NL</v>
      </c>
      <c r="B127" s="616">
        <f t="shared" si="10"/>
        <v>110</v>
      </c>
      <c r="C127" s="40" t="s">
        <v>856</v>
      </c>
      <c r="D127" s="328" t="s">
        <v>563</v>
      </c>
      <c r="E127" s="8"/>
      <c r="F127" s="8"/>
      <c r="G127" s="25">
        <f t="array" ref="G127">SUM(IF("1521"&amp;C127=KHN&amp;MH,SL))</f>
        <v>1750</v>
      </c>
      <c r="H127" s="25">
        <f t="array" ref="H127">SUM(IF("1521"&amp;C127=KHN&amp;MH,TH))</f>
        <v>21058600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>E127+G127-I127</f>
        <v>1750</v>
      </c>
      <c r="L127" s="8">
        <f>F127+H127-J127</f>
        <v>21058600</v>
      </c>
      <c r="M127" s="329"/>
    </row>
    <row r="128" spans="1:13" ht="18" customHeight="1">
      <c r="A128" s="325" t="str">
        <f t="shared" si="9"/>
        <v>NL</v>
      </c>
      <c r="B128" s="616">
        <f t="shared" si="10"/>
        <v>111</v>
      </c>
      <c r="C128" s="203" t="s">
        <v>662</v>
      </c>
      <c r="D128" s="328" t="s">
        <v>563</v>
      </c>
      <c r="E128" s="8"/>
      <c r="F128" s="8"/>
      <c r="G128" s="25">
        <f t="array" ref="G128">SUM(IF("1521"&amp;C128=KHN&amp;MH,SL))</f>
        <v>10</v>
      </c>
      <c r="H128" s="25">
        <f t="array" ref="H128">SUM(IF("1521"&amp;C128=KHN&amp;MH,TH))</f>
        <v>190040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>E128+G128-I128</f>
        <v>10</v>
      </c>
      <c r="L128" s="8">
        <f>F128+H128-J128</f>
        <v>190040</v>
      </c>
      <c r="M128" s="329"/>
    </row>
    <row r="129" spans="1:13" ht="18" customHeight="1">
      <c r="A129" s="325" t="str">
        <f t="shared" si="9"/>
        <v>NL</v>
      </c>
      <c r="B129" s="616">
        <f t="shared" si="10"/>
        <v>112</v>
      </c>
      <c r="C129" s="40" t="s">
        <v>877</v>
      </c>
      <c r="D129" s="328" t="s">
        <v>563</v>
      </c>
      <c r="E129" s="8"/>
      <c r="F129" s="8"/>
      <c r="G129" s="25">
        <f t="array" ref="G129">SUM(IF("1521"&amp;C129=KHN&amp;MH,SL))</f>
        <v>6700</v>
      </c>
      <c r="H129" s="25">
        <f t="array" ref="H129">SUM(IF("1521"&amp;C129=KHN&amp;MH,TH))</f>
        <v>72192500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>E129+G129-I129</f>
        <v>6700</v>
      </c>
      <c r="L129" s="8">
        <f>F129+H129-J129</f>
        <v>72192500</v>
      </c>
      <c r="M129" s="329"/>
    </row>
    <row r="130" spans="1:13" ht="18" customHeight="1">
      <c r="A130" s="325" t="str">
        <f t="shared" si="9"/>
        <v>NL</v>
      </c>
      <c r="B130" s="616">
        <f t="shared" si="10"/>
        <v>113</v>
      </c>
      <c r="C130" s="40" t="s">
        <v>1079</v>
      </c>
      <c r="D130" s="328" t="s">
        <v>563</v>
      </c>
      <c r="E130" s="8"/>
      <c r="F130" s="8"/>
      <c r="G130" s="25">
        <f t="array" ref="G130">SUM(IF("1521"&amp;C130=KHN&amp;MH,SL))</f>
        <v>240</v>
      </c>
      <c r="H130" s="25">
        <f t="array" ref="H130">SUM(IF("1521"&amp;C130=KHN&amp;MH,TH))</f>
        <v>4788000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>E130+G130-I130</f>
        <v>240</v>
      </c>
      <c r="L130" s="8">
        <f>F130+H130-J130</f>
        <v>4788000</v>
      </c>
      <c r="M130" s="329"/>
    </row>
    <row r="131" spans="1:13" ht="18" customHeight="1">
      <c r="A131" s="325" t="str">
        <f t="shared" si="9"/>
        <v>NL</v>
      </c>
      <c r="B131" s="616">
        <f t="shared" si="10"/>
        <v>114</v>
      </c>
      <c r="C131" s="40" t="s">
        <v>1081</v>
      </c>
      <c r="D131" s="328" t="s">
        <v>563</v>
      </c>
      <c r="E131" s="8"/>
      <c r="F131" s="8"/>
      <c r="G131" s="25">
        <f t="array" ref="G131">SUM(IF("1521"&amp;C131=KHN&amp;MH,SL))</f>
        <v>340</v>
      </c>
      <c r="H131" s="25">
        <f t="array" ref="H131">SUM(IF("1521"&amp;C131=KHN&amp;MH,TH))</f>
        <v>5402260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>E131+G131-I131</f>
        <v>340</v>
      </c>
      <c r="L131" s="8">
        <f>F131+H131-J131</f>
        <v>5402260</v>
      </c>
      <c r="M131" s="329"/>
    </row>
    <row r="132" spans="1:13" ht="18" customHeight="1">
      <c r="A132" s="325" t="str">
        <f t="shared" si="9"/>
        <v>NL</v>
      </c>
      <c r="B132" s="616">
        <f t="shared" si="10"/>
        <v>115</v>
      </c>
      <c r="C132" s="40" t="s">
        <v>792</v>
      </c>
      <c r="D132" s="328" t="s">
        <v>563</v>
      </c>
      <c r="E132" s="8"/>
      <c r="F132" s="8"/>
      <c r="G132" s="25">
        <f t="array" ref="G132">SUM(IF("1521"&amp;C132=KHN&amp;MH,SL))</f>
        <v>320</v>
      </c>
      <c r="H132" s="25">
        <f t="array" ref="H132">SUM(IF("1521"&amp;C132=KHN&amp;MH,TH))</f>
        <v>3723200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>E132+G132-I132</f>
        <v>320</v>
      </c>
      <c r="L132" s="8">
        <f>F132+H132-J132</f>
        <v>3723200</v>
      </c>
      <c r="M132" s="329"/>
    </row>
    <row r="133" spans="1:13" ht="18" customHeight="1">
      <c r="A133" s="325" t="str">
        <f t="shared" si="9"/>
        <v>NL</v>
      </c>
      <c r="B133" s="616">
        <f t="shared" si="10"/>
        <v>116</v>
      </c>
      <c r="C133" s="40" t="s">
        <v>1047</v>
      </c>
      <c r="D133" s="328" t="s">
        <v>563</v>
      </c>
      <c r="E133" s="8"/>
      <c r="F133" s="8"/>
      <c r="G133" s="25">
        <f t="array" ref="G133">SUM(IF("1521"&amp;C133=KHN&amp;MH,SL))</f>
        <v>480</v>
      </c>
      <c r="H133" s="25">
        <f t="array" ref="H133">SUM(IF("1521"&amp;C133=KHN&amp;MH,TH))</f>
        <v>6706080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>E133+G133-I133</f>
        <v>480</v>
      </c>
      <c r="L133" s="8">
        <f>F133+H133-J133</f>
        <v>6706080</v>
      </c>
      <c r="M133" s="329"/>
    </row>
    <row r="134" spans="1:13" ht="18" customHeight="1">
      <c r="A134" s="325" t="str">
        <f t="shared" si="9"/>
        <v>NL</v>
      </c>
      <c r="B134" s="616">
        <f t="shared" si="10"/>
        <v>117</v>
      </c>
      <c r="C134" s="40" t="s">
        <v>941</v>
      </c>
      <c r="D134" s="328" t="s">
        <v>563</v>
      </c>
      <c r="E134" s="8"/>
      <c r="F134" s="8"/>
      <c r="G134" s="25">
        <f t="array" ref="G134">SUM(IF("1521"&amp;C134=KHN&amp;MH,SL))</f>
        <v>440</v>
      </c>
      <c r="H134" s="25">
        <f t="array" ref="H134">SUM(IF("1521"&amp;C134=KHN&amp;MH,TH))</f>
        <v>5199480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>E134+G134-I134</f>
        <v>440</v>
      </c>
      <c r="L134" s="8">
        <f>F134+H134-J134</f>
        <v>5199480</v>
      </c>
      <c r="M134" s="329"/>
    </row>
    <row r="135" spans="1:13" ht="18" customHeight="1">
      <c r="A135" s="325" t="str">
        <f t="shared" si="9"/>
        <v>NL</v>
      </c>
      <c r="B135" s="616">
        <f t="shared" si="10"/>
        <v>118</v>
      </c>
      <c r="C135" s="40" t="s">
        <v>1039</v>
      </c>
      <c r="D135" s="328" t="s">
        <v>563</v>
      </c>
      <c r="E135" s="8"/>
      <c r="F135" s="8"/>
      <c r="G135" s="25">
        <f t="array" ref="G135">SUM(IF("1521"&amp;C135=KHN&amp;MH,SL))</f>
        <v>1250</v>
      </c>
      <c r="H135" s="25">
        <f t="array" ref="H135">SUM(IF("1521"&amp;C135=KHN&amp;MH,TH))</f>
        <v>17498750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>E135+G135-I135</f>
        <v>1250</v>
      </c>
      <c r="L135" s="8">
        <f>F135+H135-J135</f>
        <v>17498750</v>
      </c>
      <c r="M135" s="329"/>
    </row>
    <row r="136" spans="1:13" ht="18" customHeight="1">
      <c r="A136" s="325" t="str">
        <f t="shared" si="9"/>
        <v>NL</v>
      </c>
      <c r="B136" s="616">
        <f t="shared" si="10"/>
        <v>119</v>
      </c>
      <c r="C136" s="40" t="s">
        <v>1134</v>
      </c>
      <c r="D136" s="328" t="s">
        <v>563</v>
      </c>
      <c r="E136" s="8"/>
      <c r="F136" s="8"/>
      <c r="G136" s="25">
        <f t="array" ref="G136">SUM(IF("1521"&amp;C136=KHN&amp;MH,SL))</f>
        <v>100</v>
      </c>
      <c r="H136" s="25">
        <f t="array" ref="H136">SUM(IF("1521"&amp;C136=KHN&amp;MH,TH))</f>
        <v>1666500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>E136+G136-I136</f>
        <v>100</v>
      </c>
      <c r="L136" s="8">
        <f>F136+H136-J136</f>
        <v>1666500</v>
      </c>
      <c r="M136" s="329"/>
    </row>
    <row r="137" spans="1:13" ht="18" customHeight="1">
      <c r="A137" s="325" t="str">
        <f t="shared" si="9"/>
        <v>NL</v>
      </c>
      <c r="B137" s="616">
        <f t="shared" si="10"/>
        <v>120</v>
      </c>
      <c r="C137" s="40" t="s">
        <v>893</v>
      </c>
      <c r="D137" s="328" t="s">
        <v>563</v>
      </c>
      <c r="E137" s="8"/>
      <c r="F137" s="8"/>
      <c r="G137" s="25">
        <f t="array" ref="G137">SUM(IF("1521"&amp;C137=KHN&amp;MH,SL))</f>
        <v>250</v>
      </c>
      <c r="H137" s="25">
        <f t="array" ref="H137">SUM(IF("1521"&amp;C137=KHN&amp;MH,TH))</f>
        <v>3920000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>E137+G137-I137</f>
        <v>250</v>
      </c>
      <c r="L137" s="8">
        <f>F137+H137-J137</f>
        <v>3920000</v>
      </c>
      <c r="M137" s="329"/>
    </row>
    <row r="138" spans="1:13" ht="18" customHeight="1">
      <c r="A138" s="325" t="str">
        <f t="shared" si="9"/>
        <v>NL</v>
      </c>
      <c r="B138" s="616">
        <f t="shared" si="10"/>
        <v>121</v>
      </c>
      <c r="C138" s="40" t="s">
        <v>910</v>
      </c>
      <c r="D138" s="328" t="s">
        <v>563</v>
      </c>
      <c r="E138" s="8"/>
      <c r="F138" s="8"/>
      <c r="G138" s="25">
        <f t="array" ref="G138">SUM(IF("1521"&amp;C138=KHN&amp;MH,SL))</f>
        <v>225</v>
      </c>
      <c r="H138" s="25">
        <f t="array" ref="H138">SUM(IF("1521"&amp;C138=KHN&amp;MH,TH))</f>
        <v>4406400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>E138+G138-I138</f>
        <v>225</v>
      </c>
      <c r="L138" s="8">
        <f>F138+H138-J138</f>
        <v>4406400</v>
      </c>
      <c r="M138" s="329"/>
    </row>
    <row r="139" spans="1:13" ht="18" customHeight="1">
      <c r="A139" s="325" t="str">
        <f t="shared" si="9"/>
        <v>NL</v>
      </c>
      <c r="B139" s="616">
        <f t="shared" si="10"/>
        <v>122</v>
      </c>
      <c r="C139" s="40" t="s">
        <v>834</v>
      </c>
      <c r="D139" s="328" t="s">
        <v>563</v>
      </c>
      <c r="E139" s="8"/>
      <c r="F139" s="8"/>
      <c r="G139" s="25">
        <f t="array" ref="G139">SUM(IF("1521"&amp;C139=KHN&amp;MH,SL))</f>
        <v>129</v>
      </c>
      <c r="H139" s="25">
        <f t="array" ref="H139">SUM(IF("1521"&amp;C139=KHN&amp;MH,TH))</f>
        <v>1531617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>E139+G139-I139</f>
        <v>129</v>
      </c>
      <c r="L139" s="8">
        <f>F139+H139-J139</f>
        <v>1531617</v>
      </c>
      <c r="M139" s="329"/>
    </row>
    <row r="140" spans="1:13" ht="18" customHeight="1">
      <c r="A140" s="325" t="str">
        <f t="shared" si="9"/>
        <v>NL</v>
      </c>
      <c r="B140" s="616">
        <f t="shared" si="10"/>
        <v>123</v>
      </c>
      <c r="C140" s="40" t="s">
        <v>793</v>
      </c>
      <c r="D140" s="328" t="s">
        <v>563</v>
      </c>
      <c r="E140" s="8"/>
      <c r="F140" s="8"/>
      <c r="G140" s="25">
        <f t="array" ref="G140">SUM(IF("1521"&amp;C140=KHN&amp;MH,SL))</f>
        <v>500</v>
      </c>
      <c r="H140" s="25">
        <f t="array" ref="H140">SUM(IF("1521"&amp;C140=KHN&amp;MH,TH))</f>
        <v>7956500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>E140+G140-I140</f>
        <v>500</v>
      </c>
      <c r="L140" s="8">
        <f>F140+H140-J140</f>
        <v>7956500</v>
      </c>
      <c r="M140" s="329"/>
    </row>
    <row r="141" spans="1:13" ht="18" customHeight="1">
      <c r="A141" s="325" t="str">
        <f t="shared" si="9"/>
        <v>NL</v>
      </c>
      <c r="B141" s="616">
        <f t="shared" si="10"/>
        <v>124</v>
      </c>
      <c r="C141" s="203" t="s">
        <v>636</v>
      </c>
      <c r="D141" s="328" t="s">
        <v>563</v>
      </c>
      <c r="E141" s="8"/>
      <c r="F141" s="8"/>
      <c r="G141" s="25">
        <f t="array" ref="G141">SUM(IF("1521"&amp;C141=KHN&amp;MH,SL))</f>
        <v>420</v>
      </c>
      <c r="H141" s="25">
        <f t="array" ref="H141">SUM(IF("1521"&amp;C141=KHN&amp;MH,TH))</f>
        <v>7198380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>E141+G141-I141</f>
        <v>420</v>
      </c>
      <c r="L141" s="8">
        <f>F141+H141-J141</f>
        <v>7198380</v>
      </c>
      <c r="M141" s="329"/>
    </row>
    <row r="142" spans="1:13" ht="18" customHeight="1">
      <c r="A142" s="325" t="str">
        <f t="shared" si="9"/>
        <v>NL</v>
      </c>
      <c r="B142" s="616">
        <f t="shared" si="10"/>
        <v>125</v>
      </c>
      <c r="C142" s="40" t="s">
        <v>1024</v>
      </c>
      <c r="D142" s="328" t="s">
        <v>563</v>
      </c>
      <c r="E142" s="8"/>
      <c r="F142" s="8"/>
      <c r="G142" s="25">
        <f t="array" ref="G142">SUM(IF("1521"&amp;C142=KHN&amp;MH,SL))</f>
        <v>220</v>
      </c>
      <c r="H142" s="25">
        <f t="array" ref="H142">SUM(IF("1521"&amp;C142=KHN&amp;MH,TH))</f>
        <v>3526380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>E142+G142-I142</f>
        <v>220</v>
      </c>
      <c r="L142" s="8">
        <f>F142+H142-J142</f>
        <v>3526380</v>
      </c>
      <c r="M142" s="329"/>
    </row>
    <row r="143" spans="1:13" ht="18" customHeight="1">
      <c r="A143" s="325" t="str">
        <f t="shared" si="9"/>
        <v>NL</v>
      </c>
      <c r="B143" s="616">
        <f t="shared" si="10"/>
        <v>126</v>
      </c>
      <c r="C143" s="40" t="s">
        <v>903</v>
      </c>
      <c r="D143" s="328" t="s">
        <v>563</v>
      </c>
      <c r="E143" s="8"/>
      <c r="F143" s="8"/>
      <c r="G143" s="25">
        <f t="array" ref="G143">SUM(IF("1521"&amp;C143=KHN&amp;MH,SL))</f>
        <v>3390</v>
      </c>
      <c r="H143" s="25">
        <f t="array" ref="H143">SUM(IF("1521"&amp;C143=KHN&amp;MH,TH))</f>
        <v>75600390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>E143+G143-I143</f>
        <v>3390</v>
      </c>
      <c r="L143" s="8">
        <f>F143+H143-J143</f>
        <v>75600390</v>
      </c>
      <c r="M143" s="329"/>
    </row>
    <row r="144" spans="1:13" ht="18" customHeight="1">
      <c r="A144" s="325" t="str">
        <f t="shared" si="9"/>
        <v>NL</v>
      </c>
      <c r="B144" s="616">
        <f t="shared" si="10"/>
        <v>127</v>
      </c>
      <c r="C144" s="40" t="s">
        <v>841</v>
      </c>
      <c r="D144" s="328" t="s">
        <v>563</v>
      </c>
      <c r="E144" s="8"/>
      <c r="F144" s="8"/>
      <c r="G144" s="25">
        <f t="array" ref="G144">SUM(IF("1521"&amp;C144=KHN&amp;MH,SL))</f>
        <v>900</v>
      </c>
      <c r="H144" s="25">
        <f t="array" ref="H144">SUM(IF("1521"&amp;C144=KHN&amp;MH,TH))</f>
        <v>10035000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>E144+G144-I144</f>
        <v>900</v>
      </c>
      <c r="L144" s="8">
        <f>F144+H144-J144</f>
        <v>10035000</v>
      </c>
      <c r="M144" s="329"/>
    </row>
    <row r="145" spans="1:13" ht="18" customHeight="1">
      <c r="A145" s="325" t="str">
        <f t="shared" si="9"/>
        <v>NL</v>
      </c>
      <c r="B145" s="616">
        <f t="shared" si="10"/>
        <v>128</v>
      </c>
      <c r="C145" s="40" t="s">
        <v>1112</v>
      </c>
      <c r="D145" s="328" t="s">
        <v>563</v>
      </c>
      <c r="E145" s="8"/>
      <c r="F145" s="8"/>
      <c r="G145" s="25">
        <f t="array" ref="G145">SUM(IF("1521"&amp;C145=KHN&amp;MH,SL))</f>
        <v>150</v>
      </c>
      <c r="H145" s="25">
        <f t="array" ref="H145">SUM(IF("1521"&amp;C145=KHN&amp;MH,TH))</f>
        <v>1895250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>E145+G145-I145</f>
        <v>150</v>
      </c>
      <c r="L145" s="8">
        <f>F145+H145-J145</f>
        <v>1895250</v>
      </c>
      <c r="M145" s="329"/>
    </row>
    <row r="146" spans="1:13" ht="18" customHeight="1">
      <c r="A146" s="325" t="str">
        <f t="shared" si="9"/>
        <v>NL</v>
      </c>
      <c r="B146" s="616">
        <f t="shared" si="10"/>
        <v>129</v>
      </c>
      <c r="C146" s="40" t="s">
        <v>901</v>
      </c>
      <c r="D146" s="328" t="s">
        <v>563</v>
      </c>
      <c r="E146" s="8"/>
      <c r="F146" s="8"/>
      <c r="G146" s="25">
        <f t="array" ref="G146">SUM(IF("1521"&amp;C146=KHN&amp;MH,SL))</f>
        <v>100</v>
      </c>
      <c r="H146" s="25">
        <f t="array" ref="H146">SUM(IF("1521"&amp;C146=KHN&amp;MH,TH))</f>
        <v>2172800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>E146+G146-I146</f>
        <v>100</v>
      </c>
      <c r="L146" s="8">
        <f>F146+H146-J146</f>
        <v>2172800</v>
      </c>
      <c r="M146" s="329"/>
    </row>
    <row r="147" spans="1:13" ht="18" customHeight="1">
      <c r="A147" s="325" t="str">
        <f t="shared" ref="A147:A210" si="11">IF(B147&lt;&gt;"","NL","")</f>
        <v>NL</v>
      </c>
      <c r="B147" s="616">
        <f t="shared" ref="B147:B210" si="12">IF(C147&lt;&gt;"",B146+1,"")</f>
        <v>130</v>
      </c>
      <c r="C147" s="40" t="s">
        <v>1049</v>
      </c>
      <c r="D147" s="328" t="s">
        <v>563</v>
      </c>
      <c r="E147" s="8"/>
      <c r="F147" s="8"/>
      <c r="G147" s="25">
        <f t="array" ref="G147">SUM(IF("1521"&amp;C147=KHN&amp;MH,SL))</f>
        <v>1500</v>
      </c>
      <c r="H147" s="25">
        <f t="array" ref="H147">SUM(IF("1521"&amp;C147=KHN&amp;MH,TH))</f>
        <v>23497500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>E147+G147-I147</f>
        <v>1500</v>
      </c>
      <c r="L147" s="8">
        <f>F147+H147-J147</f>
        <v>23497500</v>
      </c>
      <c r="M147" s="329"/>
    </row>
    <row r="148" spans="1:13" ht="18" customHeight="1">
      <c r="A148" s="325" t="str">
        <f t="shared" si="11"/>
        <v>NL</v>
      </c>
      <c r="B148" s="616">
        <f t="shared" si="12"/>
        <v>131</v>
      </c>
      <c r="C148" s="40" t="s">
        <v>869</v>
      </c>
      <c r="D148" s="328" t="s">
        <v>563</v>
      </c>
      <c r="E148" s="8"/>
      <c r="F148" s="8"/>
      <c r="G148" s="25">
        <f t="array" ref="G148">SUM(IF("1521"&amp;C148=KHN&amp;MH,SL))</f>
        <v>100</v>
      </c>
      <c r="H148" s="25">
        <f t="array" ref="H148">SUM(IF("1521"&amp;C148=KHN&amp;MH,TH))</f>
        <v>1446300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>E148+G148-I148</f>
        <v>100</v>
      </c>
      <c r="L148" s="8">
        <f>F148+H148-J148</f>
        <v>1446300</v>
      </c>
      <c r="M148" s="329"/>
    </row>
    <row r="149" spans="1:13" ht="18" customHeight="1">
      <c r="A149" s="325" t="str">
        <f t="shared" si="11"/>
        <v>NL</v>
      </c>
      <c r="B149" s="616">
        <f t="shared" si="12"/>
        <v>132</v>
      </c>
      <c r="C149" s="330" t="s">
        <v>631</v>
      </c>
      <c r="D149" s="328" t="s">
        <v>563</v>
      </c>
      <c r="E149" s="8"/>
      <c r="F149" s="8"/>
      <c r="G149" s="25">
        <f t="array" ref="G149">SUM(IF("1521"&amp;C149=KHN&amp;MH,SL))</f>
        <v>100</v>
      </c>
      <c r="H149" s="25">
        <f t="array" ref="H149">SUM(IF("1521"&amp;C149=KHN&amp;MH,TH))</f>
        <v>1698800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>E149+G149-I149</f>
        <v>100</v>
      </c>
      <c r="L149" s="8">
        <f>F149+H149-J149</f>
        <v>1698800</v>
      </c>
      <c r="M149" s="329"/>
    </row>
    <row r="150" spans="1:13" ht="18" customHeight="1">
      <c r="A150" s="325" t="str">
        <f t="shared" si="11"/>
        <v>NL</v>
      </c>
      <c r="B150" s="616">
        <f t="shared" si="12"/>
        <v>133</v>
      </c>
      <c r="C150" s="40" t="s">
        <v>927</v>
      </c>
      <c r="D150" s="328" t="s">
        <v>563</v>
      </c>
      <c r="E150" s="8"/>
      <c r="F150" s="8"/>
      <c r="G150" s="25">
        <f t="array" ref="G150">SUM(IF("1521"&amp;C150=KHN&amp;MH,SL))</f>
        <v>250</v>
      </c>
      <c r="H150" s="25">
        <f t="array" ref="H150">SUM(IF("1521"&amp;C150=KHN&amp;MH,TH))</f>
        <v>3844250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>E150+G150-I150</f>
        <v>250</v>
      </c>
      <c r="L150" s="8">
        <f>F150+H150-J150</f>
        <v>3844250</v>
      </c>
      <c r="M150" s="329"/>
    </row>
    <row r="151" spans="1:13" ht="18" customHeight="1">
      <c r="A151" s="325" t="str">
        <f t="shared" si="11"/>
        <v>NL</v>
      </c>
      <c r="B151" s="616">
        <f t="shared" si="12"/>
        <v>134</v>
      </c>
      <c r="C151" s="40" t="s">
        <v>870</v>
      </c>
      <c r="D151" s="328" t="s">
        <v>563</v>
      </c>
      <c r="E151" s="8"/>
      <c r="F151" s="8"/>
      <c r="G151" s="25">
        <f t="array" ref="G151">SUM(IF("1521"&amp;C151=KHN&amp;MH,SL))</f>
        <v>4495</v>
      </c>
      <c r="H151" s="25">
        <f t="array" ref="H151">SUM(IF("1521"&amp;C151=KHN&amp;MH,TH))</f>
        <v>82285470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>E151+G151-I151</f>
        <v>4495</v>
      </c>
      <c r="L151" s="8">
        <f>F151+H151-J151</f>
        <v>82285470</v>
      </c>
      <c r="M151" s="329"/>
    </row>
    <row r="152" spans="1:13" ht="18" customHeight="1">
      <c r="A152" s="325" t="str">
        <f t="shared" si="11"/>
        <v>NL</v>
      </c>
      <c r="B152" s="616">
        <f t="shared" si="12"/>
        <v>135</v>
      </c>
      <c r="C152" s="40" t="s">
        <v>795</v>
      </c>
      <c r="D152" s="328" t="s">
        <v>563</v>
      </c>
      <c r="E152" s="8"/>
      <c r="F152" s="8"/>
      <c r="G152" s="25">
        <f t="array" ref="G152">SUM(IF("1521"&amp;C152=KHN&amp;MH,SL))</f>
        <v>350</v>
      </c>
      <c r="H152" s="25">
        <f t="array" ref="H152">SUM(IF("1521"&amp;C152=KHN&amp;MH,TH))</f>
        <v>6495650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>E152+G152-I152</f>
        <v>350</v>
      </c>
      <c r="L152" s="8">
        <f>F152+H152-J152</f>
        <v>6495650</v>
      </c>
      <c r="M152" s="329"/>
    </row>
    <row r="153" spans="1:13" ht="18" customHeight="1">
      <c r="A153" s="325" t="str">
        <f t="shared" si="11"/>
        <v>NL</v>
      </c>
      <c r="B153" s="616">
        <f t="shared" si="12"/>
        <v>136</v>
      </c>
      <c r="C153" s="40" t="s">
        <v>891</v>
      </c>
      <c r="D153" s="328" t="s">
        <v>563</v>
      </c>
      <c r="E153" s="8"/>
      <c r="F153" s="8"/>
      <c r="G153" s="25">
        <f t="array" ref="G153">SUM(IF("1521"&amp;C153=KHN&amp;MH,SL))</f>
        <v>500</v>
      </c>
      <c r="H153" s="25">
        <f t="array" ref="H153">SUM(IF("1521"&amp;C153=KHN&amp;MH,TH))</f>
        <v>6310000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>E153+G153-I153</f>
        <v>500</v>
      </c>
      <c r="L153" s="8">
        <f>F153+H153-J153</f>
        <v>6310000</v>
      </c>
      <c r="M153" s="329"/>
    </row>
    <row r="154" spans="1:13" ht="18" customHeight="1">
      <c r="A154" s="325" t="str">
        <f t="shared" si="11"/>
        <v>NL</v>
      </c>
      <c r="B154" s="616">
        <f t="shared" si="12"/>
        <v>137</v>
      </c>
      <c r="C154" s="40" t="s">
        <v>886</v>
      </c>
      <c r="D154" s="328" t="s">
        <v>563</v>
      </c>
      <c r="E154" s="8"/>
      <c r="F154" s="8"/>
      <c r="G154" s="25">
        <f t="array" ref="G154">SUM(IF("1521"&amp;C154=KHN&amp;MH,SL))</f>
        <v>100</v>
      </c>
      <c r="H154" s="25">
        <f t="array" ref="H154">SUM(IF("1521"&amp;C154=KHN&amp;MH,TH))</f>
        <v>1855900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>E154+G154-I154</f>
        <v>100</v>
      </c>
      <c r="L154" s="8">
        <f>F154+H154-J154</f>
        <v>1855900</v>
      </c>
      <c r="M154" s="329"/>
    </row>
    <row r="155" spans="1:13" ht="18" customHeight="1">
      <c r="A155" s="325" t="str">
        <f t="shared" si="11"/>
        <v>NL</v>
      </c>
      <c r="B155" s="616">
        <f t="shared" si="12"/>
        <v>138</v>
      </c>
      <c r="C155" s="40" t="s">
        <v>794</v>
      </c>
      <c r="D155" s="328" t="s">
        <v>563</v>
      </c>
      <c r="E155" s="8"/>
      <c r="F155" s="8"/>
      <c r="G155" s="25">
        <f t="array" ref="G155">SUM(IF("1521"&amp;C155=KHN&amp;MH,SL))</f>
        <v>50</v>
      </c>
      <c r="H155" s="25">
        <f t="array" ref="H155">SUM(IF("1521"&amp;C155=KHN&amp;MH,TH))</f>
        <v>865300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>E155+G155-I155</f>
        <v>50</v>
      </c>
      <c r="L155" s="8">
        <f>F155+H155-J155</f>
        <v>865300</v>
      </c>
      <c r="M155" s="329"/>
    </row>
    <row r="156" spans="1:13" ht="18" customHeight="1">
      <c r="A156" s="325" t="str">
        <f t="shared" si="11"/>
        <v>NL</v>
      </c>
      <c r="B156" s="616">
        <f t="shared" si="12"/>
        <v>139</v>
      </c>
      <c r="C156" s="40" t="s">
        <v>865</v>
      </c>
      <c r="D156" s="328" t="s">
        <v>563</v>
      </c>
      <c r="E156" s="8"/>
      <c r="F156" s="8"/>
      <c r="G156" s="25">
        <f t="array" ref="G156">SUM(IF("1521"&amp;C156=KHN&amp;MH,SL))</f>
        <v>990</v>
      </c>
      <c r="H156" s="25">
        <f t="array" ref="H156">SUM(IF("1521"&amp;C156=KHN&amp;MH,TH))</f>
        <v>15666750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>E156+G156-I156</f>
        <v>990</v>
      </c>
      <c r="L156" s="8">
        <f>F156+H156-J156</f>
        <v>15666750</v>
      </c>
      <c r="M156" s="329"/>
    </row>
    <row r="157" spans="1:13" ht="18" customHeight="1">
      <c r="A157" s="325" t="str">
        <f t="shared" si="11"/>
        <v>NL</v>
      </c>
      <c r="B157" s="616">
        <f t="shared" si="12"/>
        <v>140</v>
      </c>
      <c r="C157" s="40" t="s">
        <v>892</v>
      </c>
      <c r="D157" s="328" t="s">
        <v>563</v>
      </c>
      <c r="E157" s="8"/>
      <c r="F157" s="8"/>
      <c r="G157" s="25">
        <f t="array" ref="G157">SUM(IF("1521"&amp;C157=KHN&amp;MH,SL))</f>
        <v>1982</v>
      </c>
      <c r="H157" s="25">
        <f t="array" ref="H157">SUM(IF("1521"&amp;C157=KHN&amp;MH,TH))</f>
        <v>29813048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>E157+G157-I157</f>
        <v>1982</v>
      </c>
      <c r="L157" s="8">
        <f>F157+H157-J157</f>
        <v>29813048</v>
      </c>
      <c r="M157" s="329"/>
    </row>
    <row r="158" spans="1:13" ht="18" customHeight="1">
      <c r="A158" s="325" t="str">
        <f t="shared" si="11"/>
        <v>NL</v>
      </c>
      <c r="B158" s="616">
        <f t="shared" si="12"/>
        <v>141</v>
      </c>
      <c r="C158" s="40" t="s">
        <v>1119</v>
      </c>
      <c r="D158" s="328" t="s">
        <v>563</v>
      </c>
      <c r="E158" s="8"/>
      <c r="F158" s="8"/>
      <c r="G158" s="25">
        <f t="array" ref="G158">SUM(IF("1521"&amp;C158=KHN&amp;MH,SL))</f>
        <v>150</v>
      </c>
      <c r="H158" s="25">
        <f t="array" ref="H158">SUM(IF("1521"&amp;C158=KHN&amp;MH,TH))</f>
        <v>3420000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>E158+G158-I158</f>
        <v>150</v>
      </c>
      <c r="L158" s="8">
        <f>F158+H158-J158</f>
        <v>3420000</v>
      </c>
      <c r="M158" s="329"/>
    </row>
    <row r="159" spans="1:13" ht="18" customHeight="1">
      <c r="A159" s="325" t="str">
        <f t="shared" si="11"/>
        <v>NL</v>
      </c>
      <c r="B159" s="616">
        <f t="shared" si="12"/>
        <v>142</v>
      </c>
      <c r="C159" s="40" t="s">
        <v>1008</v>
      </c>
      <c r="D159" s="328" t="s">
        <v>563</v>
      </c>
      <c r="E159" s="8"/>
      <c r="F159" s="8"/>
      <c r="G159" s="25">
        <f t="array" ref="G159">SUM(IF("1521"&amp;C159=KHN&amp;MH,SL))</f>
        <v>250</v>
      </c>
      <c r="H159" s="25">
        <f t="array" ref="H159">SUM(IF("1521"&amp;C159=KHN&amp;MH,TH))</f>
        <v>4668250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>E159+G159-I159</f>
        <v>250</v>
      </c>
      <c r="L159" s="8">
        <f>F159+H159-J159</f>
        <v>4668250</v>
      </c>
      <c r="M159" s="329"/>
    </row>
    <row r="160" spans="1:13" ht="18" customHeight="1">
      <c r="A160" s="325" t="str">
        <f t="shared" si="11"/>
        <v>NL</v>
      </c>
      <c r="B160" s="616">
        <f t="shared" si="12"/>
        <v>143</v>
      </c>
      <c r="C160" s="40" t="s">
        <v>863</v>
      </c>
      <c r="D160" s="328" t="s">
        <v>563</v>
      </c>
      <c r="E160" s="8"/>
      <c r="F160" s="8"/>
      <c r="G160" s="25">
        <f t="array" ref="G160">SUM(IF("1521"&amp;C160=KHN&amp;MH,SL))</f>
        <v>100</v>
      </c>
      <c r="H160" s="25">
        <f t="array" ref="H160">SUM(IF("1521"&amp;C160=KHN&amp;MH,TH))</f>
        <v>2325000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>E160+G160-I160</f>
        <v>100</v>
      </c>
      <c r="L160" s="8">
        <f>F160+H160-J160</f>
        <v>2325000</v>
      </c>
      <c r="M160" s="329"/>
    </row>
    <row r="161" spans="1:13" ht="18" customHeight="1">
      <c r="A161" s="325" t="str">
        <f t="shared" si="11"/>
        <v>NL</v>
      </c>
      <c r="B161" s="616">
        <f t="shared" si="12"/>
        <v>144</v>
      </c>
      <c r="C161" s="40" t="s">
        <v>999</v>
      </c>
      <c r="D161" s="328" t="s">
        <v>563</v>
      </c>
      <c r="E161" s="8"/>
      <c r="F161" s="8"/>
      <c r="G161" s="25">
        <f t="array" ref="G161">SUM(IF("1521"&amp;C161=KHN&amp;MH,SL))</f>
        <v>250</v>
      </c>
      <c r="H161" s="25">
        <f t="array" ref="H161">SUM(IF("1521"&amp;C161=KHN&amp;MH,TH))</f>
        <v>4960750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>E161+G161-I161</f>
        <v>250</v>
      </c>
      <c r="L161" s="8">
        <f>F161+H161-J161</f>
        <v>4960750</v>
      </c>
      <c r="M161" s="329"/>
    </row>
    <row r="162" spans="1:13" ht="18" customHeight="1">
      <c r="A162" s="325" t="str">
        <f t="shared" si="11"/>
        <v>NL</v>
      </c>
      <c r="B162" s="616">
        <f t="shared" si="12"/>
        <v>145</v>
      </c>
      <c r="C162" s="40" t="s">
        <v>803</v>
      </c>
      <c r="D162" s="328" t="s">
        <v>563</v>
      </c>
      <c r="E162" s="8"/>
      <c r="F162" s="8"/>
      <c r="G162" s="25">
        <f t="array" ref="G162">SUM(IF("1521"&amp;C162=KHN&amp;MH,SL))</f>
        <v>1000</v>
      </c>
      <c r="H162" s="25">
        <f t="array" ref="H162">SUM(IF("1521"&amp;C162=KHN&amp;MH,TH))</f>
        <v>22846000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>E162+G162-I162</f>
        <v>1000</v>
      </c>
      <c r="L162" s="8">
        <f>F162+H162-J162</f>
        <v>22846000</v>
      </c>
      <c r="M162" s="329"/>
    </row>
    <row r="163" spans="1:13" ht="18" customHeight="1">
      <c r="A163" s="325" t="str">
        <f t="shared" si="11"/>
        <v>NL</v>
      </c>
      <c r="B163" s="616">
        <f t="shared" si="12"/>
        <v>146</v>
      </c>
      <c r="C163" s="40" t="s">
        <v>1040</v>
      </c>
      <c r="D163" s="328" t="s">
        <v>563</v>
      </c>
      <c r="E163" s="8"/>
      <c r="F163" s="8"/>
      <c r="G163" s="25">
        <f t="array" ref="G163">SUM(IF("1521"&amp;C163=KHN&amp;MH,SL))</f>
        <v>250</v>
      </c>
      <c r="H163" s="25">
        <f t="array" ref="H163">SUM(IF("1521"&amp;C163=KHN&amp;MH,TH))</f>
        <v>3404750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>E163+G163-I163</f>
        <v>250</v>
      </c>
      <c r="L163" s="8">
        <f>F163+H163-J163</f>
        <v>3404750</v>
      </c>
      <c r="M163" s="329"/>
    </row>
    <row r="164" spans="1:13" ht="18" customHeight="1">
      <c r="A164" s="325" t="str">
        <f t="shared" si="11"/>
        <v>NL</v>
      </c>
      <c r="B164" s="616">
        <f t="shared" si="12"/>
        <v>147</v>
      </c>
      <c r="C164" s="40" t="s">
        <v>801</v>
      </c>
      <c r="D164" s="328" t="s">
        <v>563</v>
      </c>
      <c r="E164" s="8"/>
      <c r="F164" s="8"/>
      <c r="G164" s="25">
        <f t="array" ref="G164">SUM(IF("1521"&amp;C164=KHN&amp;MH,SL))</f>
        <v>300</v>
      </c>
      <c r="H164" s="25">
        <f t="array" ref="H164">SUM(IF("1521"&amp;C164=KHN&amp;MH,TH))</f>
        <v>4312500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>E164+G164-I164</f>
        <v>300</v>
      </c>
      <c r="L164" s="8">
        <f>F164+H164-J164</f>
        <v>4312500</v>
      </c>
      <c r="M164" s="329"/>
    </row>
    <row r="165" spans="1:13" ht="18" customHeight="1">
      <c r="A165" s="325" t="str">
        <f t="shared" si="11"/>
        <v>NL</v>
      </c>
      <c r="B165" s="616">
        <f t="shared" si="12"/>
        <v>148</v>
      </c>
      <c r="C165" s="330" t="s">
        <v>633</v>
      </c>
      <c r="D165" s="328" t="s">
        <v>563</v>
      </c>
      <c r="E165" s="8"/>
      <c r="F165" s="8"/>
      <c r="G165" s="25">
        <f t="array" ref="G165">SUM(IF("1521"&amp;C165=KHN&amp;MH,SL))</f>
        <v>150</v>
      </c>
      <c r="H165" s="25">
        <f t="array" ref="H165">SUM(IF("1521"&amp;C165=KHN&amp;MH,TH))</f>
        <v>2564550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>E165+G165-I165</f>
        <v>150</v>
      </c>
      <c r="L165" s="8">
        <f>F165+H165-J165</f>
        <v>2564550</v>
      </c>
      <c r="M165" s="329"/>
    </row>
    <row r="166" spans="1:13" ht="18" customHeight="1">
      <c r="A166" s="325" t="str">
        <f t="shared" si="11"/>
        <v>NL</v>
      </c>
      <c r="B166" s="616">
        <f t="shared" si="12"/>
        <v>149</v>
      </c>
      <c r="C166" s="40" t="s">
        <v>868</v>
      </c>
      <c r="D166" s="328" t="s">
        <v>563</v>
      </c>
      <c r="E166" s="8"/>
      <c r="F166" s="8"/>
      <c r="G166" s="25">
        <f t="array" ref="G166">SUM(IF("1521"&amp;C166=KHN&amp;MH,SL))</f>
        <v>1350</v>
      </c>
      <c r="H166" s="25">
        <f t="array" ref="H166">SUM(IF("1521"&amp;C166=KHN&amp;MH,TH))</f>
        <v>23975500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>E166+G166-I166</f>
        <v>1350</v>
      </c>
      <c r="L166" s="8">
        <f>F166+H166-J166</f>
        <v>23975500</v>
      </c>
      <c r="M166" s="329"/>
    </row>
    <row r="167" spans="1:13" ht="18" customHeight="1">
      <c r="A167" s="325" t="str">
        <f t="shared" si="11"/>
        <v>NL</v>
      </c>
      <c r="B167" s="616">
        <f t="shared" si="12"/>
        <v>150</v>
      </c>
      <c r="C167" s="40" t="s">
        <v>912</v>
      </c>
      <c r="D167" s="328" t="s">
        <v>563</v>
      </c>
      <c r="E167" s="8"/>
      <c r="F167" s="8"/>
      <c r="G167" s="25">
        <f t="array" ref="G167">SUM(IF("1521"&amp;C167=KHN&amp;MH,SL))</f>
        <v>150</v>
      </c>
      <c r="H167" s="25">
        <f t="array" ref="H167">SUM(IF("1521"&amp;C167=KHN&amp;MH,TH))</f>
        <v>2988600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>E167+G167-I167</f>
        <v>150</v>
      </c>
      <c r="L167" s="8">
        <f>F167+H167-J167</f>
        <v>2988600</v>
      </c>
      <c r="M167" s="329"/>
    </row>
    <row r="168" spans="1:13" ht="18" customHeight="1">
      <c r="A168" s="325" t="str">
        <f t="shared" si="11"/>
        <v>NL</v>
      </c>
      <c r="B168" s="616">
        <f t="shared" si="12"/>
        <v>151</v>
      </c>
      <c r="C168" s="40" t="s">
        <v>1136</v>
      </c>
      <c r="D168" s="328" t="s">
        <v>563</v>
      </c>
      <c r="E168" s="8"/>
      <c r="F168" s="8"/>
      <c r="G168" s="25">
        <f t="array" ref="G168">SUM(IF("1521"&amp;C168=KHN&amp;MH,SL))</f>
        <v>12575</v>
      </c>
      <c r="H168" s="25">
        <f t="array" ref="H168">SUM(IF("1521"&amp;C168=KHN&amp;MH,TH))</f>
        <v>250438835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>E168+G168-I168</f>
        <v>12575</v>
      </c>
      <c r="L168" s="8">
        <f>F168+H168-J168</f>
        <v>250438835</v>
      </c>
      <c r="M168" s="329"/>
    </row>
    <row r="169" spans="1:13" ht="18" customHeight="1">
      <c r="A169" s="325" t="str">
        <f t="shared" si="11"/>
        <v>NL</v>
      </c>
      <c r="B169" s="616">
        <f t="shared" si="12"/>
        <v>152</v>
      </c>
      <c r="C169" s="203" t="s">
        <v>661</v>
      </c>
      <c r="D169" s="328" t="s">
        <v>563</v>
      </c>
      <c r="E169" s="8"/>
      <c r="F169" s="8"/>
      <c r="G169" s="25">
        <f t="array" ref="G169">SUM(IF("1521"&amp;C169=KHN&amp;MH,SL))</f>
        <v>110</v>
      </c>
      <c r="H169" s="25">
        <f t="array" ref="H169">SUM(IF("1521"&amp;C169=KHN&amp;MH,TH))</f>
        <v>2702260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>E169+G169-I169</f>
        <v>110</v>
      </c>
      <c r="L169" s="8">
        <f>F169+H169-J169</f>
        <v>2702260</v>
      </c>
      <c r="M169" s="329"/>
    </row>
    <row r="170" spans="1:13" ht="18" customHeight="1">
      <c r="A170" s="325" t="str">
        <f t="shared" si="11"/>
        <v>NL</v>
      </c>
      <c r="B170" s="616">
        <f t="shared" si="12"/>
        <v>153</v>
      </c>
      <c r="C170" s="330" t="s">
        <v>634</v>
      </c>
      <c r="D170" s="328" t="s">
        <v>563</v>
      </c>
      <c r="E170" s="8"/>
      <c r="F170" s="8"/>
      <c r="G170" s="25">
        <f t="array" ref="G170">SUM(IF("1521"&amp;C170=KHN&amp;MH,SL))</f>
        <v>175</v>
      </c>
      <c r="H170" s="25">
        <f t="array" ref="H170">SUM(IF("1521"&amp;C170=KHN&amp;MH,TH))</f>
        <v>3068275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>E170+G170-I170</f>
        <v>175</v>
      </c>
      <c r="L170" s="8">
        <f>F170+H170-J170</f>
        <v>3068275</v>
      </c>
      <c r="M170" s="329"/>
    </row>
    <row r="171" spans="1:13" ht="18" customHeight="1">
      <c r="A171" s="325" t="str">
        <f t="shared" si="11"/>
        <v>NL</v>
      </c>
      <c r="B171" s="616">
        <f t="shared" si="12"/>
        <v>154</v>
      </c>
      <c r="C171" s="40" t="s">
        <v>976</v>
      </c>
      <c r="D171" s="328" t="s">
        <v>563</v>
      </c>
      <c r="E171" s="8"/>
      <c r="F171" s="8"/>
      <c r="G171" s="25">
        <f t="array" ref="G171">SUM(IF("1521"&amp;C171=KHN&amp;MH,SL))</f>
        <v>103</v>
      </c>
      <c r="H171" s="25">
        <f t="array" ref="H171">SUM(IF("1521"&amp;C171=KHN&amp;MH,TH))</f>
        <v>2443675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>E171+G171-I171</f>
        <v>103</v>
      </c>
      <c r="L171" s="8">
        <f>F171+H171-J171</f>
        <v>2443675</v>
      </c>
      <c r="M171" s="329"/>
    </row>
    <row r="172" spans="1:13" ht="18" customHeight="1">
      <c r="A172" s="325" t="str">
        <f t="shared" si="11"/>
        <v>NL</v>
      </c>
      <c r="B172" s="616">
        <f t="shared" si="12"/>
        <v>155</v>
      </c>
      <c r="C172" s="40" t="s">
        <v>913</v>
      </c>
      <c r="D172" s="328" t="s">
        <v>563</v>
      </c>
      <c r="E172" s="8"/>
      <c r="F172" s="8"/>
      <c r="G172" s="25">
        <f t="array" ref="G172">SUM(IF("1521"&amp;C172=KHN&amp;MH,SL))</f>
        <v>500</v>
      </c>
      <c r="H172" s="25">
        <f t="array" ref="H172">SUM(IF("1521"&amp;C172=KHN&amp;MH,TH))</f>
        <v>7363000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>E172+G172-I172</f>
        <v>500</v>
      </c>
      <c r="L172" s="8">
        <f>F172+H172-J172</f>
        <v>7363000</v>
      </c>
      <c r="M172" s="329"/>
    </row>
    <row r="173" spans="1:13" ht="18" customHeight="1">
      <c r="A173" s="325" t="str">
        <f t="shared" si="11"/>
        <v>NL</v>
      </c>
      <c r="B173" s="616">
        <f t="shared" si="12"/>
        <v>156</v>
      </c>
      <c r="C173" s="40" t="s">
        <v>1017</v>
      </c>
      <c r="D173" s="328" t="s">
        <v>563</v>
      </c>
      <c r="E173" s="8"/>
      <c r="F173" s="8"/>
      <c r="G173" s="25">
        <f t="array" ref="G173">SUM(IF("1521"&amp;C173=KHN&amp;MH,SL))</f>
        <v>500</v>
      </c>
      <c r="H173" s="25">
        <f t="array" ref="H173">SUM(IF("1521"&amp;C173=KHN&amp;MH,TH))</f>
        <v>10289500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>E173+G173-I173</f>
        <v>500</v>
      </c>
      <c r="L173" s="8">
        <f>F173+H173-J173</f>
        <v>10289500</v>
      </c>
      <c r="M173" s="329"/>
    </row>
    <row r="174" spans="1:13" ht="18" customHeight="1">
      <c r="A174" s="325" t="str">
        <f t="shared" si="11"/>
        <v>NL</v>
      </c>
      <c r="B174" s="616">
        <f t="shared" si="12"/>
        <v>157</v>
      </c>
      <c r="C174" s="203" t="s">
        <v>639</v>
      </c>
      <c r="D174" s="328" t="s">
        <v>563</v>
      </c>
      <c r="E174" s="8"/>
      <c r="F174" s="8"/>
      <c r="G174" s="25">
        <f t="array" ref="G174">SUM(IF("1521"&amp;C174=KHN&amp;MH,SL))</f>
        <v>100</v>
      </c>
      <c r="H174" s="25">
        <f t="array" ref="H174">SUM(IF("1521"&amp;C174=KHN&amp;MH,TH))</f>
        <v>2420600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>E174+G174-I174</f>
        <v>100</v>
      </c>
      <c r="L174" s="8">
        <f>F174+H174-J174</f>
        <v>2420600</v>
      </c>
      <c r="M174" s="329"/>
    </row>
    <row r="175" spans="1:13" ht="18" customHeight="1">
      <c r="A175" s="325" t="str">
        <f t="shared" si="11"/>
        <v>NL</v>
      </c>
      <c r="B175" s="616">
        <f t="shared" si="12"/>
        <v>158</v>
      </c>
      <c r="C175" s="40" t="s">
        <v>852</v>
      </c>
      <c r="D175" s="328" t="s">
        <v>563</v>
      </c>
      <c r="E175" s="8"/>
      <c r="F175" s="8"/>
      <c r="G175" s="25">
        <f t="array" ref="G175">SUM(IF("1521"&amp;C175=KHN&amp;MH,SL))</f>
        <v>100</v>
      </c>
      <c r="H175" s="25">
        <f t="array" ref="H175">SUM(IF("1521"&amp;C175=KHN&amp;MH,TH))</f>
        <v>2236100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>E175+G175-I175</f>
        <v>100</v>
      </c>
      <c r="L175" s="8">
        <f>F175+H175-J175</f>
        <v>2236100</v>
      </c>
      <c r="M175" s="329"/>
    </row>
    <row r="176" spans="1:13" ht="18" customHeight="1">
      <c r="A176" s="325" t="str">
        <f t="shared" si="11"/>
        <v>NL</v>
      </c>
      <c r="B176" s="616">
        <f t="shared" si="12"/>
        <v>159</v>
      </c>
      <c r="C176" s="40" t="s">
        <v>1009</v>
      </c>
      <c r="D176" s="328" t="s">
        <v>563</v>
      </c>
      <c r="E176" s="8"/>
      <c r="F176" s="8"/>
      <c r="G176" s="25">
        <f t="array" ref="G176">SUM(IF("1521"&amp;C176=KHN&amp;MH,SL))</f>
        <v>100</v>
      </c>
      <c r="H176" s="25">
        <f t="array" ref="H176">SUM(IF("1521"&amp;C176=KHN&amp;MH,TH))</f>
        <v>1844300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>E176+G176-I176</f>
        <v>100</v>
      </c>
      <c r="L176" s="8">
        <f>F176+H176-J176</f>
        <v>1844300</v>
      </c>
      <c r="M176" s="329"/>
    </row>
    <row r="177" spans="1:13" ht="18" customHeight="1">
      <c r="A177" s="325" t="str">
        <f t="shared" si="11"/>
        <v>NL</v>
      </c>
      <c r="B177" s="616">
        <f t="shared" si="12"/>
        <v>160</v>
      </c>
      <c r="C177" s="40" t="s">
        <v>815</v>
      </c>
      <c r="D177" s="328" t="s">
        <v>563</v>
      </c>
      <c r="E177" s="8"/>
      <c r="F177" s="8"/>
      <c r="G177" s="25">
        <f t="array" ref="G177">SUM(IF("1521"&amp;C177=KHN&amp;MH,SL))</f>
        <v>66</v>
      </c>
      <c r="H177" s="25">
        <f t="array" ref="H177">SUM(IF("1521"&amp;C177=KHN&amp;MH,TH))</f>
        <v>1381578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>E177+G177-I177</f>
        <v>66</v>
      </c>
      <c r="L177" s="8">
        <f>F177+H177-J177</f>
        <v>1381578</v>
      </c>
      <c r="M177" s="329"/>
    </row>
    <row r="178" spans="1:13" ht="18" customHeight="1">
      <c r="A178" s="325" t="str">
        <f t="shared" si="11"/>
        <v>NL</v>
      </c>
      <c r="B178" s="616">
        <f t="shared" si="12"/>
        <v>161</v>
      </c>
      <c r="C178" s="40" t="s">
        <v>1003</v>
      </c>
      <c r="D178" s="328" t="s">
        <v>563</v>
      </c>
      <c r="E178" s="8"/>
      <c r="F178" s="8"/>
      <c r="G178" s="25">
        <f t="array" ref="G178">SUM(IF("1521"&amp;C178=KHN&amp;MH,SL))</f>
        <v>60</v>
      </c>
      <c r="H178" s="25">
        <f t="array" ref="H178">SUM(IF("1521"&amp;C178=KHN&amp;MH,TH))</f>
        <v>1508940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>E178+G178-I178</f>
        <v>60</v>
      </c>
      <c r="L178" s="8">
        <f>F178+H178-J178</f>
        <v>1508940</v>
      </c>
      <c r="M178" s="329"/>
    </row>
    <row r="179" spans="1:13" ht="18" customHeight="1">
      <c r="A179" s="325" t="str">
        <f t="shared" si="11"/>
        <v>NL</v>
      </c>
      <c r="B179" s="616">
        <f t="shared" si="12"/>
        <v>162</v>
      </c>
      <c r="C179" s="203" t="s">
        <v>659</v>
      </c>
      <c r="D179" s="328" t="s">
        <v>563</v>
      </c>
      <c r="E179" s="8"/>
      <c r="F179" s="8"/>
      <c r="G179" s="25">
        <f t="array" ref="G179">SUM(IF("1521"&amp;C179=KHN&amp;MH,SL))</f>
        <v>200</v>
      </c>
      <c r="H179" s="25">
        <f t="array" ref="H179">SUM(IF("1521"&amp;C179=KHN&amp;MH,TH))</f>
        <v>5160400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>E179+G179-I179</f>
        <v>200</v>
      </c>
      <c r="L179" s="8">
        <f>F179+H179-J179</f>
        <v>5160400</v>
      </c>
      <c r="M179" s="329"/>
    </row>
    <row r="180" spans="1:13" ht="18" customHeight="1">
      <c r="A180" s="325" t="str">
        <f t="shared" si="11"/>
        <v>NL</v>
      </c>
      <c r="B180" s="616">
        <f t="shared" si="12"/>
        <v>163</v>
      </c>
      <c r="C180" s="40" t="s">
        <v>802</v>
      </c>
      <c r="D180" s="328" t="s">
        <v>563</v>
      </c>
      <c r="E180" s="8"/>
      <c r="F180" s="8"/>
      <c r="G180" s="25">
        <f t="array" ref="G180">SUM(IF("1521"&amp;C180=KHN&amp;MH,SL))</f>
        <v>500</v>
      </c>
      <c r="H180" s="25">
        <f t="array" ref="H180">SUM(IF("1521"&amp;C180=KHN&amp;MH,TH))</f>
        <v>9756500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>E180+G180-I180</f>
        <v>500</v>
      </c>
      <c r="L180" s="8">
        <f>F180+H180-J180</f>
        <v>9756500</v>
      </c>
      <c r="M180" s="329"/>
    </row>
    <row r="181" spans="1:13" ht="18" customHeight="1">
      <c r="A181" s="325" t="str">
        <f t="shared" si="11"/>
        <v>NL</v>
      </c>
      <c r="B181" s="616">
        <f t="shared" si="12"/>
        <v>164</v>
      </c>
      <c r="C181" s="40" t="s">
        <v>911</v>
      </c>
      <c r="D181" s="328" t="s">
        <v>563</v>
      </c>
      <c r="E181" s="8"/>
      <c r="F181" s="8"/>
      <c r="G181" s="25">
        <f t="array" ref="G181">SUM(IF("1521"&amp;C181=KHN&amp;MH,SL))</f>
        <v>225</v>
      </c>
      <c r="H181" s="25">
        <f t="array" ref="H181">SUM(IF("1521"&amp;C181=KHN&amp;MH,TH))</f>
        <v>6577200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>E181+G181-I181</f>
        <v>225</v>
      </c>
      <c r="L181" s="8">
        <f>F181+H181-J181</f>
        <v>6577200</v>
      </c>
      <c r="M181" s="329"/>
    </row>
    <row r="182" spans="1:13" ht="18" customHeight="1">
      <c r="A182" s="325" t="str">
        <f t="shared" si="11"/>
        <v>NL</v>
      </c>
      <c r="B182" s="616">
        <f t="shared" si="12"/>
        <v>165</v>
      </c>
      <c r="C182" s="40" t="s">
        <v>1126</v>
      </c>
      <c r="D182" s="328" t="s">
        <v>563</v>
      </c>
      <c r="E182" s="8"/>
      <c r="F182" s="8"/>
      <c r="G182" s="25">
        <f t="array" ref="G182">SUM(IF("1521"&amp;C182=KHN&amp;MH,SL))</f>
        <v>750</v>
      </c>
      <c r="H182" s="25">
        <f t="array" ref="H182">SUM(IF("1521"&amp;C182=KHN&amp;MH,TH))</f>
        <v>16740750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>E182+G182-I182</f>
        <v>750</v>
      </c>
      <c r="L182" s="8">
        <f>F182+H182-J182</f>
        <v>16740750</v>
      </c>
      <c r="M182" s="329"/>
    </row>
    <row r="183" spans="1:13" ht="18" customHeight="1">
      <c r="A183" s="325" t="str">
        <f t="shared" si="11"/>
        <v>NL</v>
      </c>
      <c r="B183" s="616">
        <f t="shared" si="12"/>
        <v>166</v>
      </c>
      <c r="C183" s="40" t="s">
        <v>1110</v>
      </c>
      <c r="D183" s="328" t="s">
        <v>563</v>
      </c>
      <c r="E183" s="8"/>
      <c r="F183" s="8"/>
      <c r="G183" s="25">
        <f t="array" ref="G183">SUM(IF("1521"&amp;C183=KHN&amp;MH,SL))</f>
        <v>200</v>
      </c>
      <c r="H183" s="25">
        <f t="array" ref="H183">SUM(IF("1521"&amp;C183=KHN&amp;MH,TH))</f>
        <v>3662800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>E183+G183-I183</f>
        <v>200</v>
      </c>
      <c r="L183" s="8">
        <f>F183+H183-J183</f>
        <v>3662800</v>
      </c>
      <c r="M183" s="329"/>
    </row>
    <row r="184" spans="1:13" ht="18" customHeight="1">
      <c r="A184" s="325" t="str">
        <f t="shared" si="11"/>
        <v>NL</v>
      </c>
      <c r="B184" s="616">
        <f t="shared" si="12"/>
        <v>167</v>
      </c>
      <c r="C184" s="40" t="s">
        <v>1022</v>
      </c>
      <c r="D184" s="328" t="s">
        <v>563</v>
      </c>
      <c r="E184" s="8"/>
      <c r="F184" s="8"/>
      <c r="G184" s="25">
        <f t="array" ref="G184">SUM(IF("1521"&amp;C184=KHN&amp;MH,SL))</f>
        <v>150</v>
      </c>
      <c r="H184" s="25">
        <f t="array" ref="H184">SUM(IF("1521"&amp;C184=KHN&amp;MH,TH))</f>
        <v>3806400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>E184+G184-I184</f>
        <v>150</v>
      </c>
      <c r="L184" s="8">
        <f>F184+H184-J184</f>
        <v>3806400</v>
      </c>
      <c r="M184" s="329"/>
    </row>
    <row r="185" spans="1:13" ht="18" customHeight="1">
      <c r="A185" s="325" t="str">
        <f t="shared" si="11"/>
        <v>NL</v>
      </c>
      <c r="B185" s="616">
        <f t="shared" si="12"/>
        <v>168</v>
      </c>
      <c r="C185" s="40" t="s">
        <v>1104</v>
      </c>
      <c r="D185" s="328" t="s">
        <v>563</v>
      </c>
      <c r="E185" s="8"/>
      <c r="F185" s="8"/>
      <c r="G185" s="25">
        <f t="array" ref="G185">SUM(IF("1521"&amp;C185=KHN&amp;MH,SL))</f>
        <v>100</v>
      </c>
      <c r="H185" s="25">
        <f t="array" ref="H185">SUM(IF("1521"&amp;C185=KHN&amp;MH,TH))</f>
        <v>2260100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>E185+G185-I185</f>
        <v>100</v>
      </c>
      <c r="L185" s="8">
        <f>F185+H185-J185</f>
        <v>2260100</v>
      </c>
      <c r="M185" s="329"/>
    </row>
    <row r="186" spans="1:13" ht="18" customHeight="1">
      <c r="A186" s="325" t="str">
        <f t="shared" si="11"/>
        <v>NL</v>
      </c>
      <c r="B186" s="616">
        <f t="shared" si="12"/>
        <v>169</v>
      </c>
      <c r="C186" s="203" t="s">
        <v>704</v>
      </c>
      <c r="D186" s="328" t="s">
        <v>563</v>
      </c>
      <c r="E186" s="8"/>
      <c r="F186" s="8"/>
      <c r="G186" s="25">
        <f t="array" ref="G186">SUM(IF("1521"&amp;C186=KHN&amp;MH,SL))</f>
        <v>280</v>
      </c>
      <c r="H186" s="25">
        <f t="array" ref="H186">SUM(IF("1521"&amp;C186=KHN&amp;MH,TH))</f>
        <v>5275200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>E186+G186-I186</f>
        <v>280</v>
      </c>
      <c r="L186" s="8">
        <f>F186+H186-J186</f>
        <v>5275200</v>
      </c>
      <c r="M186" s="329"/>
    </row>
    <row r="187" spans="1:13" ht="18" customHeight="1">
      <c r="A187" s="325" t="str">
        <f t="shared" si="11"/>
        <v>NL</v>
      </c>
      <c r="B187" s="616">
        <f t="shared" si="12"/>
        <v>170</v>
      </c>
      <c r="C187" s="40" t="s">
        <v>823</v>
      </c>
      <c r="D187" s="328" t="s">
        <v>563</v>
      </c>
      <c r="E187" s="8"/>
      <c r="F187" s="8"/>
      <c r="G187" s="25">
        <f t="array" ref="G187">SUM(IF("1521"&amp;C187=KHN&amp;MH,SL))</f>
        <v>240</v>
      </c>
      <c r="H187" s="25">
        <f t="array" ref="H187">SUM(IF("1521"&amp;C187=KHN&amp;MH,TH))</f>
        <v>4097280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>E187+G187-I187</f>
        <v>240</v>
      </c>
      <c r="L187" s="8">
        <f>F187+H187-J187</f>
        <v>4097280</v>
      </c>
      <c r="M187" s="329"/>
    </row>
    <row r="188" spans="1:13" ht="18" customHeight="1">
      <c r="A188" s="325" t="str">
        <f t="shared" si="11"/>
        <v>NL</v>
      </c>
      <c r="B188" s="616">
        <f t="shared" si="12"/>
        <v>171</v>
      </c>
      <c r="C188" s="40" t="s">
        <v>816</v>
      </c>
      <c r="D188" s="328" t="s">
        <v>563</v>
      </c>
      <c r="E188" s="8"/>
      <c r="F188" s="8"/>
      <c r="G188" s="25">
        <f t="array" ref="G188">SUM(IF("1521"&amp;C188=KHN&amp;MH,SL))</f>
        <v>66</v>
      </c>
      <c r="H188" s="25">
        <f t="array" ref="H188">SUM(IF("1521"&amp;C188=KHN&amp;MH,TH))</f>
        <v>1183116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>E188+G188-I188</f>
        <v>66</v>
      </c>
      <c r="L188" s="8">
        <f>F188+H188-J188</f>
        <v>1183116</v>
      </c>
      <c r="M188" s="329"/>
    </row>
    <row r="189" spans="1:13" ht="18" customHeight="1">
      <c r="A189" s="325" t="str">
        <f t="shared" si="11"/>
        <v>NL</v>
      </c>
      <c r="B189" s="616">
        <f t="shared" si="12"/>
        <v>172</v>
      </c>
      <c r="C189" s="40" t="s">
        <v>979</v>
      </c>
      <c r="D189" s="328" t="s">
        <v>563</v>
      </c>
      <c r="E189" s="8"/>
      <c r="F189" s="8"/>
      <c r="G189" s="25">
        <f t="array" ref="G189">SUM(IF("1521"&amp;C189=KHN&amp;MH,SL))</f>
        <v>120</v>
      </c>
      <c r="H189" s="25">
        <f t="array" ref="H189">SUM(IF("1521"&amp;C189=KHN&amp;MH,TH))</f>
        <v>3199680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>E189+G189-I189</f>
        <v>120</v>
      </c>
      <c r="L189" s="8">
        <f>F189+H189-J189</f>
        <v>3199680</v>
      </c>
      <c r="M189" s="329"/>
    </row>
    <row r="190" spans="1:13" ht="18" customHeight="1">
      <c r="A190" s="325" t="str">
        <f t="shared" si="11"/>
        <v>NL</v>
      </c>
      <c r="B190" s="616">
        <f t="shared" si="12"/>
        <v>173</v>
      </c>
      <c r="C190" s="40" t="s">
        <v>1031</v>
      </c>
      <c r="D190" s="328" t="s">
        <v>563</v>
      </c>
      <c r="E190" s="8"/>
      <c r="F190" s="8"/>
      <c r="G190" s="25">
        <f t="array" ref="G190">SUM(IF("1521"&amp;C190=KHN&amp;MH,SL))</f>
        <v>170</v>
      </c>
      <c r="H190" s="25">
        <f t="array" ref="H190">SUM(IF("1521"&amp;C190=KHN&amp;MH,TH))</f>
        <v>2417570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>E190+G190-I190</f>
        <v>170</v>
      </c>
      <c r="L190" s="8">
        <f>F190+H190-J190</f>
        <v>2417570</v>
      </c>
      <c r="M190" s="329"/>
    </row>
    <row r="191" spans="1:13" ht="18" customHeight="1">
      <c r="A191" s="325" t="str">
        <f t="shared" si="11"/>
        <v>NL</v>
      </c>
      <c r="B191" s="616">
        <f t="shared" si="12"/>
        <v>174</v>
      </c>
      <c r="C191" s="40" t="s">
        <v>1097</v>
      </c>
      <c r="D191" s="328" t="s">
        <v>563</v>
      </c>
      <c r="E191" s="8"/>
      <c r="F191" s="8"/>
      <c r="G191" s="25">
        <f t="array" ref="G191">SUM(IF("1521"&amp;C191=KHN&amp;MH,SL))</f>
        <v>1000</v>
      </c>
      <c r="H191" s="25">
        <f t="array" ref="H191">SUM(IF("1521"&amp;C191=KHN&amp;MH,TH))</f>
        <v>21023000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>E191+G191-I191</f>
        <v>1000</v>
      </c>
      <c r="L191" s="8">
        <f>F191+H191-J191</f>
        <v>21023000</v>
      </c>
      <c r="M191" s="329"/>
    </row>
    <row r="192" spans="1:13" ht="18" customHeight="1">
      <c r="A192" s="325" t="str">
        <f t="shared" si="11"/>
        <v>NL</v>
      </c>
      <c r="B192" s="616">
        <f t="shared" si="12"/>
        <v>175</v>
      </c>
      <c r="C192" s="40" t="s">
        <v>1077</v>
      </c>
      <c r="D192" s="328" t="s">
        <v>563</v>
      </c>
      <c r="E192" s="8"/>
      <c r="F192" s="8"/>
      <c r="G192" s="25">
        <f t="array" ref="G192">SUM(IF("1521"&amp;C192=KHN&amp;MH,SL))</f>
        <v>1510</v>
      </c>
      <c r="H192" s="25">
        <f t="array" ref="H192">SUM(IF("1521"&amp;C192=KHN&amp;MH,TH))</f>
        <v>49943610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>E192+G192-I192</f>
        <v>1510</v>
      </c>
      <c r="L192" s="8">
        <f>F192+H192-J192</f>
        <v>49943610</v>
      </c>
      <c r="M192" s="329"/>
    </row>
    <row r="193" spans="1:13" ht="18" customHeight="1">
      <c r="A193" s="325" t="str">
        <f t="shared" si="11"/>
        <v>NL</v>
      </c>
      <c r="B193" s="616">
        <f t="shared" si="12"/>
        <v>176</v>
      </c>
      <c r="C193" s="203" t="s">
        <v>561</v>
      </c>
      <c r="D193" s="328" t="s">
        <v>563</v>
      </c>
      <c r="E193" s="8"/>
      <c r="F193" s="8"/>
      <c r="G193" s="25">
        <f t="array" ref="G193">SUM(IF("1521"&amp;C193=KHN&amp;MH,SL))</f>
        <v>680</v>
      </c>
      <c r="H193" s="25">
        <f t="array" ref="H193">SUM(IF("1521"&amp;C193=KHN&amp;MH,TH))</f>
        <v>20507440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>E193+G193-I193</f>
        <v>680</v>
      </c>
      <c r="L193" s="8">
        <f>F193+H193-J193</f>
        <v>20507440</v>
      </c>
      <c r="M193" s="329"/>
    </row>
    <row r="194" spans="1:13" ht="18" customHeight="1">
      <c r="A194" s="325" t="str">
        <f t="shared" si="11"/>
        <v>NL</v>
      </c>
      <c r="B194" s="616">
        <f t="shared" si="12"/>
        <v>177</v>
      </c>
      <c r="C194" s="40" t="s">
        <v>833</v>
      </c>
      <c r="D194" s="328" t="s">
        <v>563</v>
      </c>
      <c r="E194" s="8"/>
      <c r="F194" s="8"/>
      <c r="G194" s="25">
        <f t="array" ref="G194">SUM(IF("1521"&amp;C194=KHN&amp;MH,SL))</f>
        <v>100</v>
      </c>
      <c r="H194" s="25">
        <f t="array" ref="H194">SUM(IF("1521"&amp;C194=KHN&amp;MH,TH))</f>
        <v>1597600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>E194+G194-I194</f>
        <v>100</v>
      </c>
      <c r="L194" s="8">
        <f>F194+H194-J194</f>
        <v>1597600</v>
      </c>
      <c r="M194" s="329"/>
    </row>
    <row r="195" spans="1:13" ht="18" customHeight="1">
      <c r="A195" s="325" t="str">
        <f t="shared" si="11"/>
        <v>NL</v>
      </c>
      <c r="B195" s="616">
        <f t="shared" si="12"/>
        <v>178</v>
      </c>
      <c r="C195" s="40" t="s">
        <v>984</v>
      </c>
      <c r="D195" s="328" t="s">
        <v>563</v>
      </c>
      <c r="E195" s="8"/>
      <c r="F195" s="8"/>
      <c r="G195" s="25">
        <f t="array" ref="G195">SUM(IF("1521"&amp;C195=KHN&amp;MH,SL))</f>
        <v>40</v>
      </c>
      <c r="H195" s="25">
        <f t="array" ref="H195">SUM(IF("1521"&amp;C195=KHN&amp;MH,TH))</f>
        <v>1128280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>E195+G195-I195</f>
        <v>40</v>
      </c>
      <c r="L195" s="8">
        <f>F195+H195-J195</f>
        <v>1128280</v>
      </c>
      <c r="M195" s="329"/>
    </row>
    <row r="196" spans="1:13" ht="18" customHeight="1">
      <c r="A196" s="325" t="str">
        <f t="shared" si="11"/>
        <v>NL</v>
      </c>
      <c r="B196" s="616">
        <f t="shared" si="12"/>
        <v>179</v>
      </c>
      <c r="C196" s="40" t="s">
        <v>978</v>
      </c>
      <c r="D196" s="328" t="s">
        <v>563</v>
      </c>
      <c r="E196" s="8"/>
      <c r="F196" s="8"/>
      <c r="G196" s="25">
        <f t="array" ref="G196">SUM(IF("1521"&amp;C196=KHN&amp;MH,SL))</f>
        <v>100</v>
      </c>
      <c r="H196" s="25">
        <f t="array" ref="H196">SUM(IF("1521"&amp;C196=KHN&amp;MH,TH))</f>
        <v>2973400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>E196+G196-I196</f>
        <v>100</v>
      </c>
      <c r="L196" s="8">
        <f>F196+H196-J196</f>
        <v>2973400</v>
      </c>
      <c r="M196" s="329"/>
    </row>
    <row r="197" spans="1:13" ht="18" customHeight="1">
      <c r="A197" s="325" t="str">
        <f t="shared" si="11"/>
        <v>NL</v>
      </c>
      <c r="B197" s="616">
        <f t="shared" si="12"/>
        <v>180</v>
      </c>
      <c r="C197" s="203" t="s">
        <v>700</v>
      </c>
      <c r="D197" s="328" t="s">
        <v>563</v>
      </c>
      <c r="E197" s="8"/>
      <c r="F197" s="8"/>
      <c r="G197" s="25">
        <f t="array" ref="G197">SUM(IF("1521"&amp;C197=KHN&amp;MH,SL))</f>
        <v>100</v>
      </c>
      <c r="H197" s="25">
        <f t="array" ref="H197">SUM(IF("1521"&amp;C197=KHN&amp;MH,TH))</f>
        <v>2763000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>E197+G197-I197</f>
        <v>100</v>
      </c>
      <c r="L197" s="8">
        <f>F197+H197-J197</f>
        <v>2763000</v>
      </c>
      <c r="M197" s="329"/>
    </row>
    <row r="198" spans="1:13" ht="18" customHeight="1">
      <c r="A198" s="325" t="str">
        <f t="shared" si="11"/>
        <v>NL</v>
      </c>
      <c r="B198" s="616">
        <f t="shared" si="12"/>
        <v>181</v>
      </c>
      <c r="C198" s="40" t="s">
        <v>842</v>
      </c>
      <c r="D198" s="328" t="s">
        <v>563</v>
      </c>
      <c r="E198" s="8"/>
      <c r="F198" s="8"/>
      <c r="G198" s="25">
        <f t="array" ref="G198">SUM(IF("1521"&amp;C198=KHN&amp;MH,SL))</f>
        <v>66</v>
      </c>
      <c r="H198" s="25">
        <f t="array" ref="H198">SUM(IF("1521"&amp;C198=KHN&amp;MH,TH))</f>
        <v>1309836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>E198+G198-I198</f>
        <v>66</v>
      </c>
      <c r="L198" s="8">
        <f>F198+H198-J198</f>
        <v>1309836</v>
      </c>
      <c r="M198" s="329"/>
    </row>
    <row r="199" spans="1:13" ht="18" customHeight="1">
      <c r="A199" s="325" t="str">
        <f t="shared" si="11"/>
        <v>NL</v>
      </c>
      <c r="B199" s="616">
        <f t="shared" si="12"/>
        <v>182</v>
      </c>
      <c r="C199" s="40" t="s">
        <v>862</v>
      </c>
      <c r="D199" s="328" t="s">
        <v>563</v>
      </c>
      <c r="E199" s="8"/>
      <c r="F199" s="8"/>
      <c r="G199" s="25">
        <f t="array" ref="G199">SUM(IF("1521"&amp;C199=KHN&amp;MH,SL))</f>
        <v>300</v>
      </c>
      <c r="H199" s="25">
        <f t="array" ref="H199">SUM(IF("1521"&amp;C199=KHN&amp;MH,TH))</f>
        <v>8370000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>E199+G199-I199</f>
        <v>300</v>
      </c>
      <c r="L199" s="8">
        <f>F199+H199-J199</f>
        <v>8370000</v>
      </c>
      <c r="M199" s="329"/>
    </row>
    <row r="200" spans="1:13" ht="18" customHeight="1">
      <c r="A200" s="325" t="str">
        <f t="shared" si="11"/>
        <v>NL</v>
      </c>
      <c r="B200" s="616">
        <f t="shared" si="12"/>
        <v>183</v>
      </c>
      <c r="C200" s="40" t="s">
        <v>811</v>
      </c>
      <c r="D200" s="328" t="s">
        <v>563</v>
      </c>
      <c r="E200" s="8"/>
      <c r="F200" s="8"/>
      <c r="G200" s="25">
        <f t="array" ref="G200">SUM(IF("1521"&amp;C200=KHN&amp;MH,SL))</f>
        <v>100</v>
      </c>
      <c r="H200" s="25">
        <f t="array" ref="H200">SUM(IF("1521"&amp;C200=KHN&amp;MH,TH))</f>
        <v>2280900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>E200+G200-I200</f>
        <v>100</v>
      </c>
      <c r="L200" s="8">
        <f>F200+H200-J200</f>
        <v>2280900</v>
      </c>
      <c r="M200" s="329"/>
    </row>
    <row r="201" spans="1:13" ht="18" customHeight="1">
      <c r="A201" s="325" t="str">
        <f t="shared" si="11"/>
        <v>NL</v>
      </c>
      <c r="B201" s="616">
        <f t="shared" si="12"/>
        <v>184</v>
      </c>
      <c r="C201" s="40" t="s">
        <v>997</v>
      </c>
      <c r="D201" s="328" t="s">
        <v>563</v>
      </c>
      <c r="E201" s="8"/>
      <c r="F201" s="8"/>
      <c r="G201" s="25">
        <f t="array" ref="G201">SUM(IF("1521"&amp;C201=KHN&amp;MH,SL))</f>
        <v>100</v>
      </c>
      <c r="H201" s="25">
        <f t="array" ref="H201">SUM(IF("1521"&amp;C201=KHN&amp;MH,TH))</f>
        <v>1614000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>E201+G201-I201</f>
        <v>100</v>
      </c>
      <c r="L201" s="8">
        <f>F201+H201-J201</f>
        <v>1614000</v>
      </c>
      <c r="M201" s="329"/>
    </row>
    <row r="202" spans="1:13" ht="18" customHeight="1">
      <c r="A202" s="325" t="str">
        <f t="shared" si="11"/>
        <v>NL</v>
      </c>
      <c r="B202" s="616">
        <f t="shared" si="12"/>
        <v>185</v>
      </c>
      <c r="C202" s="40" t="s">
        <v>1005</v>
      </c>
      <c r="D202" s="328" t="s">
        <v>563</v>
      </c>
      <c r="E202" s="8"/>
      <c r="F202" s="8"/>
      <c r="G202" s="25">
        <f t="array" ref="G202">SUM(IF("1521"&amp;C202=KHN&amp;MH,SL))</f>
        <v>1020</v>
      </c>
      <c r="H202" s="25">
        <f t="array" ref="H202">SUM(IF("1521"&amp;C202=KHN&amp;MH,TH))</f>
        <v>23488560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>E202+G202-I202</f>
        <v>1020</v>
      </c>
      <c r="L202" s="8">
        <f>F202+H202-J202</f>
        <v>23488560</v>
      </c>
      <c r="M202" s="329"/>
    </row>
    <row r="203" spans="1:13" ht="18" customHeight="1">
      <c r="A203" s="325" t="str">
        <f t="shared" si="11"/>
        <v>NL</v>
      </c>
      <c r="B203" s="616">
        <f t="shared" si="12"/>
        <v>186</v>
      </c>
      <c r="C203" s="40" t="s">
        <v>857</v>
      </c>
      <c r="D203" s="328" t="s">
        <v>563</v>
      </c>
      <c r="E203" s="8"/>
      <c r="F203" s="8"/>
      <c r="G203" s="25">
        <f t="array" ref="G203">SUM(IF("1521"&amp;C203=KHN&amp;MH,SL))</f>
        <v>4530</v>
      </c>
      <c r="H203" s="25">
        <f t="array" ref="H203">SUM(IF("1521"&amp;C203=KHN&amp;MH,TH))</f>
        <v>104864970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>E203+G203-I203</f>
        <v>4530</v>
      </c>
      <c r="L203" s="8">
        <f>F203+H203-J203</f>
        <v>104864970</v>
      </c>
      <c r="M203" s="329"/>
    </row>
    <row r="204" spans="1:13" ht="18" customHeight="1">
      <c r="A204" s="325" t="str">
        <f t="shared" si="11"/>
        <v>NL</v>
      </c>
      <c r="B204" s="616">
        <f t="shared" si="12"/>
        <v>187</v>
      </c>
      <c r="C204" s="40" t="s">
        <v>890</v>
      </c>
      <c r="D204" s="328" t="s">
        <v>563</v>
      </c>
      <c r="E204" s="8"/>
      <c r="F204" s="8"/>
      <c r="G204" s="25">
        <f t="array" ref="G204">SUM(IF("1521"&amp;C204=KHN&amp;MH,SL))</f>
        <v>200</v>
      </c>
      <c r="H204" s="25">
        <f t="array" ref="H204">SUM(IF("1521"&amp;C204=KHN&amp;MH,TH))</f>
        <v>4620400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>E204+G204-I204</f>
        <v>200</v>
      </c>
      <c r="L204" s="8">
        <f>F204+H204-J204</f>
        <v>4620400</v>
      </c>
      <c r="M204" s="329"/>
    </row>
    <row r="205" spans="1:13" ht="18" customHeight="1">
      <c r="A205" s="325" t="str">
        <f t="shared" si="11"/>
        <v>NL</v>
      </c>
      <c r="B205" s="616">
        <f t="shared" si="12"/>
        <v>188</v>
      </c>
      <c r="C205" s="40" t="s">
        <v>817</v>
      </c>
      <c r="D205" s="328" t="s">
        <v>563</v>
      </c>
      <c r="E205" s="8"/>
      <c r="F205" s="8"/>
      <c r="G205" s="25">
        <f t="array" ref="G205">SUM(IF("1521"&amp;C205=KHN&amp;MH,SL))</f>
        <v>112</v>
      </c>
      <c r="H205" s="25">
        <f t="array" ref="H205">SUM(IF("1521"&amp;C205=KHN&amp;MH,TH))</f>
        <v>2107616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>E205+G205-I205</f>
        <v>112</v>
      </c>
      <c r="L205" s="8">
        <f>F205+H205-J205</f>
        <v>2107616</v>
      </c>
      <c r="M205" s="329"/>
    </row>
    <row r="206" spans="1:13" ht="18" customHeight="1">
      <c r="A206" s="325" t="str">
        <f t="shared" si="11"/>
        <v>NL</v>
      </c>
      <c r="B206" s="616">
        <f t="shared" si="12"/>
        <v>189</v>
      </c>
      <c r="C206" s="40" t="s">
        <v>825</v>
      </c>
      <c r="D206" s="328" t="s">
        <v>563</v>
      </c>
      <c r="E206" s="8"/>
      <c r="F206" s="8"/>
      <c r="G206" s="25">
        <f t="array" ref="G206">SUM(IF("1521"&amp;C206=KHN&amp;MH,SL))</f>
        <v>104</v>
      </c>
      <c r="H206" s="25">
        <f t="array" ref="H206">SUM(IF("1521"&amp;C206=KHN&amp;MH,TH))</f>
        <v>2054936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>E206+G206-I206</f>
        <v>104</v>
      </c>
      <c r="L206" s="8">
        <f>F206+H206-J206</f>
        <v>2054936</v>
      </c>
      <c r="M206" s="329"/>
    </row>
    <row r="207" spans="1:13" ht="18" customHeight="1">
      <c r="A207" s="325" t="str">
        <f t="shared" si="11"/>
        <v>NL</v>
      </c>
      <c r="B207" s="616">
        <f t="shared" si="12"/>
        <v>190</v>
      </c>
      <c r="C207" s="40" t="s">
        <v>899</v>
      </c>
      <c r="D207" s="328" t="s">
        <v>563</v>
      </c>
      <c r="E207" s="8"/>
      <c r="F207" s="8"/>
      <c r="G207" s="25">
        <f t="array" ref="G207">SUM(IF("1521"&amp;C207=KHN&amp;MH,SL))</f>
        <v>425</v>
      </c>
      <c r="H207" s="25">
        <f t="array" ref="H207">SUM(IF("1521"&amp;C207=KHN&amp;MH,TH))</f>
        <v>12367500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>E207+G207-I207</f>
        <v>425</v>
      </c>
      <c r="L207" s="8">
        <f>F207+H207-J207</f>
        <v>12367500</v>
      </c>
      <c r="M207" s="329"/>
    </row>
    <row r="208" spans="1:13" ht="18" customHeight="1">
      <c r="A208" s="325" t="str">
        <f t="shared" si="11"/>
        <v>NL</v>
      </c>
      <c r="B208" s="616">
        <f t="shared" si="12"/>
        <v>191</v>
      </c>
      <c r="C208" s="40" t="s">
        <v>1094</v>
      </c>
      <c r="D208" s="328" t="s">
        <v>563</v>
      </c>
      <c r="E208" s="8"/>
      <c r="F208" s="8"/>
      <c r="G208" s="25">
        <f t="array" ref="G208">SUM(IF("1521"&amp;C208=KHN&amp;MH,SL))</f>
        <v>300</v>
      </c>
      <c r="H208" s="25">
        <f t="array" ref="H208">SUM(IF("1521"&amp;C208=KHN&amp;MH,TH))</f>
        <v>6297600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>E208+G208-I208</f>
        <v>300</v>
      </c>
      <c r="L208" s="8">
        <f>F208+H208-J208</f>
        <v>6297600</v>
      </c>
      <c r="M208" s="329"/>
    </row>
    <row r="209" spans="1:13" ht="18" customHeight="1">
      <c r="A209" s="325" t="str">
        <f t="shared" si="11"/>
        <v>NL</v>
      </c>
      <c r="B209" s="616">
        <f t="shared" si="12"/>
        <v>192</v>
      </c>
      <c r="C209" s="330" t="s">
        <v>647</v>
      </c>
      <c r="D209" s="328" t="s">
        <v>563</v>
      </c>
      <c r="E209" s="8"/>
      <c r="F209" s="8"/>
      <c r="G209" s="25">
        <f t="array" ref="G209">SUM(IF("1521"&amp;C209=KHN&amp;MH,SL))</f>
        <v>100</v>
      </c>
      <c r="H209" s="25">
        <f t="array" ref="H209">SUM(IF("1521"&amp;C209=KHN&amp;MH,TH))</f>
        <v>3145100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>E209+G209-I209</f>
        <v>100</v>
      </c>
      <c r="L209" s="8">
        <f>F209+H209-J209</f>
        <v>3145100</v>
      </c>
      <c r="M209" s="329"/>
    </row>
    <row r="210" spans="1:13" ht="18" customHeight="1">
      <c r="A210" s="325" t="str">
        <f t="shared" si="11"/>
        <v>NL</v>
      </c>
      <c r="B210" s="616">
        <f t="shared" si="12"/>
        <v>193</v>
      </c>
      <c r="C210" s="40" t="s">
        <v>980</v>
      </c>
      <c r="D210" s="328" t="s">
        <v>563</v>
      </c>
      <c r="E210" s="8"/>
      <c r="F210" s="8"/>
      <c r="G210" s="25">
        <f t="array" ref="G210">SUM(IF("1521"&amp;C210=KHN&amp;MH,SL))</f>
        <v>170</v>
      </c>
      <c r="H210" s="25">
        <f t="array" ref="H210">SUM(IF("1521"&amp;C210=KHN&amp;MH,TH))</f>
        <v>5269490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>E210+G210-I210</f>
        <v>170</v>
      </c>
      <c r="L210" s="8">
        <f>F210+H210-J210</f>
        <v>5269490</v>
      </c>
      <c r="M210" s="329"/>
    </row>
    <row r="211" spans="1:13" ht="18" customHeight="1">
      <c r="A211" s="325" t="str">
        <f t="shared" ref="A211:A274" si="13">IF(B211&lt;&gt;"","NL","")</f>
        <v>NL</v>
      </c>
      <c r="B211" s="616">
        <f t="shared" ref="B211:B274" si="14">IF(C211&lt;&gt;"",B210+1,"")</f>
        <v>194</v>
      </c>
      <c r="C211" s="40" t="s">
        <v>994</v>
      </c>
      <c r="D211" s="328" t="s">
        <v>563</v>
      </c>
      <c r="E211" s="8"/>
      <c r="F211" s="8"/>
      <c r="G211" s="25">
        <f t="array" ref="G211">SUM(IF("1521"&amp;C211=KHN&amp;MH,SL))</f>
        <v>282</v>
      </c>
      <c r="H211" s="25">
        <f t="array" ref="H211">SUM(IF("1521"&amp;C211=KHN&amp;MH,TH))</f>
        <v>5981220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>E211+G211-I211</f>
        <v>282</v>
      </c>
      <c r="L211" s="8">
        <f>F211+H211-J211</f>
        <v>5981220</v>
      </c>
      <c r="M211" s="329"/>
    </row>
    <row r="212" spans="1:13" ht="18" customHeight="1">
      <c r="A212" s="325" t="str">
        <f t="shared" si="13"/>
        <v>NL</v>
      </c>
      <c r="B212" s="616">
        <f t="shared" si="14"/>
        <v>195</v>
      </c>
      <c r="C212" s="40" t="s">
        <v>812</v>
      </c>
      <c r="D212" s="328" t="s">
        <v>563</v>
      </c>
      <c r="E212" s="8"/>
      <c r="F212" s="8"/>
      <c r="G212" s="25">
        <f t="array" ref="G212">SUM(IF("1521"&amp;C212=KHN&amp;MH,SL))</f>
        <v>100</v>
      </c>
      <c r="H212" s="25">
        <f t="array" ref="H212">SUM(IF("1521"&amp;C212=KHN&amp;MH,TH))</f>
        <v>2321000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>E212+G212-I212</f>
        <v>100</v>
      </c>
      <c r="L212" s="8">
        <f>F212+H212-J212</f>
        <v>2321000</v>
      </c>
      <c r="M212" s="329"/>
    </row>
    <row r="213" spans="1:13" ht="18" customHeight="1">
      <c r="A213" s="325" t="str">
        <f t="shared" si="13"/>
        <v>NL</v>
      </c>
      <c r="B213" s="616">
        <f t="shared" si="14"/>
        <v>196</v>
      </c>
      <c r="C213" s="330" t="s">
        <v>648</v>
      </c>
      <c r="D213" s="328" t="s">
        <v>563</v>
      </c>
      <c r="E213" s="8"/>
      <c r="F213" s="8"/>
      <c r="G213" s="25">
        <f t="array" ref="G213">SUM(IF("1521"&amp;C213=KHN&amp;MH,SL))</f>
        <v>493</v>
      </c>
      <c r="H213" s="25">
        <f t="array" ref="H213">SUM(IF("1521"&amp;C213=KHN&amp;MH,TH))</f>
        <v>15462452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>E213+G213-I213</f>
        <v>493</v>
      </c>
      <c r="L213" s="8">
        <f>F213+H213-J213</f>
        <v>15462452</v>
      </c>
      <c r="M213" s="329"/>
    </row>
    <row r="214" spans="1:13" ht="18" customHeight="1">
      <c r="A214" s="325" t="str">
        <f t="shared" si="13"/>
        <v>NL</v>
      </c>
      <c r="B214" s="616">
        <f t="shared" si="14"/>
        <v>197</v>
      </c>
      <c r="C214" s="40" t="s">
        <v>1095</v>
      </c>
      <c r="D214" s="328" t="s">
        <v>563</v>
      </c>
      <c r="E214" s="8"/>
      <c r="F214" s="8"/>
      <c r="G214" s="25">
        <f t="array" ref="G214">SUM(IF("1521"&amp;C214=KHN&amp;MH,SL))</f>
        <v>100</v>
      </c>
      <c r="H214" s="25">
        <f t="array" ref="H214">SUM(IF("1521"&amp;C214=KHN&amp;MH,TH))</f>
        <v>2184800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>E214+G214-I214</f>
        <v>100</v>
      </c>
      <c r="L214" s="8">
        <f>F214+H214-J214</f>
        <v>2184800</v>
      </c>
      <c r="M214" s="329"/>
    </row>
    <row r="215" spans="1:13" ht="18" customHeight="1">
      <c r="A215" s="325" t="str">
        <f t="shared" si="13"/>
        <v>NL</v>
      </c>
      <c r="B215" s="616">
        <f t="shared" si="14"/>
        <v>198</v>
      </c>
      <c r="C215" s="40" t="s">
        <v>1096</v>
      </c>
      <c r="D215" s="328" t="s">
        <v>563</v>
      </c>
      <c r="E215" s="8"/>
      <c r="F215" s="8"/>
      <c r="G215" s="25">
        <f t="array" ref="G215">SUM(IF("1521"&amp;C215=KHN&amp;MH,SL))</f>
        <v>140</v>
      </c>
      <c r="H215" s="25">
        <f t="array" ref="H215">SUM(IF("1521"&amp;C215=KHN&amp;MH,TH))</f>
        <v>2767520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>E215+G215-I215</f>
        <v>140</v>
      </c>
      <c r="L215" s="8">
        <f>F215+H215-J215</f>
        <v>2767520</v>
      </c>
      <c r="M215" s="329"/>
    </row>
    <row r="216" spans="1:13" ht="18" customHeight="1">
      <c r="A216" s="325" t="str">
        <f t="shared" si="13"/>
        <v>NL</v>
      </c>
      <c r="B216" s="616">
        <f t="shared" si="14"/>
        <v>199</v>
      </c>
      <c r="C216" s="40" t="s">
        <v>791</v>
      </c>
      <c r="D216" s="328" t="s">
        <v>563</v>
      </c>
      <c r="E216" s="8"/>
      <c r="F216" s="8"/>
      <c r="G216" s="25">
        <f t="array" ref="G216">SUM(IF("1521"&amp;C216=KHN&amp;MH,SL))</f>
        <v>76</v>
      </c>
      <c r="H216" s="25">
        <f t="array" ref="H216">SUM(IF("1521"&amp;C216=KHN&amp;MH,TH))</f>
        <v>2203012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>E216+G216-I216</f>
        <v>76</v>
      </c>
      <c r="L216" s="8">
        <f>F216+H216-J216</f>
        <v>2203012</v>
      </c>
      <c r="M216" s="329"/>
    </row>
    <row r="217" spans="1:13" ht="18" customHeight="1">
      <c r="A217" s="325" t="str">
        <f t="shared" si="13"/>
        <v>NL</v>
      </c>
      <c r="B217" s="616">
        <f t="shared" si="14"/>
        <v>200</v>
      </c>
      <c r="C217" s="203" t="s">
        <v>699</v>
      </c>
      <c r="D217" s="328" t="s">
        <v>563</v>
      </c>
      <c r="E217" s="8"/>
      <c r="F217" s="8"/>
      <c r="G217" s="25">
        <f t="array" ref="G217">SUM(IF("1521"&amp;C217=KHN&amp;MH,SL))</f>
        <v>260</v>
      </c>
      <c r="H217" s="25">
        <f t="array" ref="H217">SUM(IF("1521"&amp;C217=KHN&amp;MH,TH))</f>
        <v>8509280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>E217+G217-I217</f>
        <v>260</v>
      </c>
      <c r="L217" s="8">
        <f>F217+H217-J217</f>
        <v>8509280</v>
      </c>
      <c r="M217" s="329"/>
    </row>
    <row r="218" spans="1:13" ht="18" customHeight="1">
      <c r="A218" s="325" t="str">
        <f t="shared" si="13"/>
        <v>NL</v>
      </c>
      <c r="B218" s="616">
        <f t="shared" si="14"/>
        <v>201</v>
      </c>
      <c r="C218" s="203" t="s">
        <v>640</v>
      </c>
      <c r="D218" s="328" t="s">
        <v>563</v>
      </c>
      <c r="E218" s="8"/>
      <c r="F218" s="8"/>
      <c r="G218" s="25">
        <f t="array" ref="G218">SUM(IF("1521"&amp;C218=KHN&amp;MH,SL))</f>
        <v>140</v>
      </c>
      <c r="H218" s="25">
        <f t="array" ref="H218">SUM(IF("1521"&amp;C218=KHN&amp;MH,TH))</f>
        <v>2808260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>E218+G218-I218</f>
        <v>140</v>
      </c>
      <c r="L218" s="8">
        <f>F218+H218-J218</f>
        <v>2808260</v>
      </c>
      <c r="M218" s="329"/>
    </row>
    <row r="219" spans="1:13" ht="18" customHeight="1">
      <c r="A219" s="325" t="str">
        <f t="shared" si="13"/>
        <v>NL</v>
      </c>
      <c r="B219" s="616">
        <f t="shared" si="14"/>
        <v>202</v>
      </c>
      <c r="C219" s="40" t="s">
        <v>866</v>
      </c>
      <c r="D219" s="328" t="s">
        <v>563</v>
      </c>
      <c r="E219" s="8"/>
      <c r="F219" s="8"/>
      <c r="G219" s="25">
        <f t="array" ref="G219">SUM(IF("1521"&amp;C219=KHN&amp;MH,SL))</f>
        <v>250</v>
      </c>
      <c r="H219" s="25">
        <f t="array" ref="H219">SUM(IF("1521"&amp;C219=KHN&amp;MH,TH))</f>
        <v>5721750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>E219+G219-I219</f>
        <v>250</v>
      </c>
      <c r="L219" s="8">
        <f>F219+H219-J219</f>
        <v>5721750</v>
      </c>
      <c r="M219" s="329"/>
    </row>
    <row r="220" spans="1:13" ht="18" customHeight="1">
      <c r="A220" s="325" t="str">
        <f t="shared" si="13"/>
        <v>NL</v>
      </c>
      <c r="B220" s="616">
        <f t="shared" si="14"/>
        <v>203</v>
      </c>
      <c r="C220" s="40" t="s">
        <v>1066</v>
      </c>
      <c r="D220" s="328" t="s">
        <v>563</v>
      </c>
      <c r="E220" s="8"/>
      <c r="F220" s="8"/>
      <c r="G220" s="25">
        <f t="array" ref="G220">SUM(IF("1521"&amp;C220=KHN&amp;MH,SL))</f>
        <v>100</v>
      </c>
      <c r="H220" s="25">
        <f t="array" ref="H220">SUM(IF("1521"&amp;C220=KHN&amp;MH,TH))</f>
        <v>1698500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>E220+G220-I220</f>
        <v>100</v>
      </c>
      <c r="L220" s="8">
        <f>F220+H220-J220</f>
        <v>1698500</v>
      </c>
      <c r="M220" s="329"/>
    </row>
    <row r="221" spans="1:13" ht="18" customHeight="1">
      <c r="A221" s="325" t="str">
        <f t="shared" si="13"/>
        <v>NL</v>
      </c>
      <c r="B221" s="616">
        <f t="shared" si="14"/>
        <v>204</v>
      </c>
      <c r="C221" s="40" t="s">
        <v>813</v>
      </c>
      <c r="D221" s="328" t="s">
        <v>563</v>
      </c>
      <c r="E221" s="8"/>
      <c r="F221" s="8"/>
      <c r="G221" s="25">
        <f t="array" ref="G221">SUM(IF("1521"&amp;C221=KHN&amp;MH,SL))</f>
        <v>200</v>
      </c>
      <c r="H221" s="25">
        <f t="array" ref="H221">SUM(IF("1521"&amp;C221=KHN&amp;MH,TH))</f>
        <v>3413400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>E221+G221-I221</f>
        <v>200</v>
      </c>
      <c r="L221" s="8">
        <f>F221+H221-J221</f>
        <v>3413400</v>
      </c>
      <c r="M221" s="329"/>
    </row>
    <row r="222" spans="1:13" ht="18" customHeight="1">
      <c r="A222" s="325" t="str">
        <f t="shared" si="13"/>
        <v>NL</v>
      </c>
      <c r="B222" s="616">
        <f t="shared" si="14"/>
        <v>205</v>
      </c>
      <c r="C222" s="203" t="s">
        <v>649</v>
      </c>
      <c r="D222" s="328" t="s">
        <v>563</v>
      </c>
      <c r="E222" s="8"/>
      <c r="F222" s="8"/>
      <c r="G222" s="25">
        <f t="array" ref="G222">SUM(IF("1521"&amp;C222=KHN&amp;MH,SL))</f>
        <v>300</v>
      </c>
      <c r="H222" s="25">
        <f t="array" ref="H222">SUM(IF("1521"&amp;C222=KHN&amp;MH,TH))</f>
        <v>6076500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>E222+G222-I222</f>
        <v>300</v>
      </c>
      <c r="L222" s="8">
        <f>F222+H222-J222</f>
        <v>6076500</v>
      </c>
      <c r="M222" s="329"/>
    </row>
    <row r="223" spans="1:13" ht="18" customHeight="1">
      <c r="A223" s="325" t="str">
        <f t="shared" si="13"/>
        <v>NL</v>
      </c>
      <c r="B223" s="616">
        <f t="shared" si="14"/>
        <v>206</v>
      </c>
      <c r="C223" s="40" t="s">
        <v>826</v>
      </c>
      <c r="D223" s="328" t="s">
        <v>563</v>
      </c>
      <c r="E223" s="8"/>
      <c r="F223" s="8"/>
      <c r="G223" s="25">
        <f t="array" ref="G223">SUM(IF("1521"&amp;C223=KHN&amp;MH,SL))</f>
        <v>324</v>
      </c>
      <c r="H223" s="25">
        <f t="array" ref="H223">SUM(IF("1521"&amp;C223=KHN&amp;MH,TH))</f>
        <v>7806780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>E223+G223-I223</f>
        <v>324</v>
      </c>
      <c r="L223" s="8">
        <f>F223+H223-J223</f>
        <v>7806780</v>
      </c>
      <c r="M223" s="329"/>
    </row>
    <row r="224" spans="1:13" ht="18" customHeight="1">
      <c r="A224" s="325" t="str">
        <f t="shared" si="13"/>
        <v>NL</v>
      </c>
      <c r="B224" s="616">
        <f t="shared" si="14"/>
        <v>207</v>
      </c>
      <c r="C224" s="40" t="s">
        <v>1093</v>
      </c>
      <c r="D224" s="328" t="s">
        <v>563</v>
      </c>
      <c r="E224" s="8"/>
      <c r="F224" s="8"/>
      <c r="G224" s="25">
        <f t="array" ref="G224">SUM(IF("1521"&amp;C224=KHN&amp;MH,SL))</f>
        <v>100</v>
      </c>
      <c r="H224" s="25">
        <f t="array" ref="H224">SUM(IF("1521"&amp;C224=KHN&amp;MH,TH))</f>
        <v>2345500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>E224+G224-I224</f>
        <v>100</v>
      </c>
      <c r="L224" s="8">
        <f>F224+H224-J224</f>
        <v>2345500</v>
      </c>
      <c r="M224" s="329"/>
    </row>
    <row r="225" spans="1:13" ht="18" customHeight="1">
      <c r="A225" s="325" t="str">
        <f t="shared" si="13"/>
        <v>NL</v>
      </c>
      <c r="B225" s="616">
        <f t="shared" si="14"/>
        <v>208</v>
      </c>
      <c r="C225" s="40" t="s">
        <v>855</v>
      </c>
      <c r="D225" s="328" t="s">
        <v>563</v>
      </c>
      <c r="E225" s="8"/>
      <c r="F225" s="8"/>
      <c r="G225" s="25">
        <f t="array" ref="G225">SUM(IF("1521"&amp;C225=KHN&amp;MH,SL))</f>
        <v>200</v>
      </c>
      <c r="H225" s="25">
        <f t="array" ref="H225">SUM(IF("1521"&amp;C225=KHN&amp;MH,TH))</f>
        <v>4708600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>E225+G225-I225</f>
        <v>200</v>
      </c>
      <c r="L225" s="8">
        <f>F225+H225-J225</f>
        <v>4708600</v>
      </c>
      <c r="M225" s="329"/>
    </row>
    <row r="226" spans="1:13" ht="18" customHeight="1">
      <c r="A226" s="325" t="str">
        <f t="shared" si="13"/>
        <v>NL</v>
      </c>
      <c r="B226" s="616">
        <f t="shared" si="14"/>
        <v>209</v>
      </c>
      <c r="C226" s="40" t="s">
        <v>1150</v>
      </c>
      <c r="D226" s="328" t="s">
        <v>563</v>
      </c>
      <c r="E226" s="8"/>
      <c r="F226" s="8"/>
      <c r="G226" s="25">
        <f t="array" ref="G226">SUM(IF("1521"&amp;C226=KHN&amp;MH,SL))</f>
        <v>50</v>
      </c>
      <c r="H226" s="25">
        <f t="array" ref="H226">SUM(IF("1521"&amp;C226=KHN&amp;MH,TH))</f>
        <v>1999750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>E226+G226-I226</f>
        <v>50</v>
      </c>
      <c r="L226" s="8">
        <f>F226+H226-J226</f>
        <v>1999750</v>
      </c>
      <c r="M226" s="329"/>
    </row>
    <row r="227" spans="1:13" ht="18" customHeight="1">
      <c r="A227" s="325" t="str">
        <f t="shared" si="13"/>
        <v>NL</v>
      </c>
      <c r="B227" s="616">
        <f t="shared" si="14"/>
        <v>210</v>
      </c>
      <c r="C227" s="203" t="s">
        <v>637</v>
      </c>
      <c r="D227" s="328" t="s">
        <v>563</v>
      </c>
      <c r="E227" s="8"/>
      <c r="F227" s="8"/>
      <c r="G227" s="25">
        <f t="array" ref="G227">SUM(IF("1521"&amp;C227=KHN&amp;MH,SL))</f>
        <v>100</v>
      </c>
      <c r="H227" s="25">
        <f t="array" ref="H227">SUM(IF("1521"&amp;C227=KHN&amp;MH,TH))</f>
        <v>2561600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>E227+G227-I227</f>
        <v>100</v>
      </c>
      <c r="L227" s="8">
        <f>F227+H227-J227</f>
        <v>2561600</v>
      </c>
      <c r="M227" s="329"/>
    </row>
    <row r="228" spans="1:13" ht="18" customHeight="1">
      <c r="A228" s="325" t="str">
        <f t="shared" si="13"/>
        <v>NL</v>
      </c>
      <c r="B228" s="616">
        <f t="shared" si="14"/>
        <v>211</v>
      </c>
      <c r="C228" s="203" t="s">
        <v>562</v>
      </c>
      <c r="D228" s="328" t="s">
        <v>563</v>
      </c>
      <c r="E228" s="8"/>
      <c r="F228" s="8"/>
      <c r="G228" s="25">
        <f t="array" ref="G228">SUM(IF("1521"&amp;C228=KHN&amp;MH,SL))</f>
        <v>500</v>
      </c>
      <c r="H228" s="25">
        <f t="array" ref="H228">SUM(IF("1521"&amp;C228=KHN&amp;MH,TH))</f>
        <v>16439000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>E228+G228-I228</f>
        <v>500</v>
      </c>
      <c r="L228" s="8">
        <f>F228+H228-J228</f>
        <v>16439000</v>
      </c>
      <c r="M228" s="329"/>
    </row>
    <row r="229" spans="1:13" ht="18" customHeight="1">
      <c r="A229" s="325" t="str">
        <f t="shared" si="13"/>
        <v>NL</v>
      </c>
      <c r="B229" s="616">
        <f t="shared" si="14"/>
        <v>212</v>
      </c>
      <c r="C229" s="40" t="s">
        <v>981</v>
      </c>
      <c r="D229" s="328" t="s">
        <v>563</v>
      </c>
      <c r="E229" s="8"/>
      <c r="F229" s="8"/>
      <c r="G229" s="25">
        <f t="array" ref="G229">SUM(IF("1521"&amp;C229=KHN&amp;MH,SL))</f>
        <v>50</v>
      </c>
      <c r="H229" s="25">
        <f t="array" ref="H229">SUM(IF("1521"&amp;C229=KHN&amp;MH,TH))</f>
        <v>1905300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>E229+G229-I229</f>
        <v>50</v>
      </c>
      <c r="L229" s="8">
        <f>F229+H229-J229</f>
        <v>1905300</v>
      </c>
      <c r="M229" s="329"/>
    </row>
    <row r="230" spans="1:13" ht="18" customHeight="1">
      <c r="A230" s="325" t="str">
        <f t="shared" si="13"/>
        <v>NL</v>
      </c>
      <c r="B230" s="616">
        <f t="shared" si="14"/>
        <v>213</v>
      </c>
      <c r="C230" s="40" t="s">
        <v>843</v>
      </c>
      <c r="D230" s="328" t="s">
        <v>563</v>
      </c>
      <c r="E230" s="8"/>
      <c r="F230" s="8"/>
      <c r="G230" s="25">
        <f t="array" ref="G230">SUM(IF("1521"&amp;C230=KHN&amp;MH,SL))</f>
        <v>240</v>
      </c>
      <c r="H230" s="25">
        <f t="array" ref="H230">SUM(IF("1521"&amp;C230=KHN&amp;MH,TH))</f>
        <v>5061360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>E230+G230-I230</f>
        <v>240</v>
      </c>
      <c r="L230" s="8">
        <f>F230+H230-J230</f>
        <v>5061360</v>
      </c>
      <c r="M230" s="329"/>
    </row>
    <row r="231" spans="1:13" ht="18" customHeight="1">
      <c r="A231" s="325" t="str">
        <f t="shared" si="13"/>
        <v>NL</v>
      </c>
      <c r="B231" s="616">
        <f t="shared" si="14"/>
        <v>214</v>
      </c>
      <c r="C231" s="40" t="s">
        <v>1060</v>
      </c>
      <c r="D231" s="328" t="s">
        <v>563</v>
      </c>
      <c r="E231" s="8"/>
      <c r="F231" s="8"/>
      <c r="G231" s="25">
        <f t="array" ref="G231">SUM(IF("1521"&amp;C231=KHN&amp;MH,SL))</f>
        <v>100</v>
      </c>
      <c r="H231" s="25">
        <f t="array" ref="H231">SUM(IF("1521"&amp;C231=KHN&amp;MH,TH))</f>
        <v>2492200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>E231+G231-I231</f>
        <v>100</v>
      </c>
      <c r="L231" s="8">
        <f>F231+H231-J231</f>
        <v>2492200</v>
      </c>
      <c r="M231" s="329"/>
    </row>
    <row r="232" spans="1:13" ht="18" customHeight="1">
      <c r="A232" s="325" t="str">
        <f t="shared" si="13"/>
        <v>NL</v>
      </c>
      <c r="B232" s="616">
        <f t="shared" si="14"/>
        <v>215</v>
      </c>
      <c r="C232" s="40" t="s">
        <v>887</v>
      </c>
      <c r="D232" s="328" t="s">
        <v>563</v>
      </c>
      <c r="E232" s="8"/>
      <c r="F232" s="8"/>
      <c r="G232" s="25">
        <f t="array" ref="G232">SUM(IF("1521"&amp;C232=KHN&amp;MH,SL))</f>
        <v>100</v>
      </c>
      <c r="H232" s="25">
        <f t="array" ref="H232">SUM(IF("1521"&amp;C232=KHN&amp;MH,TH))</f>
        <v>2524000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>E232+G232-I232</f>
        <v>100</v>
      </c>
      <c r="L232" s="8">
        <f>F232+H232-J232</f>
        <v>2524000</v>
      </c>
      <c r="M232" s="329"/>
    </row>
    <row r="233" spans="1:13" ht="18" customHeight="1">
      <c r="A233" s="325" t="str">
        <f t="shared" si="13"/>
        <v>NL</v>
      </c>
      <c r="B233" s="616">
        <f t="shared" si="14"/>
        <v>216</v>
      </c>
      <c r="C233" s="40" t="s">
        <v>1035</v>
      </c>
      <c r="D233" s="328" t="s">
        <v>563</v>
      </c>
      <c r="E233" s="8"/>
      <c r="F233" s="8"/>
      <c r="G233" s="25">
        <f t="array" ref="G233">SUM(IF("1521"&amp;C233=KHN&amp;MH,SL))</f>
        <v>150</v>
      </c>
      <c r="H233" s="25">
        <f t="array" ref="H233">SUM(IF("1521"&amp;C233=KHN&amp;MH,TH))</f>
        <v>3116400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>E233+G233-I233</f>
        <v>150</v>
      </c>
      <c r="L233" s="8">
        <f>F233+H233-J233</f>
        <v>3116400</v>
      </c>
      <c r="M233" s="329"/>
    </row>
    <row r="234" spans="1:13" ht="18" customHeight="1">
      <c r="A234" s="325" t="str">
        <f t="shared" si="13"/>
        <v>NL</v>
      </c>
      <c r="B234" s="616">
        <f t="shared" si="14"/>
        <v>217</v>
      </c>
      <c r="C234" s="40" t="s">
        <v>858</v>
      </c>
      <c r="D234" s="328" t="s">
        <v>563</v>
      </c>
      <c r="E234" s="8"/>
      <c r="F234" s="8"/>
      <c r="G234" s="25">
        <f t="array" ref="G234">SUM(IF("1521"&amp;C234=KHN&amp;MH,SL))</f>
        <v>100</v>
      </c>
      <c r="H234" s="25">
        <f t="array" ref="H234">SUM(IF("1521"&amp;C234=KHN&amp;MH,TH))</f>
        <v>4099600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>E234+G234-I234</f>
        <v>100</v>
      </c>
      <c r="L234" s="8">
        <f>F234+H234-J234</f>
        <v>4099600</v>
      </c>
      <c r="M234" s="329"/>
    </row>
    <row r="235" spans="1:13" ht="18" customHeight="1">
      <c r="A235" s="325" t="str">
        <f t="shared" si="13"/>
        <v>NL</v>
      </c>
      <c r="B235" s="616">
        <f t="shared" si="14"/>
        <v>218</v>
      </c>
      <c r="C235" s="40" t="s">
        <v>929</v>
      </c>
      <c r="D235" s="328" t="s">
        <v>563</v>
      </c>
      <c r="E235" s="8"/>
      <c r="F235" s="8"/>
      <c r="G235" s="25">
        <f t="array" ref="G235">SUM(IF("1521"&amp;C235=KHN&amp;MH,SL))</f>
        <v>610</v>
      </c>
      <c r="H235" s="25">
        <f t="array" ref="H235">SUM(IF("1521"&amp;C235=KHN&amp;MH,TH))</f>
        <v>12882590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>E235+G235-I235</f>
        <v>610</v>
      </c>
      <c r="L235" s="8">
        <f>F235+H235-J235</f>
        <v>12882590</v>
      </c>
      <c r="M235" s="329"/>
    </row>
    <row r="236" spans="1:13" ht="18" customHeight="1">
      <c r="A236" s="325" t="str">
        <f t="shared" si="13"/>
        <v>NL</v>
      </c>
      <c r="B236" s="616">
        <f t="shared" si="14"/>
        <v>219</v>
      </c>
      <c r="C236" s="40" t="s">
        <v>915</v>
      </c>
      <c r="D236" s="328" t="s">
        <v>563</v>
      </c>
      <c r="E236" s="8"/>
      <c r="F236" s="8"/>
      <c r="G236" s="25">
        <f t="array" ref="G236">SUM(IF("1521"&amp;C236=KHN&amp;MH,SL))</f>
        <v>215</v>
      </c>
      <c r="H236" s="25">
        <f t="array" ref="H236">SUM(IF("1521"&amp;C236=KHN&amp;MH,TH))</f>
        <v>4807615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>E236+G236-I236</f>
        <v>215</v>
      </c>
      <c r="L236" s="8">
        <f>F236+H236-J236</f>
        <v>4807615</v>
      </c>
      <c r="M236" s="329"/>
    </row>
    <row r="237" spans="1:13" ht="18" customHeight="1">
      <c r="A237" s="325" t="str">
        <f t="shared" si="13"/>
        <v>NL</v>
      </c>
      <c r="B237" s="616">
        <f t="shared" si="14"/>
        <v>220</v>
      </c>
      <c r="C237" s="203" t="s">
        <v>658</v>
      </c>
      <c r="D237" s="328" t="s">
        <v>563</v>
      </c>
      <c r="E237" s="8"/>
      <c r="F237" s="8"/>
      <c r="G237" s="25">
        <f t="array" ref="G237">SUM(IF("1521"&amp;C237=KHN&amp;MH,SL))</f>
        <v>100</v>
      </c>
      <c r="H237" s="25">
        <f t="array" ref="H237">SUM(IF("1521"&amp;C237=KHN&amp;MH,TH))</f>
        <v>2289700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>E237+G237-I237</f>
        <v>100</v>
      </c>
      <c r="L237" s="8">
        <f>F237+H237-J237</f>
        <v>2289700</v>
      </c>
      <c r="M237" s="329"/>
    </row>
    <row r="238" spans="1:13" ht="18" customHeight="1">
      <c r="A238" s="325" t="str">
        <f t="shared" si="13"/>
        <v>NL</v>
      </c>
      <c r="B238" s="616">
        <f t="shared" si="14"/>
        <v>221</v>
      </c>
      <c r="C238" s="40" t="s">
        <v>814</v>
      </c>
      <c r="D238" s="328" t="s">
        <v>563</v>
      </c>
      <c r="E238" s="8"/>
      <c r="F238" s="8"/>
      <c r="G238" s="25">
        <f t="array" ref="G238">SUM(IF("1521"&amp;C238=KHN&amp;MH,SL))</f>
        <v>104</v>
      </c>
      <c r="H238" s="25">
        <f t="array" ref="H238">SUM(IF("1521"&amp;C238=KHN&amp;MH,TH))</f>
        <v>2376712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>E238+G238-I238</f>
        <v>104</v>
      </c>
      <c r="L238" s="8">
        <f>F238+H238-J238</f>
        <v>2376712</v>
      </c>
      <c r="M238" s="329"/>
    </row>
    <row r="239" spans="1:13" ht="18" customHeight="1">
      <c r="A239" s="325" t="str">
        <f t="shared" si="13"/>
        <v>NL</v>
      </c>
      <c r="B239" s="616">
        <f t="shared" si="14"/>
        <v>222</v>
      </c>
      <c r="C239" s="40" t="s">
        <v>1120</v>
      </c>
      <c r="D239" s="328" t="s">
        <v>563</v>
      </c>
      <c r="E239" s="8"/>
      <c r="F239" s="8"/>
      <c r="G239" s="25">
        <f t="array" ref="G239">SUM(IF("1521"&amp;C239=KHN&amp;MH,SL))</f>
        <v>500</v>
      </c>
      <c r="H239" s="25">
        <f t="array" ref="H239">SUM(IF("1521"&amp;C239=KHN&amp;MH,TH))</f>
        <v>9373000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>E239+G239-I239</f>
        <v>500</v>
      </c>
      <c r="L239" s="8">
        <f>F239+H239-J239</f>
        <v>9373000</v>
      </c>
      <c r="M239" s="329"/>
    </row>
    <row r="240" spans="1:13" ht="18" customHeight="1">
      <c r="A240" s="325" t="str">
        <f t="shared" si="13"/>
        <v>NL</v>
      </c>
      <c r="B240" s="616">
        <f t="shared" si="14"/>
        <v>223</v>
      </c>
      <c r="C240" s="40" t="s">
        <v>1125</v>
      </c>
      <c r="D240" s="328" t="s">
        <v>563</v>
      </c>
      <c r="E240" s="8"/>
      <c r="F240" s="8"/>
      <c r="G240" s="25">
        <f t="array" ref="G240">SUM(IF("1521"&amp;C240=KHN&amp;MH,SL))</f>
        <v>100</v>
      </c>
      <c r="H240" s="25">
        <f t="array" ref="H240">SUM(IF("1521"&amp;C240=KHN&amp;MH,TH))</f>
        <v>2859600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>E240+G240-I240</f>
        <v>100</v>
      </c>
      <c r="L240" s="8">
        <f>F240+H240-J240</f>
        <v>2859600</v>
      </c>
      <c r="M240" s="329"/>
    </row>
    <row r="241" spans="1:13" ht="18" customHeight="1">
      <c r="A241" s="325" t="str">
        <f t="shared" si="13"/>
        <v>NL</v>
      </c>
      <c r="B241" s="616">
        <f t="shared" si="14"/>
        <v>224</v>
      </c>
      <c r="C241" s="40" t="s">
        <v>888</v>
      </c>
      <c r="D241" s="328" t="s">
        <v>563</v>
      </c>
      <c r="E241" s="8"/>
      <c r="F241" s="8"/>
      <c r="G241" s="25">
        <f t="array" ref="G241">SUM(IF("1521"&amp;C241=KHN&amp;MH,SL))</f>
        <v>100</v>
      </c>
      <c r="H241" s="25">
        <f t="array" ref="H241">SUM(IF("1521"&amp;C241=KHN&amp;MH,TH))</f>
        <v>3001200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>E241+G241-I241</f>
        <v>100</v>
      </c>
      <c r="L241" s="8">
        <f>F241+H241-J241</f>
        <v>3001200</v>
      </c>
      <c r="M241" s="329"/>
    </row>
    <row r="242" spans="1:13" ht="18" customHeight="1">
      <c r="A242" s="325" t="str">
        <f t="shared" si="13"/>
        <v>NL</v>
      </c>
      <c r="B242" s="616">
        <f t="shared" si="14"/>
        <v>225</v>
      </c>
      <c r="C242" s="40" t="s">
        <v>1124</v>
      </c>
      <c r="D242" s="328" t="s">
        <v>563</v>
      </c>
      <c r="E242" s="8"/>
      <c r="F242" s="8"/>
      <c r="G242" s="25">
        <f t="array" ref="G242">SUM(IF("1521"&amp;C242=KHN&amp;MH,SL))</f>
        <v>100</v>
      </c>
      <c r="H242" s="25">
        <f t="array" ref="H242">SUM(IF("1521"&amp;C242=KHN&amp;MH,TH))</f>
        <v>578300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>E242+G242-I242</f>
        <v>100</v>
      </c>
      <c r="L242" s="8">
        <f>F242+H242-J242</f>
        <v>578300</v>
      </c>
      <c r="M242" s="329"/>
    </row>
    <row r="243" spans="1:13" ht="18" customHeight="1">
      <c r="A243" s="325" t="str">
        <f t="shared" si="13"/>
        <v>NL</v>
      </c>
      <c r="B243" s="616">
        <f t="shared" si="14"/>
        <v>226</v>
      </c>
      <c r="C243" s="40" t="s">
        <v>864</v>
      </c>
      <c r="D243" s="328" t="s">
        <v>563</v>
      </c>
      <c r="E243" s="8"/>
      <c r="F243" s="8"/>
      <c r="G243" s="25">
        <f t="array" ref="G243">SUM(IF("1521"&amp;C243=KHN&amp;MH,SL))</f>
        <v>100</v>
      </c>
      <c r="H243" s="25">
        <f t="array" ref="H243">SUM(IF("1521"&amp;C243=KHN&amp;MH,TH))</f>
        <v>933200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>E243+G243-I243</f>
        <v>100</v>
      </c>
      <c r="L243" s="8">
        <f>F243+H243-J243</f>
        <v>933200</v>
      </c>
      <c r="M243" s="329"/>
    </row>
    <row r="244" spans="1:13" ht="18" customHeight="1">
      <c r="A244" s="325" t="str">
        <f t="shared" si="13"/>
        <v>NL</v>
      </c>
      <c r="B244" s="616">
        <f t="shared" si="14"/>
        <v>227</v>
      </c>
      <c r="C244" s="40" t="s">
        <v>1048</v>
      </c>
      <c r="D244" s="328" t="s">
        <v>563</v>
      </c>
      <c r="E244" s="8"/>
      <c r="F244" s="8"/>
      <c r="G244" s="25">
        <f t="array" ref="G244">SUM(IF("1521"&amp;C244=KHN&amp;MH,SL))</f>
        <v>100</v>
      </c>
      <c r="H244" s="25">
        <f t="array" ref="H244">SUM(IF("1521"&amp;C244=KHN&amp;MH,TH))</f>
        <v>898900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>E244+G244-I244</f>
        <v>100</v>
      </c>
      <c r="L244" s="8">
        <f>F244+H244-J244</f>
        <v>898900</v>
      </c>
      <c r="M244" s="329"/>
    </row>
    <row r="245" spans="1:13" ht="18" customHeight="1">
      <c r="A245" s="325" t="str">
        <f t="shared" si="13"/>
        <v>NL</v>
      </c>
      <c r="B245" s="616">
        <f t="shared" si="14"/>
        <v>228</v>
      </c>
      <c r="C245" s="40" t="s">
        <v>1023</v>
      </c>
      <c r="D245" s="328" t="s">
        <v>563</v>
      </c>
      <c r="E245" s="8"/>
      <c r="F245" s="8"/>
      <c r="G245" s="25">
        <f t="array" ref="G245">SUM(IF("1521"&amp;C245=KHN&amp;MH,SL))</f>
        <v>960</v>
      </c>
      <c r="H245" s="25">
        <f t="array" ref="H245">SUM(IF("1521"&amp;C245=KHN&amp;MH,TH))</f>
        <v>13826880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>E245+G245-I245</f>
        <v>960</v>
      </c>
      <c r="L245" s="8">
        <f>F245+H245-J245</f>
        <v>13826880</v>
      </c>
      <c r="M245" s="329"/>
    </row>
    <row r="246" spans="1:13" ht="18" customHeight="1">
      <c r="A246" s="325" t="str">
        <f t="shared" si="13"/>
        <v>NL</v>
      </c>
      <c r="B246" s="616">
        <f t="shared" si="14"/>
        <v>229</v>
      </c>
      <c r="C246" s="40" t="s">
        <v>935</v>
      </c>
      <c r="D246" s="328" t="s">
        <v>563</v>
      </c>
      <c r="E246" s="8"/>
      <c r="F246" s="8"/>
      <c r="G246" s="25">
        <f t="array" ref="G246">SUM(IF("1521"&amp;C246=KHN&amp;MH,SL))</f>
        <v>500</v>
      </c>
      <c r="H246" s="25">
        <f t="array" ref="H246">SUM(IF("1521"&amp;C246=KHN&amp;MH,TH))</f>
        <v>7250000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>E246+G246-I246</f>
        <v>500</v>
      </c>
      <c r="L246" s="8">
        <f>F246+H246-J246</f>
        <v>7250000</v>
      </c>
      <c r="M246" s="329"/>
    </row>
    <row r="247" spans="1:13" ht="18" customHeight="1">
      <c r="A247" s="325" t="str">
        <f t="shared" si="13"/>
        <v>NL</v>
      </c>
      <c r="B247" s="616">
        <f t="shared" si="14"/>
        <v>230</v>
      </c>
      <c r="C247" s="40" t="s">
        <v>931</v>
      </c>
      <c r="D247" s="328" t="s">
        <v>563</v>
      </c>
      <c r="E247" s="8"/>
      <c r="F247" s="8"/>
      <c r="G247" s="25">
        <f t="array" ref="G247">SUM(IF("1521"&amp;C247=KHN&amp;MH,SL))</f>
        <v>500</v>
      </c>
      <c r="H247" s="25">
        <f t="array" ref="H247">SUM(IF("1521"&amp;C247=KHN&amp;MH,TH))</f>
        <v>8609500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>E247+G247-I247</f>
        <v>500</v>
      </c>
      <c r="L247" s="8">
        <f>F247+H247-J247</f>
        <v>8609500</v>
      </c>
      <c r="M247" s="329"/>
    </row>
    <row r="248" spans="1:13" ht="18" customHeight="1">
      <c r="A248" s="325" t="str">
        <f t="shared" si="13"/>
        <v>NL</v>
      </c>
      <c r="B248" s="616">
        <f t="shared" si="14"/>
        <v>231</v>
      </c>
      <c r="C248" s="40" t="s">
        <v>949</v>
      </c>
      <c r="D248" s="328" t="s">
        <v>563</v>
      </c>
      <c r="E248" s="8"/>
      <c r="F248" s="8"/>
      <c r="G248" s="25">
        <f t="array" ref="G248">SUM(IF("1521"&amp;C248=KHN&amp;MH,SL))</f>
        <v>2150</v>
      </c>
      <c r="H248" s="25">
        <f t="array" ref="H248">SUM(IF("1521"&amp;C248=KHN&amp;MH,TH))</f>
        <v>37317550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>E248+G248-I248</f>
        <v>2150</v>
      </c>
      <c r="L248" s="8">
        <f>F248+H248-J248</f>
        <v>37317550</v>
      </c>
      <c r="M248" s="329"/>
    </row>
    <row r="249" spans="1:13" ht="18" customHeight="1">
      <c r="A249" s="325" t="str">
        <f t="shared" si="13"/>
        <v>NL</v>
      </c>
      <c r="B249" s="616">
        <f t="shared" si="14"/>
        <v>232</v>
      </c>
      <c r="C249" s="40" t="s">
        <v>951</v>
      </c>
      <c r="D249" s="328" t="s">
        <v>563</v>
      </c>
      <c r="E249" s="8"/>
      <c r="F249" s="8"/>
      <c r="G249" s="25">
        <f t="array" ref="G249">SUM(IF("1521"&amp;C249=KHN&amp;MH,SL))</f>
        <v>270</v>
      </c>
      <c r="H249" s="25">
        <f t="array" ref="H249">SUM(IF("1521"&amp;C249=KHN&amp;MH,TH))</f>
        <v>4946670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>E249+G249-I249</f>
        <v>270</v>
      </c>
      <c r="L249" s="8">
        <f>F249+H249-J249</f>
        <v>4946670</v>
      </c>
      <c r="M249" s="329"/>
    </row>
    <row r="250" spans="1:13" ht="18" customHeight="1">
      <c r="A250" s="325" t="str">
        <f t="shared" si="13"/>
        <v>NL</v>
      </c>
      <c r="B250" s="616">
        <f t="shared" si="14"/>
        <v>233</v>
      </c>
      <c r="C250" s="40" t="s">
        <v>933</v>
      </c>
      <c r="D250" s="328" t="s">
        <v>563</v>
      </c>
      <c r="E250" s="8"/>
      <c r="F250" s="8"/>
      <c r="G250" s="25">
        <f t="array" ref="G250">SUM(IF("1521"&amp;C250=KHN&amp;MH,SL))</f>
        <v>500</v>
      </c>
      <c r="H250" s="25">
        <f t="array" ref="H250">SUM(IF("1521"&amp;C250=KHN&amp;MH,TH))</f>
        <v>9461500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>E250+G250-I250</f>
        <v>500</v>
      </c>
      <c r="L250" s="8">
        <f>F250+H250-J250</f>
        <v>9461500</v>
      </c>
      <c r="M250" s="329"/>
    </row>
    <row r="251" spans="1:13" ht="18" customHeight="1">
      <c r="A251" s="325" t="str">
        <f t="shared" si="13"/>
        <v>NL</v>
      </c>
      <c r="B251" s="616">
        <f t="shared" si="14"/>
        <v>234</v>
      </c>
      <c r="C251" s="40" t="s">
        <v>934</v>
      </c>
      <c r="D251" s="328" t="s">
        <v>563</v>
      </c>
      <c r="E251" s="8"/>
      <c r="F251" s="8"/>
      <c r="G251" s="25">
        <f t="array" ref="G251">SUM(IF("1521"&amp;C251=KHN&amp;MH,SL))</f>
        <v>500</v>
      </c>
      <c r="H251" s="25">
        <f t="array" ref="H251">SUM(IF("1521"&amp;C251=KHN&amp;MH,TH))</f>
        <v>9987000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>E251+G251-I251</f>
        <v>500</v>
      </c>
      <c r="L251" s="8">
        <f>F251+H251-J251</f>
        <v>9987000</v>
      </c>
      <c r="M251" s="329"/>
    </row>
    <row r="252" spans="1:13" ht="18" customHeight="1">
      <c r="A252" s="325" t="str">
        <f t="shared" si="13"/>
        <v>NL</v>
      </c>
      <c r="B252" s="616">
        <f t="shared" si="14"/>
        <v>235</v>
      </c>
      <c r="C252" s="40" t="s">
        <v>932</v>
      </c>
      <c r="D252" s="328" t="s">
        <v>563</v>
      </c>
      <c r="E252" s="8"/>
      <c r="F252" s="8"/>
      <c r="G252" s="25">
        <f t="array" ref="G252">SUM(IF("1521"&amp;C252=KHN&amp;MH,SL))</f>
        <v>300</v>
      </c>
      <c r="H252" s="25">
        <f t="array" ref="H252">SUM(IF("1521"&amp;C252=KHN&amp;MH,TH))</f>
        <v>7993200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>E252+G252-I252</f>
        <v>300</v>
      </c>
      <c r="L252" s="8">
        <f>F252+H252-J252</f>
        <v>7993200</v>
      </c>
      <c r="M252" s="329"/>
    </row>
    <row r="253" spans="1:13" ht="18" customHeight="1">
      <c r="A253" s="325" t="str">
        <f t="shared" si="13"/>
        <v>NL</v>
      </c>
      <c r="B253" s="616">
        <f t="shared" si="14"/>
        <v>236</v>
      </c>
      <c r="C253" s="40" t="s">
        <v>985</v>
      </c>
      <c r="D253" s="328" t="s">
        <v>563</v>
      </c>
      <c r="E253" s="8"/>
      <c r="F253" s="8"/>
      <c r="G253" s="25">
        <f t="array" ref="G253">SUM(IF("1521"&amp;C253=KHN&amp;MH,SL))</f>
        <v>840</v>
      </c>
      <c r="H253" s="25">
        <f t="array" ref="H253">SUM(IF("1521"&amp;C253=KHN&amp;MH,TH))</f>
        <v>23020200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>E253+G253-I253</f>
        <v>840</v>
      </c>
      <c r="L253" s="8">
        <f>F253+H253-J253</f>
        <v>23020200</v>
      </c>
      <c r="M253" s="329"/>
    </row>
    <row r="254" spans="1:13" ht="18" customHeight="1">
      <c r="A254" s="325" t="str">
        <f t="shared" si="13"/>
        <v>NL</v>
      </c>
      <c r="B254" s="616">
        <f t="shared" si="14"/>
        <v>237</v>
      </c>
      <c r="C254" s="40" t="s">
        <v>954</v>
      </c>
      <c r="D254" s="328" t="s">
        <v>563</v>
      </c>
      <c r="E254" s="8"/>
      <c r="F254" s="8"/>
      <c r="G254" s="25">
        <f t="array" ref="G254">SUM(IF("1521"&amp;C254=KHN&amp;MH,SL))</f>
        <v>360</v>
      </c>
      <c r="H254" s="25">
        <f t="array" ref="H254">SUM(IF("1521"&amp;C254=KHN&amp;MH,TH))</f>
        <v>10359000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>E254+G254-I254</f>
        <v>360</v>
      </c>
      <c r="L254" s="8">
        <f>F254+H254-J254</f>
        <v>10359000</v>
      </c>
      <c r="M254" s="329"/>
    </row>
    <row r="255" spans="1:13" ht="18" customHeight="1">
      <c r="A255" s="325" t="str">
        <f t="shared" si="13"/>
        <v>NL</v>
      </c>
      <c r="B255" s="616">
        <f t="shared" si="14"/>
        <v>238</v>
      </c>
      <c r="C255" s="40" t="s">
        <v>936</v>
      </c>
      <c r="D255" s="328" t="s">
        <v>563</v>
      </c>
      <c r="E255" s="8"/>
      <c r="F255" s="8"/>
      <c r="G255" s="25">
        <f t="array" ref="G255">SUM(IF("1521"&amp;C255=KHN&amp;MH,SL))</f>
        <v>300</v>
      </c>
      <c r="H255" s="25">
        <f t="array" ref="H255">SUM(IF("1521"&amp;C255=KHN&amp;MH,TH))</f>
        <v>9330900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>E255+G255-I255</f>
        <v>300</v>
      </c>
      <c r="L255" s="8">
        <f>F255+H255-J255</f>
        <v>9330900</v>
      </c>
      <c r="M255" s="329"/>
    </row>
    <row r="256" spans="1:13" ht="18" customHeight="1">
      <c r="A256" s="325" t="str">
        <f t="shared" si="13"/>
        <v>NL</v>
      </c>
      <c r="B256" s="616">
        <f t="shared" si="14"/>
        <v>239</v>
      </c>
      <c r="C256" s="40" t="s">
        <v>1167</v>
      </c>
      <c r="D256" s="328" t="s">
        <v>563</v>
      </c>
      <c r="E256" s="8"/>
      <c r="F256" s="8"/>
      <c r="G256" s="25">
        <f t="array" ref="G256">SUM(IF("1521"&amp;C256=KHN&amp;MH,SL))</f>
        <v>150</v>
      </c>
      <c r="H256" s="25">
        <f t="array" ref="H256">SUM(IF("1521"&amp;C256=KHN&amp;MH,TH))</f>
        <v>1767000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>E256+G256-I256</f>
        <v>150</v>
      </c>
      <c r="L256" s="8">
        <f>F256+H256-J256</f>
        <v>1767000</v>
      </c>
      <c r="M256" s="329"/>
    </row>
    <row r="257" spans="1:13" ht="18" customHeight="1">
      <c r="A257" s="325" t="str">
        <f t="shared" si="13"/>
        <v>NL</v>
      </c>
      <c r="B257" s="616">
        <f t="shared" si="14"/>
        <v>240</v>
      </c>
      <c r="C257" s="40" t="s">
        <v>1163</v>
      </c>
      <c r="D257" s="328" t="s">
        <v>563</v>
      </c>
      <c r="E257" s="8"/>
      <c r="F257" s="8"/>
      <c r="G257" s="25">
        <f t="array" ref="G257">SUM(IF("1521"&amp;C257=KHN&amp;MH,SL))</f>
        <v>209</v>
      </c>
      <c r="H257" s="25">
        <f t="array" ref="H257">SUM(IF("1521"&amp;C257=KHN&amp;MH,TH))</f>
        <v>3827626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>E257+G257-I257</f>
        <v>209</v>
      </c>
      <c r="L257" s="8">
        <f>F257+H257-J257</f>
        <v>3827626</v>
      </c>
      <c r="M257" s="329"/>
    </row>
    <row r="258" spans="1:13" ht="18" customHeight="1">
      <c r="A258" s="325" t="str">
        <f t="shared" si="13"/>
        <v>NL</v>
      </c>
      <c r="B258" s="616">
        <f t="shared" si="14"/>
        <v>241</v>
      </c>
      <c r="C258" s="40" t="s">
        <v>1169</v>
      </c>
      <c r="D258" s="328" t="s">
        <v>563</v>
      </c>
      <c r="E258" s="8"/>
      <c r="F258" s="8"/>
      <c r="G258" s="25">
        <f t="array" ref="G258">SUM(IF("1521"&amp;C258=KHN&amp;MH,SL))</f>
        <v>202</v>
      </c>
      <c r="H258" s="25">
        <f t="array" ref="H258">SUM(IF("1521"&amp;C258=KHN&amp;MH,TH))</f>
        <v>4240384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>E258+G258-I258</f>
        <v>202</v>
      </c>
      <c r="L258" s="8">
        <f>F258+H258-J258</f>
        <v>4240384</v>
      </c>
      <c r="M258" s="329"/>
    </row>
    <row r="259" spans="1:13" ht="18" customHeight="1">
      <c r="A259" s="325" t="str">
        <f t="shared" si="13"/>
        <v>NL</v>
      </c>
      <c r="B259" s="616">
        <f t="shared" si="14"/>
        <v>242</v>
      </c>
      <c r="C259" s="40" t="s">
        <v>1166</v>
      </c>
      <c r="D259" s="328" t="s">
        <v>563</v>
      </c>
      <c r="E259" s="8"/>
      <c r="F259" s="8"/>
      <c r="G259" s="25">
        <f t="array" ref="G259">SUM(IF("1521"&amp;C259=KHN&amp;MH,SL))</f>
        <v>760</v>
      </c>
      <c r="H259" s="25">
        <f t="array" ref="H259">SUM(IF("1521"&amp;C259=KHN&amp;MH,TH))</f>
        <v>15819400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>E259+G259-I259</f>
        <v>760</v>
      </c>
      <c r="L259" s="8">
        <f>F259+H259-J259</f>
        <v>15819400</v>
      </c>
      <c r="M259" s="329"/>
    </row>
    <row r="260" spans="1:13" ht="18" customHeight="1">
      <c r="A260" s="325" t="str">
        <f t="shared" si="13"/>
        <v>NL</v>
      </c>
      <c r="B260" s="616">
        <f t="shared" si="14"/>
        <v>243</v>
      </c>
      <c r="C260" s="40" t="s">
        <v>1164</v>
      </c>
      <c r="D260" s="328" t="s">
        <v>563</v>
      </c>
      <c r="E260" s="8"/>
      <c r="F260" s="8"/>
      <c r="G260" s="25">
        <f t="array" ref="G260">SUM(IF("1521"&amp;C260=KHN&amp;MH,SL))</f>
        <v>500</v>
      </c>
      <c r="H260" s="25">
        <f t="array" ref="H260">SUM(IF("1521"&amp;C260=KHN&amp;MH,TH))</f>
        <v>14175000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>E260+G260-I260</f>
        <v>500</v>
      </c>
      <c r="L260" s="8">
        <f>F260+H260-J260</f>
        <v>14175000</v>
      </c>
      <c r="M260" s="329"/>
    </row>
    <row r="261" spans="1:13" ht="18" customHeight="1">
      <c r="A261" s="325" t="str">
        <f t="shared" si="13"/>
        <v>NL</v>
      </c>
      <c r="B261" s="616">
        <f t="shared" si="14"/>
        <v>244</v>
      </c>
      <c r="C261" s="40" t="s">
        <v>1170</v>
      </c>
      <c r="D261" s="328" t="s">
        <v>563</v>
      </c>
      <c r="E261" s="8"/>
      <c r="F261" s="8"/>
      <c r="G261" s="25">
        <f t="array" ref="G261">SUM(IF("1521"&amp;C261=KHN&amp;MH,SL))</f>
        <v>218</v>
      </c>
      <c r="H261" s="25">
        <f t="array" ref="H261">SUM(IF("1521"&amp;C261=KHN&amp;MH,TH))</f>
        <v>4558380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>E261+G261-I261</f>
        <v>218</v>
      </c>
      <c r="L261" s="8">
        <f>F261+H261-J261</f>
        <v>4558380</v>
      </c>
      <c r="M261" s="329"/>
    </row>
    <row r="262" spans="1:13" ht="18" customHeight="1">
      <c r="A262" s="325" t="str">
        <f t="shared" si="13"/>
        <v>NL</v>
      </c>
      <c r="B262" s="616">
        <f t="shared" si="14"/>
        <v>245</v>
      </c>
      <c r="C262" s="40" t="s">
        <v>1161</v>
      </c>
      <c r="D262" s="328" t="s">
        <v>563</v>
      </c>
      <c r="E262" s="8"/>
      <c r="F262" s="8"/>
      <c r="G262" s="25">
        <f t="array" ref="G262">SUM(IF("1521"&amp;C262=KHN&amp;MH,SL))</f>
        <v>754</v>
      </c>
      <c r="H262" s="25">
        <f t="array" ref="H262">SUM(IF("1521"&amp;C262=KHN&amp;MH,TH))</f>
        <v>10056852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>E262+G262-I262</f>
        <v>754</v>
      </c>
      <c r="L262" s="8">
        <f>F262+H262-J262</f>
        <v>10056852</v>
      </c>
      <c r="M262" s="329"/>
    </row>
    <row r="263" spans="1:13" ht="18" customHeight="1">
      <c r="A263" s="325" t="str">
        <f t="shared" si="13"/>
        <v>NL</v>
      </c>
      <c r="B263" s="616">
        <f t="shared" si="14"/>
        <v>246</v>
      </c>
      <c r="C263" s="40" t="s">
        <v>1179</v>
      </c>
      <c r="D263" s="328" t="s">
        <v>534</v>
      </c>
      <c r="E263" s="8"/>
      <c r="F263" s="8"/>
      <c r="G263" s="25">
        <f t="array" ref="G263">SUM(IF("1521"&amp;C263=KHN&amp;MH,SL))</f>
        <v>988</v>
      </c>
      <c r="H263" s="25">
        <f t="array" ref="H263">SUM(IF("1521"&amp;C263=KHN&amp;MH,TH))</f>
        <v>22391044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>E263+G263-I263</f>
        <v>988</v>
      </c>
      <c r="L263" s="8">
        <f>F263+H263-J263</f>
        <v>22391044</v>
      </c>
      <c r="M263" s="329"/>
    </row>
    <row r="264" spans="1:13" ht="18" customHeight="1">
      <c r="A264" s="325" t="str">
        <f t="shared" si="13"/>
        <v>NL</v>
      </c>
      <c r="B264" s="616">
        <f t="shared" si="14"/>
        <v>247</v>
      </c>
      <c r="C264" s="203" t="s">
        <v>743</v>
      </c>
      <c r="D264" s="328" t="s">
        <v>534</v>
      </c>
      <c r="E264" s="8"/>
      <c r="F264" s="8"/>
      <c r="G264" s="25">
        <f t="array" ref="G264">SUM(IF("1521"&amp;C264=KHN&amp;MH,SL))</f>
        <v>100</v>
      </c>
      <c r="H264" s="25">
        <f t="array" ref="H264">SUM(IF("1521"&amp;C264=KHN&amp;MH,TH))</f>
        <v>1416600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>E264+G264-I264</f>
        <v>100</v>
      </c>
      <c r="L264" s="8">
        <f>F264+H264-J264</f>
        <v>1416600</v>
      </c>
      <c r="M264" s="329"/>
    </row>
    <row r="265" spans="1:13" ht="18" customHeight="1">
      <c r="A265" s="325" t="str">
        <f t="shared" si="13"/>
        <v>NL</v>
      </c>
      <c r="B265" s="616">
        <f t="shared" si="14"/>
        <v>248</v>
      </c>
      <c r="C265" s="40" t="s">
        <v>754</v>
      </c>
      <c r="D265" s="328" t="s">
        <v>534</v>
      </c>
      <c r="E265" s="8"/>
      <c r="F265" s="8"/>
      <c r="G265" s="25">
        <f t="array" ref="G265">SUM(IF("1521"&amp;C265=KHN&amp;MH,SL))</f>
        <v>102</v>
      </c>
      <c r="H265" s="25">
        <f t="array" ref="H265">SUM(IF("1521"&amp;C265=KHN&amp;MH,TH))</f>
        <v>1486446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>E265+G265-I265</f>
        <v>102</v>
      </c>
      <c r="L265" s="8">
        <f>F265+H265-J265</f>
        <v>1486446</v>
      </c>
      <c r="M265" s="329"/>
    </row>
    <row r="266" spans="1:13" ht="18" customHeight="1">
      <c r="A266" s="325" t="str">
        <f t="shared" si="13"/>
        <v>NL</v>
      </c>
      <c r="B266" s="616">
        <f t="shared" si="14"/>
        <v>249</v>
      </c>
      <c r="C266" s="203" t="s">
        <v>747</v>
      </c>
      <c r="D266" s="328" t="s">
        <v>534</v>
      </c>
      <c r="E266" s="8"/>
      <c r="F266" s="8"/>
      <c r="G266" s="25">
        <f t="array" ref="G266">SUM(IF("1521"&amp;C266=KHN&amp;MH,SL))</f>
        <v>50</v>
      </c>
      <c r="H266" s="25">
        <f t="array" ref="H266">SUM(IF("1521"&amp;C266=KHN&amp;MH,TH))</f>
        <v>1056500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>E266+G266-I266</f>
        <v>50</v>
      </c>
      <c r="L266" s="8">
        <f>F266+H266-J266</f>
        <v>1056500</v>
      </c>
      <c r="M266" s="329"/>
    </row>
    <row r="267" spans="1:13" ht="18" customHeight="1">
      <c r="A267" s="325" t="str">
        <f t="shared" si="13"/>
        <v>NL</v>
      </c>
      <c r="B267" s="616">
        <f t="shared" si="14"/>
        <v>250</v>
      </c>
      <c r="C267" s="203" t="s">
        <v>746</v>
      </c>
      <c r="D267" s="328" t="s">
        <v>534</v>
      </c>
      <c r="E267" s="8"/>
      <c r="F267" s="8"/>
      <c r="G267" s="25">
        <f t="array" ref="G267">SUM(IF("1521"&amp;C267=KHN&amp;MH,SL))</f>
        <v>50</v>
      </c>
      <c r="H267" s="25">
        <f t="array" ref="H267">SUM(IF("1521"&amp;C267=KHN&amp;MH,TH))</f>
        <v>872150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>E267+G267-I267</f>
        <v>50</v>
      </c>
      <c r="L267" s="8">
        <f>F267+H267-J267</f>
        <v>872150</v>
      </c>
      <c r="M267" s="329"/>
    </row>
    <row r="268" spans="1:13" ht="18" customHeight="1">
      <c r="A268" s="325" t="str">
        <f t="shared" si="13"/>
        <v>NL</v>
      </c>
      <c r="B268" s="616">
        <f t="shared" si="14"/>
        <v>251</v>
      </c>
      <c r="C268" s="203" t="s">
        <v>748</v>
      </c>
      <c r="D268" s="328" t="s">
        <v>534</v>
      </c>
      <c r="E268" s="8"/>
      <c r="F268" s="8"/>
      <c r="G268" s="25">
        <f t="array" ref="G268">SUM(IF("1521"&amp;C268=KHN&amp;MH,SL))</f>
        <v>169</v>
      </c>
      <c r="H268" s="25">
        <f t="array" ref="H268">SUM(IF("1521"&amp;C268=KHN&amp;MH,TH))</f>
        <v>3224520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>E268+G268-I268</f>
        <v>169</v>
      </c>
      <c r="L268" s="8">
        <f>F268+H268-J268</f>
        <v>3224520</v>
      </c>
      <c r="M268" s="329"/>
    </row>
    <row r="269" spans="1:13" ht="18" customHeight="1">
      <c r="A269" s="325" t="str">
        <f t="shared" si="13"/>
        <v>NL</v>
      </c>
      <c r="B269" s="616">
        <f t="shared" si="14"/>
        <v>252</v>
      </c>
      <c r="C269" s="40" t="s">
        <v>729</v>
      </c>
      <c r="D269" s="328" t="s">
        <v>534</v>
      </c>
      <c r="E269" s="8"/>
      <c r="F269" s="8"/>
      <c r="G269" s="25">
        <f t="array" ref="G269">SUM(IF("1521"&amp;C269=KHN&amp;MH,SL))</f>
        <v>140</v>
      </c>
      <c r="H269" s="25">
        <f t="array" ref="H269">SUM(IF("1521"&amp;C269=KHN&amp;MH,TH))</f>
        <v>2257920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>E269+G269-I269</f>
        <v>140</v>
      </c>
      <c r="L269" s="8">
        <f>F269+H269-J269</f>
        <v>2257920</v>
      </c>
      <c r="M269" s="329"/>
    </row>
    <row r="270" spans="1:13" ht="18" customHeight="1">
      <c r="A270" s="325" t="str">
        <f t="shared" si="13"/>
        <v>NL</v>
      </c>
      <c r="B270" s="616">
        <f t="shared" si="14"/>
        <v>253</v>
      </c>
      <c r="C270" s="203" t="s">
        <v>750</v>
      </c>
      <c r="D270" s="328" t="s">
        <v>534</v>
      </c>
      <c r="E270" s="8"/>
      <c r="F270" s="8"/>
      <c r="G270" s="25">
        <f t="array" ref="G270">SUM(IF("1521"&amp;C270=KHN&amp;MH,SL))</f>
        <v>105</v>
      </c>
      <c r="H270" s="25">
        <f t="array" ref="H270">SUM(IF("1521"&amp;C270=KHN&amp;MH,TH))</f>
        <v>1840650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>E270+G270-I270</f>
        <v>105</v>
      </c>
      <c r="L270" s="8">
        <f>F270+H270-J270</f>
        <v>1840650</v>
      </c>
      <c r="M270" s="329"/>
    </row>
    <row r="271" spans="1:13" ht="18" customHeight="1">
      <c r="A271" s="325" t="str">
        <f t="shared" si="13"/>
        <v>NL</v>
      </c>
      <c r="B271" s="616">
        <f t="shared" si="14"/>
        <v>254</v>
      </c>
      <c r="C271" s="203" t="s">
        <v>749</v>
      </c>
      <c r="D271" s="328" t="s">
        <v>534</v>
      </c>
      <c r="E271" s="8"/>
      <c r="F271" s="8"/>
      <c r="G271" s="25">
        <f t="array" ref="G271">SUM(IF("1521"&amp;C271=KHN&amp;MH,SL))</f>
        <v>195</v>
      </c>
      <c r="H271" s="25">
        <f t="array" ref="H271">SUM(IF("1521"&amp;C271=KHN&amp;MH,TH))</f>
        <v>4064190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>E271+G271-I271</f>
        <v>195</v>
      </c>
      <c r="L271" s="8">
        <f>F271+H271-J271</f>
        <v>4064190</v>
      </c>
      <c r="M271" s="329"/>
    </row>
    <row r="272" spans="1:13" ht="18" customHeight="1">
      <c r="A272" s="325" t="str">
        <f t="shared" si="13"/>
        <v>NL</v>
      </c>
      <c r="B272" s="616">
        <f t="shared" si="14"/>
        <v>255</v>
      </c>
      <c r="C272" s="40" t="s">
        <v>759</v>
      </c>
      <c r="D272" s="328" t="s">
        <v>534</v>
      </c>
      <c r="E272" s="8"/>
      <c r="F272" s="8"/>
      <c r="G272" s="25">
        <f t="array" ref="G272">SUM(IF("1521"&amp;C272=KHN&amp;MH,SL))</f>
        <v>263</v>
      </c>
      <c r="H272" s="25">
        <f t="array" ref="H272">SUM(IF("1521"&amp;C272=KHN&amp;MH,TH))</f>
        <v>3126018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>E272+G272-I272</f>
        <v>263</v>
      </c>
      <c r="L272" s="8">
        <f>F272+H272-J272</f>
        <v>3126018</v>
      </c>
      <c r="M272" s="329"/>
    </row>
    <row r="273" spans="1:13" ht="18" customHeight="1">
      <c r="A273" s="325" t="str">
        <f t="shared" si="13"/>
        <v>NL</v>
      </c>
      <c r="B273" s="616">
        <f t="shared" si="14"/>
        <v>256</v>
      </c>
      <c r="C273" s="203" t="s">
        <v>708</v>
      </c>
      <c r="D273" s="328" t="s">
        <v>534</v>
      </c>
      <c r="E273" s="8"/>
      <c r="F273" s="8"/>
      <c r="G273" s="25">
        <f t="array" ref="G273">SUM(IF("1521"&amp;C273=KHN&amp;MH,SL))</f>
        <v>22</v>
      </c>
      <c r="H273" s="25">
        <f t="array" ref="H273">SUM(IF("1521"&amp;C273=KHN&amp;MH,TH))</f>
        <v>387772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>E273+G273-I273</f>
        <v>22</v>
      </c>
      <c r="L273" s="8">
        <f>F273+H273-J273</f>
        <v>387772</v>
      </c>
      <c r="M273" s="329"/>
    </row>
    <row r="274" spans="1:13" ht="18" customHeight="1">
      <c r="A274" s="325" t="str">
        <f t="shared" si="13"/>
        <v>NL</v>
      </c>
      <c r="B274" s="616">
        <f t="shared" si="14"/>
        <v>257</v>
      </c>
      <c r="C274" s="203" t="s">
        <v>719</v>
      </c>
      <c r="D274" s="328" t="s">
        <v>534</v>
      </c>
      <c r="E274" s="8"/>
      <c r="F274" s="8"/>
      <c r="G274" s="25">
        <f t="array" ref="G274">SUM(IF("1521"&amp;C274=KHN&amp;MH,SL))</f>
        <v>40</v>
      </c>
      <c r="H274" s="25">
        <f t="array" ref="H274">SUM(IF("1521"&amp;C274=KHN&amp;MH,TH))</f>
        <v>534880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>E274+G274-I274</f>
        <v>40</v>
      </c>
      <c r="L274" s="8">
        <f>F274+H274-J274</f>
        <v>534880</v>
      </c>
      <c r="M274" s="329"/>
    </row>
    <row r="275" spans="1:13" ht="18" customHeight="1">
      <c r="A275" s="325" t="str">
        <f t="shared" ref="A275:A338" si="15">IF(B275&lt;&gt;"","NL","")</f>
        <v>NL</v>
      </c>
      <c r="B275" s="616">
        <f t="shared" ref="B275:B338" si="16">IF(C275&lt;&gt;"",B274+1,"")</f>
        <v>258</v>
      </c>
      <c r="C275" s="40" t="s">
        <v>766</v>
      </c>
      <c r="D275" s="328" t="s">
        <v>534</v>
      </c>
      <c r="E275" s="8"/>
      <c r="F275" s="8"/>
      <c r="G275" s="25">
        <f t="array" ref="G275">SUM(IF("1521"&amp;C275=KHN&amp;MH,SL))</f>
        <v>254</v>
      </c>
      <c r="H275" s="25">
        <f t="array" ref="H275">SUM(IF("1521"&amp;C275=KHN&amp;MH,TH))</f>
        <v>4207510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>E275+G275-I275</f>
        <v>254</v>
      </c>
      <c r="L275" s="8">
        <f>F275+H275-J275</f>
        <v>4207510</v>
      </c>
      <c r="M275" s="329"/>
    </row>
    <row r="276" spans="1:13" ht="18" customHeight="1">
      <c r="A276" s="325" t="str">
        <f t="shared" si="15"/>
        <v>NL</v>
      </c>
      <c r="B276" s="616">
        <f t="shared" si="16"/>
        <v>259</v>
      </c>
      <c r="C276" s="203" t="s">
        <v>717</v>
      </c>
      <c r="D276" s="328" t="s">
        <v>534</v>
      </c>
      <c r="E276" s="8"/>
      <c r="F276" s="8"/>
      <c r="G276" s="25">
        <f t="array" ref="G276">SUM(IF("1521"&amp;C276=KHN&amp;MH,SL))</f>
        <v>70</v>
      </c>
      <c r="H276" s="25">
        <f t="array" ref="H276">SUM(IF("1521"&amp;C276=KHN&amp;MH,TH))</f>
        <v>1041250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>E276+G276-I276</f>
        <v>70</v>
      </c>
      <c r="L276" s="8">
        <f>F276+H276-J276</f>
        <v>1041250</v>
      </c>
      <c r="M276" s="329"/>
    </row>
    <row r="277" spans="1:13" ht="18" customHeight="1">
      <c r="A277" s="325" t="str">
        <f t="shared" si="15"/>
        <v>NL</v>
      </c>
      <c r="B277" s="616">
        <f t="shared" si="16"/>
        <v>260</v>
      </c>
      <c r="C277" s="203" t="s">
        <v>741</v>
      </c>
      <c r="D277" s="328" t="s">
        <v>534</v>
      </c>
      <c r="E277" s="8"/>
      <c r="F277" s="8"/>
      <c r="G277" s="25">
        <f t="array" ref="G277">SUM(IF("1521"&amp;C277=KHN&amp;MH,SL))</f>
        <v>350</v>
      </c>
      <c r="H277" s="25">
        <f t="array" ref="H277">SUM(IF("1521"&amp;C277=KHN&amp;MH,TH))</f>
        <v>5831000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>E277+G277-I277</f>
        <v>350</v>
      </c>
      <c r="L277" s="8">
        <f>F277+H277-J277</f>
        <v>5831000</v>
      </c>
      <c r="M277" s="329"/>
    </row>
    <row r="278" spans="1:13" ht="18" customHeight="1">
      <c r="A278" s="325" t="str">
        <f t="shared" si="15"/>
        <v>NL</v>
      </c>
      <c r="B278" s="616">
        <f t="shared" si="16"/>
        <v>261</v>
      </c>
      <c r="C278" s="203" t="s">
        <v>718</v>
      </c>
      <c r="D278" s="328" t="s">
        <v>534</v>
      </c>
      <c r="E278" s="8"/>
      <c r="F278" s="8"/>
      <c r="G278" s="25">
        <f t="array" ref="G278">SUM(IF("1521"&amp;C278=KHN&amp;MH,SL))</f>
        <v>30</v>
      </c>
      <c r="H278" s="25">
        <f t="array" ref="H278">SUM(IF("1521"&amp;C278=KHN&amp;MH,TH))</f>
        <v>461550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>E278+G278-I278</f>
        <v>30</v>
      </c>
      <c r="L278" s="8">
        <f>F278+H278-J278</f>
        <v>461550</v>
      </c>
      <c r="M278" s="329"/>
    </row>
    <row r="279" spans="1:13" ht="18" customHeight="1">
      <c r="A279" s="325" t="str">
        <f t="shared" si="15"/>
        <v>NL</v>
      </c>
      <c r="B279" s="616">
        <f t="shared" si="16"/>
        <v>262</v>
      </c>
      <c r="C279" s="203" t="s">
        <v>713</v>
      </c>
      <c r="D279" s="328" t="s">
        <v>534</v>
      </c>
      <c r="E279" s="8"/>
      <c r="F279" s="8"/>
      <c r="G279" s="25">
        <f t="array" ref="G279">SUM(IF("1521"&amp;C279=KHN&amp;MH,SL))</f>
        <v>255</v>
      </c>
      <c r="H279" s="25">
        <f t="array" ref="H279">SUM(IF("1521"&amp;C279=KHN&amp;MH,TH))</f>
        <v>4953120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>E279+G279-I279</f>
        <v>255</v>
      </c>
      <c r="L279" s="8">
        <f>F279+H279-J279</f>
        <v>4953120</v>
      </c>
      <c r="M279" s="329"/>
    </row>
    <row r="280" spans="1:13" ht="18" customHeight="1">
      <c r="A280" s="325" t="str">
        <f t="shared" si="15"/>
        <v>NL</v>
      </c>
      <c r="B280" s="616">
        <f t="shared" si="16"/>
        <v>263</v>
      </c>
      <c r="C280" s="40" t="s">
        <v>761</v>
      </c>
      <c r="D280" s="328" t="s">
        <v>534</v>
      </c>
      <c r="E280" s="8"/>
      <c r="F280" s="8"/>
      <c r="G280" s="25">
        <f t="array" ref="G280">SUM(IF("1521"&amp;C280=KHN&amp;MH,SL))</f>
        <v>520</v>
      </c>
      <c r="H280" s="25">
        <f t="array" ref="H280">SUM(IF("1521"&amp;C280=KHN&amp;MH,TH))</f>
        <v>11145680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>E280+G280-I280</f>
        <v>520</v>
      </c>
      <c r="L280" s="8">
        <f>F280+H280-J280</f>
        <v>11145680</v>
      </c>
      <c r="M280" s="329"/>
    </row>
    <row r="281" spans="1:13" ht="18" customHeight="1">
      <c r="A281" s="325" t="str">
        <f t="shared" si="15"/>
        <v>NL</v>
      </c>
      <c r="B281" s="616">
        <f t="shared" si="16"/>
        <v>264</v>
      </c>
      <c r="C281" s="203" t="s">
        <v>711</v>
      </c>
      <c r="D281" s="328" t="s">
        <v>534</v>
      </c>
      <c r="E281" s="8"/>
      <c r="F281" s="8"/>
      <c r="G281" s="25">
        <f t="array" ref="G281">SUM(IF("1521"&amp;C281=KHN&amp;MH,SL))</f>
        <v>230</v>
      </c>
      <c r="H281" s="25">
        <f t="array" ref="H281">SUM(IF("1521"&amp;C281=KHN&amp;MH,TH))</f>
        <v>4648990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>E281+G281-I281</f>
        <v>230</v>
      </c>
      <c r="L281" s="8">
        <f>F281+H281-J281</f>
        <v>4648990</v>
      </c>
      <c r="M281" s="329"/>
    </row>
    <row r="282" spans="1:13" ht="18" customHeight="1">
      <c r="A282" s="325" t="str">
        <f t="shared" si="15"/>
        <v>NL</v>
      </c>
      <c r="B282" s="616">
        <f t="shared" si="16"/>
        <v>265</v>
      </c>
      <c r="C282" s="203" t="s">
        <v>705</v>
      </c>
      <c r="D282" s="328" t="s">
        <v>534</v>
      </c>
      <c r="E282" s="8"/>
      <c r="F282" s="8"/>
      <c r="G282" s="25">
        <f t="array" ref="G282">SUM(IF("1521"&amp;C282=KHN&amp;MH,SL))</f>
        <v>509</v>
      </c>
      <c r="H282" s="25">
        <f t="array" ref="H282">SUM(IF("1521"&amp;C282=KHN&amp;MH,TH))</f>
        <v>6806348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>E282+G282-I282</f>
        <v>509</v>
      </c>
      <c r="L282" s="8">
        <f>F282+H282-J282</f>
        <v>6806348</v>
      </c>
      <c r="M282" s="329"/>
    </row>
    <row r="283" spans="1:13" ht="18" customHeight="1">
      <c r="A283" s="325" t="str">
        <f t="shared" si="15"/>
        <v>NL</v>
      </c>
      <c r="B283" s="616">
        <f t="shared" si="16"/>
        <v>266</v>
      </c>
      <c r="C283" s="203" t="s">
        <v>714</v>
      </c>
      <c r="D283" s="328" t="s">
        <v>534</v>
      </c>
      <c r="E283" s="8"/>
      <c r="F283" s="8"/>
      <c r="G283" s="25">
        <f t="array" ref="G283">SUM(IF("1521"&amp;C283=KHN&amp;MH,SL))</f>
        <v>35</v>
      </c>
      <c r="H283" s="25">
        <f t="array" ref="H283">SUM(IF("1521"&amp;C283=KHN&amp;MH,TH))</f>
        <v>741965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>E283+G283-I283</f>
        <v>35</v>
      </c>
      <c r="L283" s="8">
        <f>F283+H283-J283</f>
        <v>741965</v>
      </c>
      <c r="M283" s="329"/>
    </row>
    <row r="284" spans="1:13" ht="18" customHeight="1">
      <c r="A284" s="325" t="str">
        <f t="shared" si="15"/>
        <v>NL</v>
      </c>
      <c r="B284" s="616">
        <f t="shared" si="16"/>
        <v>267</v>
      </c>
      <c r="C284" s="203" t="s">
        <v>709</v>
      </c>
      <c r="D284" s="328" t="s">
        <v>534</v>
      </c>
      <c r="E284" s="8"/>
      <c r="F284" s="8"/>
      <c r="G284" s="25">
        <f t="array" ref="G284">SUM(IF("1521"&amp;C284=KHN&amp;MH,SL))</f>
        <v>180</v>
      </c>
      <c r="H284" s="25">
        <f t="array" ref="H284">SUM(IF("1521"&amp;C284=KHN&amp;MH,TH))</f>
        <v>4249800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>E284+G284-I284</f>
        <v>180</v>
      </c>
      <c r="L284" s="8">
        <f>F284+H284-J284</f>
        <v>4249800</v>
      </c>
      <c r="M284" s="329"/>
    </row>
    <row r="285" spans="1:13" ht="18" customHeight="1">
      <c r="A285" s="325" t="str">
        <f t="shared" si="15"/>
        <v>NL</v>
      </c>
      <c r="B285" s="616">
        <f t="shared" si="16"/>
        <v>268</v>
      </c>
      <c r="C285" s="203" t="s">
        <v>710</v>
      </c>
      <c r="D285" s="328" t="s">
        <v>534</v>
      </c>
      <c r="E285" s="8"/>
      <c r="F285" s="8"/>
      <c r="G285" s="25">
        <f t="array" ref="G285">SUM(IF("1521"&amp;C285=KHN&amp;MH,SL))</f>
        <v>29</v>
      </c>
      <c r="H285" s="25">
        <f t="array" ref="H285">SUM(IF("1521"&amp;C285=KHN&amp;MH,TH))</f>
        <v>690983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>E285+G285-I285</f>
        <v>29</v>
      </c>
      <c r="L285" s="8">
        <f>F285+H285-J285</f>
        <v>690983</v>
      </c>
      <c r="M285" s="329"/>
    </row>
    <row r="286" spans="1:13" ht="18" customHeight="1">
      <c r="A286" s="325" t="str">
        <f t="shared" si="15"/>
        <v>NL</v>
      </c>
      <c r="B286" s="616">
        <f t="shared" si="16"/>
        <v>269</v>
      </c>
      <c r="C286" s="203" t="s">
        <v>712</v>
      </c>
      <c r="D286" s="328" t="s">
        <v>534</v>
      </c>
      <c r="E286" s="8"/>
      <c r="F286" s="8"/>
      <c r="G286" s="25">
        <f t="array" ref="G286">SUM(IF("1521"&amp;C286=KHN&amp;MH,SL))</f>
        <v>85</v>
      </c>
      <c r="H286" s="25">
        <f t="array" ref="H286">SUM(IF("1521"&amp;C286=KHN&amp;MH,TH))</f>
        <v>1885725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>E286+G286-I286</f>
        <v>85</v>
      </c>
      <c r="L286" s="8">
        <f>F286+H286-J286</f>
        <v>1885725</v>
      </c>
      <c r="M286" s="329"/>
    </row>
    <row r="287" spans="1:13" ht="18" customHeight="1">
      <c r="A287" s="325" t="str">
        <f t="shared" si="15"/>
        <v>NL</v>
      </c>
      <c r="B287" s="616">
        <f t="shared" si="16"/>
        <v>270</v>
      </c>
      <c r="C287" s="203" t="s">
        <v>715</v>
      </c>
      <c r="D287" s="328" t="s">
        <v>534</v>
      </c>
      <c r="E287" s="8"/>
      <c r="F287" s="8"/>
      <c r="G287" s="25">
        <f t="array" ref="G287">SUM(IF("1521"&amp;C287=KHN&amp;MH,SL))</f>
        <v>30</v>
      </c>
      <c r="H287" s="25">
        <f t="array" ref="H287">SUM(IF("1521"&amp;C287=KHN&amp;MH,TH))</f>
        <v>409230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>E287+G287-I287</f>
        <v>30</v>
      </c>
      <c r="L287" s="8">
        <f>F287+H287-J287</f>
        <v>409230</v>
      </c>
      <c r="M287" s="329"/>
    </row>
    <row r="288" spans="1:13" ht="18" customHeight="1">
      <c r="A288" s="325" t="str">
        <f t="shared" si="15"/>
        <v>NL</v>
      </c>
      <c r="B288" s="616">
        <f t="shared" si="16"/>
        <v>271</v>
      </c>
      <c r="C288" s="203" t="s">
        <v>716</v>
      </c>
      <c r="D288" s="328" t="s">
        <v>534</v>
      </c>
      <c r="E288" s="8"/>
      <c r="F288" s="8"/>
      <c r="G288" s="25">
        <f t="array" ref="G288">SUM(IF("1521"&amp;C288=KHN&amp;MH,SL))</f>
        <v>50</v>
      </c>
      <c r="H288" s="25">
        <f t="array" ref="H288">SUM(IF("1521"&amp;C288=KHN&amp;MH,TH))</f>
        <v>708050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>E288+G288-I288</f>
        <v>50</v>
      </c>
      <c r="L288" s="8">
        <f>F288+H288-J288</f>
        <v>708050</v>
      </c>
      <c r="M288" s="329"/>
    </row>
    <row r="289" spans="1:13" ht="18" customHeight="1">
      <c r="A289" s="325" t="str">
        <f t="shared" si="15"/>
        <v>NL</v>
      </c>
      <c r="B289" s="616">
        <f t="shared" si="16"/>
        <v>272</v>
      </c>
      <c r="C289" s="203" t="s">
        <v>752</v>
      </c>
      <c r="D289" s="328" t="s">
        <v>534</v>
      </c>
      <c r="E289" s="8"/>
      <c r="F289" s="8"/>
      <c r="G289" s="25">
        <f t="array" ref="G289">SUM(IF("1521"&amp;C289=KHN&amp;MH,SL))</f>
        <v>1500</v>
      </c>
      <c r="H289" s="25">
        <f t="array" ref="H289">SUM(IF("1521"&amp;C289=KHN&amp;MH,TH))</f>
        <v>856500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>E289+G289-I289</f>
        <v>1500</v>
      </c>
      <c r="L289" s="8">
        <f>F289+H289-J289</f>
        <v>856500</v>
      </c>
      <c r="M289" s="329"/>
    </row>
    <row r="290" spans="1:13" ht="18" customHeight="1">
      <c r="A290" s="325" t="str">
        <f t="shared" si="15"/>
        <v>NL</v>
      </c>
      <c r="B290" s="616">
        <f t="shared" si="16"/>
        <v>273</v>
      </c>
      <c r="C290" s="40" t="s">
        <v>768</v>
      </c>
      <c r="D290" s="328" t="s">
        <v>534</v>
      </c>
      <c r="E290" s="8"/>
      <c r="F290" s="8"/>
      <c r="G290" s="25">
        <f t="array" ref="G290">SUM(IF("1521"&amp;C290=KHN&amp;MH,SL))</f>
        <v>760</v>
      </c>
      <c r="H290" s="25">
        <f t="array" ref="H290">SUM(IF("1521"&amp;C290=KHN&amp;MH,TH))</f>
        <v>9831360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>E290+G290-I290</f>
        <v>760</v>
      </c>
      <c r="L290" s="8">
        <f>F290+H290-J290</f>
        <v>9831360</v>
      </c>
      <c r="M290" s="329"/>
    </row>
    <row r="291" spans="1:13" ht="18" customHeight="1">
      <c r="A291" s="325" t="str">
        <f t="shared" si="15"/>
        <v>NL</v>
      </c>
      <c r="B291" s="616">
        <f t="shared" si="16"/>
        <v>274</v>
      </c>
      <c r="C291" s="203" t="s">
        <v>738</v>
      </c>
      <c r="D291" s="328" t="s">
        <v>534</v>
      </c>
      <c r="E291" s="8"/>
      <c r="F291" s="8"/>
      <c r="G291" s="25">
        <f t="array" ref="G291">SUM(IF("1521"&amp;C291=KHN&amp;MH,SL))</f>
        <v>150</v>
      </c>
      <c r="H291" s="25">
        <f t="array" ref="H291">SUM(IF("1521"&amp;C291=KHN&amp;MH,TH))</f>
        <v>1733100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>E291+G291-I291</f>
        <v>150</v>
      </c>
      <c r="L291" s="8">
        <f>F291+H291-J291</f>
        <v>1733100</v>
      </c>
      <c r="M291" s="329"/>
    </row>
    <row r="292" spans="1:13" ht="18" customHeight="1">
      <c r="A292" s="325" t="str">
        <f t="shared" si="15"/>
        <v>NL</v>
      </c>
      <c r="B292" s="616">
        <f t="shared" si="16"/>
        <v>275</v>
      </c>
      <c r="C292" s="40" t="s">
        <v>753</v>
      </c>
      <c r="D292" s="328" t="s">
        <v>534</v>
      </c>
      <c r="E292" s="8"/>
      <c r="F292" s="8"/>
      <c r="G292" s="25">
        <f t="array" ref="G292">SUM(IF("1521"&amp;C292=KHN&amp;MH,SL))</f>
        <v>55</v>
      </c>
      <c r="H292" s="25">
        <f t="array" ref="H292">SUM(IF("1521"&amp;C292=KHN&amp;MH,TH))</f>
        <v>595045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>E292+G292-I292</f>
        <v>55</v>
      </c>
      <c r="L292" s="8">
        <f>F292+H292-J292</f>
        <v>595045</v>
      </c>
      <c r="M292" s="329"/>
    </row>
    <row r="293" spans="1:13" ht="18" customHeight="1">
      <c r="A293" s="325" t="str">
        <f t="shared" si="15"/>
        <v>NL</v>
      </c>
      <c r="B293" s="616">
        <f t="shared" si="16"/>
        <v>276</v>
      </c>
      <c r="C293" s="203" t="s">
        <v>736</v>
      </c>
      <c r="D293" s="328" t="s">
        <v>534</v>
      </c>
      <c r="E293" s="8"/>
      <c r="F293" s="8"/>
      <c r="G293" s="25">
        <f t="array" ref="G293">SUM(IF("1521"&amp;C293=KHN&amp;MH,SL))</f>
        <v>240</v>
      </c>
      <c r="H293" s="25">
        <f t="array" ref="H293">SUM(IF("1521"&amp;C293=KHN&amp;MH,TH))</f>
        <v>3759600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>E293+G293-I293</f>
        <v>240</v>
      </c>
      <c r="L293" s="8">
        <f>F293+H293-J293</f>
        <v>3759600</v>
      </c>
      <c r="M293" s="329"/>
    </row>
    <row r="294" spans="1:13" ht="18" customHeight="1">
      <c r="A294" s="325" t="str">
        <f t="shared" si="15"/>
        <v>NL</v>
      </c>
      <c r="B294" s="616">
        <f t="shared" si="16"/>
        <v>277</v>
      </c>
      <c r="C294" s="203" t="s">
        <v>737</v>
      </c>
      <c r="D294" s="328" t="s">
        <v>534</v>
      </c>
      <c r="E294" s="8"/>
      <c r="F294" s="8"/>
      <c r="G294" s="25">
        <f t="array" ref="G294">SUM(IF("1521"&amp;C294=KHN&amp;MH,SL))</f>
        <v>20</v>
      </c>
      <c r="H294" s="25">
        <f t="array" ref="H294">SUM(IF("1521"&amp;C294=KHN&amp;MH,TH))</f>
        <v>326920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>E294+G294-I294</f>
        <v>20</v>
      </c>
      <c r="L294" s="8">
        <f>F294+H294-J294</f>
        <v>326920</v>
      </c>
      <c r="M294" s="329"/>
    </row>
    <row r="295" spans="1:13" ht="18" customHeight="1">
      <c r="A295" s="325" t="str">
        <f t="shared" si="15"/>
        <v>NL</v>
      </c>
      <c r="B295" s="616">
        <f t="shared" si="16"/>
        <v>278</v>
      </c>
      <c r="C295" s="40" t="s">
        <v>770</v>
      </c>
      <c r="D295" s="328" t="s">
        <v>534</v>
      </c>
      <c r="E295" s="8"/>
      <c r="F295" s="8"/>
      <c r="G295" s="25">
        <f t="array" ref="G295">SUM(IF("1521"&amp;C295=KHN&amp;MH,SL))</f>
        <v>118</v>
      </c>
      <c r="H295" s="25">
        <f t="array" ref="H295">SUM(IF("1521"&amp;C295=KHN&amp;MH,TH))</f>
        <v>1446680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>E295+G295-I295</f>
        <v>118</v>
      </c>
      <c r="L295" s="8">
        <f>F295+H295-J295</f>
        <v>1446680</v>
      </c>
      <c r="M295" s="329"/>
    </row>
    <row r="296" spans="1:13" ht="18" customHeight="1">
      <c r="A296" s="325" t="str">
        <f t="shared" si="15"/>
        <v>NL</v>
      </c>
      <c r="B296" s="616">
        <f t="shared" si="16"/>
        <v>279</v>
      </c>
      <c r="C296" s="203" t="s">
        <v>745</v>
      </c>
      <c r="D296" s="328" t="s">
        <v>534</v>
      </c>
      <c r="E296" s="8"/>
      <c r="F296" s="8"/>
      <c r="G296" s="25">
        <f t="array" ref="G296">SUM(IF("1521"&amp;C296=KHN&amp;MH,SL))</f>
        <v>300</v>
      </c>
      <c r="H296" s="25">
        <f t="array" ref="H296">SUM(IF("1521"&amp;C296=KHN&amp;MH,TH))</f>
        <v>5328900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>E296+G296-I296</f>
        <v>300</v>
      </c>
      <c r="L296" s="8">
        <f>F296+H296-J296</f>
        <v>5328900</v>
      </c>
      <c r="M296" s="329"/>
    </row>
    <row r="297" spans="1:13" ht="18" customHeight="1">
      <c r="A297" s="325" t="str">
        <f t="shared" si="15"/>
        <v>NL</v>
      </c>
      <c r="B297" s="616">
        <f t="shared" si="16"/>
        <v>280</v>
      </c>
      <c r="C297" s="203" t="s">
        <v>739</v>
      </c>
      <c r="D297" s="328" t="s">
        <v>534</v>
      </c>
      <c r="E297" s="8"/>
      <c r="F297" s="8"/>
      <c r="G297" s="25">
        <f t="array" ref="G297">SUM(IF("1521"&amp;C297=KHN&amp;MH,SL))</f>
        <v>30</v>
      </c>
      <c r="H297" s="25">
        <f t="array" ref="H297">SUM(IF("1521"&amp;C297=KHN&amp;MH,TH))</f>
        <v>424530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>E297+G297-I297</f>
        <v>30</v>
      </c>
      <c r="L297" s="8">
        <f>F297+H297-J297</f>
        <v>424530</v>
      </c>
      <c r="M297" s="329"/>
    </row>
    <row r="298" spans="1:13" ht="18" customHeight="1">
      <c r="A298" s="325" t="str">
        <f t="shared" si="15"/>
        <v>NL</v>
      </c>
      <c r="B298" s="616">
        <f t="shared" si="16"/>
        <v>281</v>
      </c>
      <c r="C298" s="40" t="s">
        <v>756</v>
      </c>
      <c r="D298" s="328" t="s">
        <v>534</v>
      </c>
      <c r="E298" s="8"/>
      <c r="F298" s="8"/>
      <c r="G298" s="25">
        <f t="array" ref="G298">SUM(IF("1521"&amp;C298=KHN&amp;MH,SL))</f>
        <v>105</v>
      </c>
      <c r="H298" s="25">
        <f t="array" ref="H298">SUM(IF("1521"&amp;C298=KHN&amp;MH,TH))</f>
        <v>2454165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>E298+G298-I298</f>
        <v>105</v>
      </c>
      <c r="L298" s="8">
        <f>F298+H298-J298</f>
        <v>2454165</v>
      </c>
      <c r="M298" s="329"/>
    </row>
    <row r="299" spans="1:13" ht="18" customHeight="1">
      <c r="A299" s="325" t="str">
        <f t="shared" si="15"/>
        <v>NL</v>
      </c>
      <c r="B299" s="616">
        <f t="shared" si="16"/>
        <v>282</v>
      </c>
      <c r="C299" s="40" t="s">
        <v>760</v>
      </c>
      <c r="D299" s="328" t="s">
        <v>534</v>
      </c>
      <c r="E299" s="8"/>
      <c r="F299" s="8"/>
      <c r="G299" s="25">
        <f t="array" ref="G299">SUM(IF("1521"&amp;C299=KHN&amp;MH,SL))</f>
        <v>225</v>
      </c>
      <c r="H299" s="25">
        <f t="array" ref="H299">SUM(IF("1521"&amp;C299=KHN&amp;MH,TH))</f>
        <v>3594150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>E299+G299-I299</f>
        <v>225</v>
      </c>
      <c r="L299" s="8">
        <f>F299+H299-J299</f>
        <v>3594150</v>
      </c>
      <c r="M299" s="329"/>
    </row>
    <row r="300" spans="1:13" ht="18" customHeight="1">
      <c r="A300" s="325" t="str">
        <f t="shared" si="15"/>
        <v>NL</v>
      </c>
      <c r="B300" s="616">
        <f t="shared" si="16"/>
        <v>283</v>
      </c>
      <c r="C300" s="40" t="s">
        <v>755</v>
      </c>
      <c r="D300" s="328" t="s">
        <v>534</v>
      </c>
      <c r="E300" s="8"/>
      <c r="F300" s="8"/>
      <c r="G300" s="25">
        <f t="array" ref="G300">SUM(IF("1521"&amp;C300=KHN&amp;MH,SL))</f>
        <v>195</v>
      </c>
      <c r="H300" s="25">
        <f t="array" ref="H300">SUM(IF("1521"&amp;C300=KHN&amp;MH,TH))</f>
        <v>3511560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>E300+G300-I300</f>
        <v>195</v>
      </c>
      <c r="L300" s="8">
        <f>F300+H300-J300</f>
        <v>3511560</v>
      </c>
      <c r="M300" s="329"/>
    </row>
    <row r="301" spans="1:13" ht="18" customHeight="1">
      <c r="A301" s="325" t="str">
        <f t="shared" si="15"/>
        <v>NL</v>
      </c>
      <c r="B301" s="616">
        <f t="shared" si="16"/>
        <v>284</v>
      </c>
      <c r="C301" s="203" t="s">
        <v>742</v>
      </c>
      <c r="D301" s="328" t="s">
        <v>534</v>
      </c>
      <c r="E301" s="8"/>
      <c r="F301" s="8"/>
      <c r="G301" s="25">
        <f t="array" ref="G301">SUM(IF("1521"&amp;C301=KHN&amp;MH,SL))</f>
        <v>100</v>
      </c>
      <c r="H301" s="25">
        <f t="array" ref="H301">SUM(IF("1521"&amp;C301=KHN&amp;MH,TH))</f>
        <v>2915500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>E301+G301-I301</f>
        <v>100</v>
      </c>
      <c r="L301" s="8">
        <f>F301+H301-J301</f>
        <v>2915500</v>
      </c>
      <c r="M301" s="329"/>
    </row>
    <row r="302" spans="1:13" ht="18" customHeight="1">
      <c r="A302" s="325" t="str">
        <f t="shared" si="15"/>
        <v>NL</v>
      </c>
      <c r="B302" s="616">
        <f t="shared" si="16"/>
        <v>285</v>
      </c>
      <c r="C302" s="40" t="s">
        <v>1180</v>
      </c>
      <c r="D302" s="328" t="s">
        <v>534</v>
      </c>
      <c r="E302" s="8"/>
      <c r="F302" s="8"/>
      <c r="G302" s="25">
        <f t="array" ref="G302">SUM(IF("1521"&amp;C302=KHN&amp;MH,SL))</f>
        <v>517</v>
      </c>
      <c r="H302" s="25">
        <f t="array" ref="H302">SUM(IF("1521"&amp;C302=KHN&amp;MH,TH))</f>
        <v>10330694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>E302+G302-I302</f>
        <v>517</v>
      </c>
      <c r="L302" s="8">
        <f>F302+H302-J302</f>
        <v>10330694</v>
      </c>
      <c r="M302" s="329"/>
    </row>
    <row r="303" spans="1:13" ht="18" customHeight="1">
      <c r="A303" s="325" t="str">
        <f t="shared" si="15"/>
        <v>NL</v>
      </c>
      <c r="B303" s="616">
        <f t="shared" si="16"/>
        <v>286</v>
      </c>
      <c r="C303" s="40" t="s">
        <v>757</v>
      </c>
      <c r="D303" s="328" t="s">
        <v>534</v>
      </c>
      <c r="E303" s="8"/>
      <c r="F303" s="8"/>
      <c r="G303" s="25">
        <f t="array" ref="G303">SUM(IF("1521"&amp;C303=KHN&amp;MH,SL))</f>
        <v>139</v>
      </c>
      <c r="H303" s="25">
        <f t="array" ref="H303">SUM(IF("1521"&amp;C303=KHN&amp;MH,TH))</f>
        <v>3944959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>E303+G303-I303</f>
        <v>139</v>
      </c>
      <c r="L303" s="8">
        <f>F303+H303-J303</f>
        <v>3944959</v>
      </c>
      <c r="M303" s="329"/>
    </row>
    <row r="304" spans="1:13" ht="18" customHeight="1">
      <c r="A304" s="325" t="str">
        <f t="shared" si="15"/>
        <v>NL</v>
      </c>
      <c r="B304" s="616">
        <f t="shared" si="16"/>
        <v>287</v>
      </c>
      <c r="C304" s="203" t="s">
        <v>735</v>
      </c>
      <c r="D304" s="328" t="s">
        <v>534</v>
      </c>
      <c r="E304" s="8"/>
      <c r="F304" s="8"/>
      <c r="G304" s="25">
        <f t="array" ref="G304">SUM(IF("1521"&amp;C304=KHN&amp;MH,SL))</f>
        <v>503</v>
      </c>
      <c r="H304" s="25">
        <f t="array" ref="H304">SUM(IF("1521"&amp;C304=KHN&amp;MH,TH))</f>
        <v>10317033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>E304+G304-I304</f>
        <v>503</v>
      </c>
      <c r="L304" s="8">
        <f>F304+H304-J304</f>
        <v>10317033</v>
      </c>
      <c r="M304" s="329"/>
    </row>
    <row r="305" spans="1:13" ht="18" customHeight="1">
      <c r="A305" s="325" t="str">
        <f t="shared" si="15"/>
        <v>NL</v>
      </c>
      <c r="B305" s="616">
        <f t="shared" si="16"/>
        <v>288</v>
      </c>
      <c r="C305" s="40" t="s">
        <v>762</v>
      </c>
      <c r="D305" s="328" t="s">
        <v>534</v>
      </c>
      <c r="E305" s="8"/>
      <c r="F305" s="8"/>
      <c r="G305" s="25">
        <f t="array" ref="G305">SUM(IF("1521"&amp;C305=KHN&amp;MH,SL))</f>
        <v>678</v>
      </c>
      <c r="H305" s="25">
        <f t="array" ref="H305">SUM(IF("1521"&amp;C305=KHN&amp;MH,TH))</f>
        <v>19348764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>E305+G305-I305</f>
        <v>678</v>
      </c>
      <c r="L305" s="8">
        <f>F305+H305-J305</f>
        <v>19348764</v>
      </c>
      <c r="M305" s="329"/>
    </row>
    <row r="306" spans="1:13" ht="18" customHeight="1">
      <c r="A306" s="325" t="str">
        <f t="shared" si="15"/>
        <v>NL</v>
      </c>
      <c r="B306" s="616">
        <f t="shared" si="16"/>
        <v>289</v>
      </c>
      <c r="C306" s="203" t="s">
        <v>732</v>
      </c>
      <c r="D306" s="328" t="s">
        <v>534</v>
      </c>
      <c r="E306" s="8"/>
      <c r="F306" s="8"/>
      <c r="G306" s="25">
        <f t="array" ref="G306">SUM(IF("1521"&amp;C306=KHN&amp;MH,SL))</f>
        <v>274</v>
      </c>
      <c r="H306" s="25">
        <f t="array" ref="H306">SUM(IF("1521"&amp;C306=KHN&amp;MH,TH))</f>
        <v>7164004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>E306+G306-I306</f>
        <v>274</v>
      </c>
      <c r="L306" s="8">
        <f>F306+H306-J306</f>
        <v>7164004</v>
      </c>
      <c r="M306" s="329"/>
    </row>
    <row r="307" spans="1:13" ht="18" customHeight="1">
      <c r="A307" s="325" t="str">
        <f t="shared" si="15"/>
        <v>NL</v>
      </c>
      <c r="B307" s="616">
        <f t="shared" si="16"/>
        <v>290</v>
      </c>
      <c r="C307" s="40" t="s">
        <v>758</v>
      </c>
      <c r="D307" s="328" t="s">
        <v>534</v>
      </c>
      <c r="E307" s="8"/>
      <c r="F307" s="8"/>
      <c r="G307" s="25">
        <f t="array" ref="G307">SUM(IF("1521"&amp;C307=KHN&amp;MH,SL))</f>
        <v>78</v>
      </c>
      <c r="H307" s="25">
        <f t="array" ref="H307">SUM(IF("1521"&amp;C307=KHN&amp;MH,TH))</f>
        <v>2072694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>E307+G307-I307</f>
        <v>78</v>
      </c>
      <c r="L307" s="8">
        <f>F307+H307-J307</f>
        <v>2072694</v>
      </c>
      <c r="M307" s="329"/>
    </row>
    <row r="308" spans="1:13" ht="18" customHeight="1">
      <c r="A308" s="325" t="str">
        <f t="shared" si="15"/>
        <v>NL</v>
      </c>
      <c r="B308" s="616">
        <f t="shared" si="16"/>
        <v>291</v>
      </c>
      <c r="C308" s="40" t="s">
        <v>763</v>
      </c>
      <c r="D308" s="328" t="s">
        <v>534</v>
      </c>
      <c r="E308" s="8"/>
      <c r="F308" s="8"/>
      <c r="G308" s="25">
        <f t="array" ref="G308">SUM(IF("1521"&amp;C308=KHN&amp;MH,SL))</f>
        <v>436</v>
      </c>
      <c r="H308" s="25">
        <f t="array" ref="H308">SUM(IF("1521"&amp;C308=KHN&amp;MH,TH))</f>
        <v>10998100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>E308+G308-I308</f>
        <v>436</v>
      </c>
      <c r="L308" s="8">
        <f>F308+H308-J308</f>
        <v>10998100</v>
      </c>
      <c r="M308" s="329"/>
    </row>
    <row r="309" spans="1:13" ht="18" customHeight="1">
      <c r="A309" s="325" t="str">
        <f t="shared" si="15"/>
        <v>NL</v>
      </c>
      <c r="B309" s="616">
        <f t="shared" si="16"/>
        <v>292</v>
      </c>
      <c r="C309" s="40" t="s">
        <v>765</v>
      </c>
      <c r="D309" s="328" t="s">
        <v>534</v>
      </c>
      <c r="E309" s="8"/>
      <c r="F309" s="8"/>
      <c r="G309" s="25">
        <f t="array" ref="G309">SUM(IF("1521"&amp;C309=KHN&amp;MH,SL))</f>
        <v>130</v>
      </c>
      <c r="H309" s="25">
        <f t="array" ref="H309">SUM(IF("1521"&amp;C309=KHN&amp;MH,TH))</f>
        <v>3312400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>E309+G309-I309</f>
        <v>130</v>
      </c>
      <c r="L309" s="8">
        <f>F309+H309-J309</f>
        <v>3312400</v>
      </c>
      <c r="M309" s="329"/>
    </row>
    <row r="310" spans="1:13" ht="18" customHeight="1">
      <c r="A310" s="325" t="str">
        <f t="shared" si="15"/>
        <v>NL</v>
      </c>
      <c r="B310" s="616">
        <f t="shared" si="16"/>
        <v>293</v>
      </c>
      <c r="C310" s="40" t="s">
        <v>1177</v>
      </c>
      <c r="D310" s="328" t="s">
        <v>534</v>
      </c>
      <c r="E310" s="8"/>
      <c r="F310" s="8"/>
      <c r="G310" s="25">
        <f t="array" ref="G310">SUM(IF("1521"&amp;C310=KHN&amp;MH,SL))</f>
        <v>60</v>
      </c>
      <c r="H310" s="25">
        <f t="array" ref="H310">SUM(IF("1521"&amp;C310=KHN&amp;MH,TH))</f>
        <v>1570740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>E310+G310-I310</f>
        <v>60</v>
      </c>
      <c r="L310" s="8">
        <f>F310+H310-J310</f>
        <v>1570740</v>
      </c>
      <c r="M310" s="329"/>
    </row>
    <row r="311" spans="1:13" ht="18" customHeight="1">
      <c r="A311" s="325" t="str">
        <f t="shared" si="15"/>
        <v>NL</v>
      </c>
      <c r="B311" s="616">
        <f t="shared" si="16"/>
        <v>294</v>
      </c>
      <c r="C311" s="203" t="s">
        <v>731</v>
      </c>
      <c r="D311" s="328" t="s">
        <v>534</v>
      </c>
      <c r="E311" s="8"/>
      <c r="F311" s="8"/>
      <c r="G311" s="25">
        <f t="array" ref="G311">SUM(IF("1521"&amp;C311=KHN&amp;MH,SL))</f>
        <v>244</v>
      </c>
      <c r="H311" s="25">
        <f t="array" ref="H311">SUM(IF("1521"&amp;C311=KHN&amp;MH,TH))</f>
        <v>7523984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>E311+G311-I311</f>
        <v>244</v>
      </c>
      <c r="L311" s="8">
        <f>F311+H311-J311</f>
        <v>7523984</v>
      </c>
      <c r="M311" s="329"/>
    </row>
    <row r="312" spans="1:13" ht="18" customHeight="1">
      <c r="A312" s="325" t="str">
        <f t="shared" si="15"/>
        <v>NL</v>
      </c>
      <c r="B312" s="616">
        <f t="shared" si="16"/>
        <v>295</v>
      </c>
      <c r="C312" s="203" t="s">
        <v>751</v>
      </c>
      <c r="D312" s="328" t="s">
        <v>534</v>
      </c>
      <c r="E312" s="8"/>
      <c r="F312" s="8"/>
      <c r="G312" s="25">
        <f t="array" ref="G312">SUM(IF("1521"&amp;C312=KHN&amp;MH,SL))</f>
        <v>98</v>
      </c>
      <c r="H312" s="25">
        <f t="array" ref="H312">SUM(IF("1521"&amp;C312=KHN&amp;MH,TH))</f>
        <v>1870428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>E312+G312-I312</f>
        <v>98</v>
      </c>
      <c r="L312" s="8">
        <f>F312+H312-J312</f>
        <v>1870428</v>
      </c>
      <c r="M312" s="329"/>
    </row>
    <row r="313" spans="1:13" ht="18" customHeight="1">
      <c r="A313" s="325" t="str">
        <f t="shared" si="15"/>
        <v>NL</v>
      </c>
      <c r="B313" s="616">
        <f t="shared" si="16"/>
        <v>296</v>
      </c>
      <c r="C313" s="203" t="s">
        <v>740</v>
      </c>
      <c r="D313" s="328" t="s">
        <v>534</v>
      </c>
      <c r="E313" s="8"/>
      <c r="F313" s="8"/>
      <c r="G313" s="25">
        <f t="array" ref="G313">SUM(IF("1521"&amp;C313=KHN&amp;MH,SL))</f>
        <v>248</v>
      </c>
      <c r="H313" s="25">
        <f t="array" ref="H313">SUM(IF("1521"&amp;C313=KHN&amp;MH,TH))</f>
        <v>5534120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>E313+G313-I313</f>
        <v>248</v>
      </c>
      <c r="L313" s="8">
        <f>F313+H313-J313</f>
        <v>5534120</v>
      </c>
      <c r="M313" s="329"/>
    </row>
    <row r="314" spans="1:13" ht="18" customHeight="1">
      <c r="A314" s="325" t="str">
        <f t="shared" si="15"/>
        <v>NL</v>
      </c>
      <c r="B314" s="616">
        <f t="shared" si="16"/>
        <v>297</v>
      </c>
      <c r="C314" s="203" t="s">
        <v>733</v>
      </c>
      <c r="D314" s="328" t="s">
        <v>534</v>
      </c>
      <c r="E314" s="8"/>
      <c r="F314" s="8"/>
      <c r="G314" s="25">
        <f t="array" ref="G314">SUM(IF("1521"&amp;C314=KHN&amp;MH,SL))</f>
        <v>33</v>
      </c>
      <c r="H314" s="25">
        <f t="array" ref="H314">SUM(IF("1521"&amp;C314=KHN&amp;MH,TH))</f>
        <v>637428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>E314+G314-I314</f>
        <v>33</v>
      </c>
      <c r="L314" s="8">
        <f>F314+H314-J314</f>
        <v>637428</v>
      </c>
      <c r="M314" s="329"/>
    </row>
    <row r="315" spans="1:13" ht="18" customHeight="1">
      <c r="A315" s="325" t="str">
        <f t="shared" si="15"/>
        <v>NL</v>
      </c>
      <c r="B315" s="616">
        <f t="shared" si="16"/>
        <v>298</v>
      </c>
      <c r="C315" s="40" t="s">
        <v>1185</v>
      </c>
      <c r="D315" s="328" t="s">
        <v>534</v>
      </c>
      <c r="E315" s="8"/>
      <c r="F315" s="8"/>
      <c r="G315" s="25">
        <f t="array" ref="G315">SUM(IF("1521"&amp;C315=KHN&amp;MH,SL))</f>
        <v>50</v>
      </c>
      <c r="H315" s="25">
        <f t="array" ref="H315">SUM(IF("1521"&amp;C315=KHN&amp;MH,TH))</f>
        <v>1641600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>E315+G315-I315</f>
        <v>50</v>
      </c>
      <c r="L315" s="8">
        <f>F315+H315-J315</f>
        <v>1641600</v>
      </c>
      <c r="M315" s="329"/>
    </row>
    <row r="316" spans="1:13" ht="18" customHeight="1">
      <c r="A316" s="325" t="str">
        <f t="shared" si="15"/>
        <v>NL</v>
      </c>
      <c r="B316" s="616">
        <f t="shared" si="16"/>
        <v>299</v>
      </c>
      <c r="C316" s="40" t="s">
        <v>1183</v>
      </c>
      <c r="D316" s="328" t="s">
        <v>534</v>
      </c>
      <c r="E316" s="8"/>
      <c r="F316" s="8"/>
      <c r="G316" s="25">
        <f t="array" ref="G316">SUM(IF("1521"&amp;C316=KHN&amp;MH,SL))</f>
        <v>381</v>
      </c>
      <c r="H316" s="25">
        <f t="array" ref="H316">SUM(IF("1521"&amp;C316=KHN&amp;MH,TH))</f>
        <v>7505319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>E316+G316-I316</f>
        <v>381</v>
      </c>
      <c r="L316" s="8">
        <f>F316+H316-J316</f>
        <v>7505319</v>
      </c>
      <c r="M316" s="329"/>
    </row>
    <row r="317" spans="1:13" ht="18" customHeight="1">
      <c r="A317" s="325" t="str">
        <f t="shared" si="15"/>
        <v>NL</v>
      </c>
      <c r="B317" s="616">
        <f t="shared" si="16"/>
        <v>300</v>
      </c>
      <c r="C317" s="40" t="s">
        <v>769</v>
      </c>
      <c r="D317" s="328" t="s">
        <v>534</v>
      </c>
      <c r="E317" s="8"/>
      <c r="F317" s="8"/>
      <c r="G317" s="25">
        <f t="array" ref="G317">SUM(IF("1521"&amp;C317=KHN&amp;MH,SL))</f>
        <v>103</v>
      </c>
      <c r="H317" s="25">
        <f t="array" ref="H317">SUM(IF("1521"&amp;C317=KHN&amp;MH,TH))</f>
        <v>881165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>E317+G317-I317</f>
        <v>103</v>
      </c>
      <c r="L317" s="8">
        <f>F317+H317-J317</f>
        <v>881165</v>
      </c>
      <c r="M317" s="329"/>
    </row>
    <row r="318" spans="1:13" ht="18" customHeight="1">
      <c r="A318" s="325" t="str">
        <f t="shared" si="15"/>
        <v>NL</v>
      </c>
      <c r="B318" s="616">
        <f t="shared" si="16"/>
        <v>301</v>
      </c>
      <c r="C318" s="40" t="s">
        <v>948</v>
      </c>
      <c r="D318" s="328" t="s">
        <v>534</v>
      </c>
      <c r="E318" s="8"/>
      <c r="F318" s="8"/>
      <c r="G318" s="25">
        <f t="array" ref="G318">SUM(IF("1521"&amp;C318=KHN&amp;MH,SL))</f>
        <v>650</v>
      </c>
      <c r="H318" s="25">
        <f t="array" ref="H318">SUM(IF("1521"&amp;C318=KHN&amp;MH,TH))</f>
        <v>6123000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>E318+G318-I318</f>
        <v>650</v>
      </c>
      <c r="L318" s="8">
        <f>F318+H318-J318</f>
        <v>6123000</v>
      </c>
      <c r="M318" s="329"/>
    </row>
    <row r="319" spans="1:13" ht="18" customHeight="1">
      <c r="A319" s="325" t="str">
        <f t="shared" si="15"/>
        <v>NL</v>
      </c>
      <c r="B319" s="616">
        <f t="shared" si="16"/>
        <v>302</v>
      </c>
      <c r="C319" s="40" t="s">
        <v>774</v>
      </c>
      <c r="D319" s="328" t="s">
        <v>534</v>
      </c>
      <c r="E319" s="8"/>
      <c r="F319" s="8"/>
      <c r="G319" s="25">
        <f t="array" ref="G319">SUM(IF("1521"&amp;C319=KHN&amp;MH,SL))</f>
        <v>100</v>
      </c>
      <c r="H319" s="25">
        <f t="array" ref="H319">SUM(IF("1521"&amp;C319=KHN&amp;MH,TH))</f>
        <v>1337000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>E319+G319-I319</f>
        <v>100</v>
      </c>
      <c r="L319" s="8">
        <f>F319+H319-J319</f>
        <v>1337000</v>
      </c>
      <c r="M319" s="329"/>
    </row>
    <row r="320" spans="1:13" ht="18" customHeight="1">
      <c r="A320" s="325" t="str">
        <f t="shared" si="15"/>
        <v>NL</v>
      </c>
      <c r="B320" s="616">
        <f t="shared" si="16"/>
        <v>303</v>
      </c>
      <c r="C320" s="40" t="s">
        <v>775</v>
      </c>
      <c r="D320" s="328" t="s">
        <v>534</v>
      </c>
      <c r="E320" s="8"/>
      <c r="F320" s="8"/>
      <c r="G320" s="25">
        <f t="array" ref="G320">SUM(IF("1521"&amp;C320=KHN&amp;MH,SL))</f>
        <v>1000</v>
      </c>
      <c r="H320" s="25">
        <f t="array" ref="H320">SUM(IF("1521"&amp;C320=KHN&amp;MH,TH))</f>
        <v>10130000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>E320+G320-I320</f>
        <v>1000</v>
      </c>
      <c r="L320" s="8">
        <f>F320+H320-J320</f>
        <v>10130000</v>
      </c>
      <c r="M320" s="329"/>
    </row>
    <row r="321" spans="1:13" ht="18" customHeight="1">
      <c r="A321" s="325" t="str">
        <f t="shared" si="15"/>
        <v>NL</v>
      </c>
      <c r="B321" s="616">
        <f t="shared" si="16"/>
        <v>304</v>
      </c>
      <c r="C321" s="40" t="s">
        <v>1014</v>
      </c>
      <c r="D321" s="328" t="s">
        <v>534</v>
      </c>
      <c r="E321" s="8"/>
      <c r="F321" s="8"/>
      <c r="G321" s="25">
        <f t="array" ref="G321">SUM(IF("1521"&amp;C321=KHN&amp;MH,SL))</f>
        <v>550</v>
      </c>
      <c r="H321" s="25">
        <f t="array" ref="H321">SUM(IF("1521"&amp;C321=KHN&amp;MH,TH))</f>
        <v>5746895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>E321+G321-I321</f>
        <v>550</v>
      </c>
      <c r="L321" s="8">
        <f>F321+H321-J321</f>
        <v>5746895</v>
      </c>
      <c r="M321" s="329"/>
    </row>
    <row r="322" spans="1:13" ht="18" customHeight="1">
      <c r="A322" s="325" t="str">
        <f t="shared" si="15"/>
        <v>NL</v>
      </c>
      <c r="B322" s="616">
        <f t="shared" si="16"/>
        <v>305</v>
      </c>
      <c r="C322" s="40" t="s">
        <v>946</v>
      </c>
      <c r="D322" s="328" t="s">
        <v>534</v>
      </c>
      <c r="E322" s="8"/>
      <c r="F322" s="8"/>
      <c r="G322" s="25">
        <f t="array" ref="G322">SUM(IF("1521"&amp;C322=KHN&amp;MH,SL))</f>
        <v>450</v>
      </c>
      <c r="H322" s="25">
        <f t="array" ref="H322">SUM(IF("1521"&amp;C322=KHN&amp;MH,TH))</f>
        <v>4781700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>E322+G322-I322</f>
        <v>450</v>
      </c>
      <c r="L322" s="8">
        <f>F322+H322-J322</f>
        <v>4781700</v>
      </c>
      <c r="M322" s="329"/>
    </row>
    <row r="323" spans="1:13" ht="18" customHeight="1">
      <c r="A323" s="325" t="str">
        <f t="shared" si="15"/>
        <v>NL</v>
      </c>
      <c r="B323" s="616">
        <f t="shared" si="16"/>
        <v>306</v>
      </c>
      <c r="C323" s="40" t="s">
        <v>962</v>
      </c>
      <c r="D323" s="328" t="s">
        <v>534</v>
      </c>
      <c r="E323" s="8"/>
      <c r="F323" s="8"/>
      <c r="G323" s="25">
        <f t="array" ref="G323">SUM(IF("1521"&amp;C323=KHN&amp;MH,SL))</f>
        <v>500</v>
      </c>
      <c r="H323" s="25">
        <f t="array" ref="H323">SUM(IF("1521"&amp;C323=KHN&amp;MH,TH))</f>
        <v>6743550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>E323+G323-I323</f>
        <v>500</v>
      </c>
      <c r="L323" s="8">
        <f>F323+H323-J323</f>
        <v>6743550</v>
      </c>
      <c r="M323" s="329"/>
    </row>
    <row r="324" spans="1:13" ht="18" customHeight="1">
      <c r="A324" s="325" t="str">
        <f t="shared" si="15"/>
        <v>NL</v>
      </c>
      <c r="B324" s="616">
        <f t="shared" si="16"/>
        <v>307</v>
      </c>
      <c r="C324" s="40" t="s">
        <v>771</v>
      </c>
      <c r="D324" s="328" t="s">
        <v>534</v>
      </c>
      <c r="E324" s="8"/>
      <c r="F324" s="8"/>
      <c r="G324" s="25">
        <f t="array" ref="G324">SUM(IF("1521"&amp;C324=KHN&amp;MH,SL))</f>
        <v>250</v>
      </c>
      <c r="H324" s="25">
        <f t="array" ref="H324">SUM(IF("1521"&amp;C324=KHN&amp;MH,TH))</f>
        <v>6180000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>E324+G324-I324</f>
        <v>250</v>
      </c>
      <c r="L324" s="8">
        <f>F324+H324-J324</f>
        <v>6180000</v>
      </c>
      <c r="M324" s="329"/>
    </row>
    <row r="325" spans="1:13" ht="18" customHeight="1">
      <c r="A325" s="325" t="str">
        <f t="shared" si="15"/>
        <v>NL</v>
      </c>
      <c r="B325" s="616">
        <f t="shared" si="16"/>
        <v>308</v>
      </c>
      <c r="C325" s="40" t="s">
        <v>947</v>
      </c>
      <c r="D325" s="328" t="s">
        <v>534</v>
      </c>
      <c r="E325" s="8"/>
      <c r="F325" s="8"/>
      <c r="G325" s="25">
        <f t="array" ref="G325">SUM(IF("1521"&amp;C325=KHN&amp;MH,SL))</f>
        <v>150</v>
      </c>
      <c r="H325" s="25">
        <f t="array" ref="H325">SUM(IF("1521"&amp;C325=KHN&amp;MH,TH))</f>
        <v>2114100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>E325+G325-I325</f>
        <v>150</v>
      </c>
      <c r="L325" s="8">
        <f>F325+H325-J325</f>
        <v>2114100</v>
      </c>
      <c r="M325" s="329"/>
    </row>
    <row r="326" spans="1:13" ht="18" customHeight="1">
      <c r="A326" s="325" t="str">
        <f t="shared" si="15"/>
        <v>NL</v>
      </c>
      <c r="B326" s="616">
        <f t="shared" si="16"/>
        <v>309</v>
      </c>
      <c r="C326" s="40" t="s">
        <v>960</v>
      </c>
      <c r="D326" s="328" t="s">
        <v>534</v>
      </c>
      <c r="E326" s="8"/>
      <c r="F326" s="8"/>
      <c r="G326" s="25">
        <f t="array" ref="G326">SUM(IF("1521"&amp;C326=KHN&amp;MH,SL))</f>
        <v>180</v>
      </c>
      <c r="H326" s="25">
        <f t="array" ref="H326">SUM(IF("1521"&amp;C326=KHN&amp;MH,TH))</f>
        <v>2721600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>E326+G326-I326</f>
        <v>180</v>
      </c>
      <c r="L326" s="8">
        <f>F326+H326-J326</f>
        <v>2721600</v>
      </c>
      <c r="M326" s="329"/>
    </row>
    <row r="327" spans="1:13" ht="18" customHeight="1">
      <c r="A327" s="325" t="str">
        <f t="shared" si="15"/>
        <v>NL</v>
      </c>
      <c r="B327" s="616">
        <f t="shared" si="16"/>
        <v>310</v>
      </c>
      <c r="C327" s="40" t="s">
        <v>945</v>
      </c>
      <c r="D327" s="328" t="s">
        <v>534</v>
      </c>
      <c r="E327" s="8"/>
      <c r="F327" s="8"/>
      <c r="G327" s="25">
        <f t="array" ref="G327">SUM(IF("1521"&amp;C327=KHN&amp;MH,SL))</f>
        <v>300</v>
      </c>
      <c r="H327" s="25">
        <f t="array" ref="H327">SUM(IF("1521"&amp;C327=KHN&amp;MH,TH))</f>
        <v>2592000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>E327+G327-I327</f>
        <v>300</v>
      </c>
      <c r="L327" s="8">
        <f>F327+H327-J327</f>
        <v>2592000</v>
      </c>
      <c r="M327" s="329"/>
    </row>
    <row r="328" spans="1:13" ht="18" customHeight="1">
      <c r="A328" s="325" t="str">
        <f t="shared" si="15"/>
        <v>NL</v>
      </c>
      <c r="B328" s="616">
        <f t="shared" si="16"/>
        <v>311</v>
      </c>
      <c r="C328" s="40" t="s">
        <v>963</v>
      </c>
      <c r="D328" s="328" t="s">
        <v>534</v>
      </c>
      <c r="E328" s="8"/>
      <c r="F328" s="8"/>
      <c r="G328" s="25">
        <f t="array" ref="G328">SUM(IF("1521"&amp;C328=KHN&amp;MH,SL))</f>
        <v>500</v>
      </c>
      <c r="H328" s="25">
        <f t="array" ref="H328">SUM(IF("1521"&amp;C328=KHN&amp;MH,TH))</f>
        <v>3110400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>E328+G328-I328</f>
        <v>500</v>
      </c>
      <c r="L328" s="8">
        <f>F328+H328-J328</f>
        <v>3110400</v>
      </c>
      <c r="M328" s="329"/>
    </row>
    <row r="329" spans="1:13" ht="18" customHeight="1">
      <c r="A329" s="325" t="str">
        <f t="shared" si="15"/>
        <v>NL</v>
      </c>
      <c r="B329" s="616">
        <f t="shared" si="16"/>
        <v>312</v>
      </c>
      <c r="C329" s="40" t="s">
        <v>943</v>
      </c>
      <c r="D329" s="328" t="s">
        <v>534</v>
      </c>
      <c r="E329" s="8"/>
      <c r="F329" s="8"/>
      <c r="G329" s="25">
        <f t="array" ref="G329">SUM(IF("1521"&amp;C329=KHN&amp;MH,SL))</f>
        <v>300</v>
      </c>
      <c r="H329" s="25">
        <f t="array" ref="H329">SUM(IF("1521"&amp;C329=KHN&amp;MH,TH))</f>
        <v>3090600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>E329+G329-I329</f>
        <v>300</v>
      </c>
      <c r="L329" s="8">
        <f>F329+H329-J329</f>
        <v>3090600</v>
      </c>
      <c r="M329" s="329"/>
    </row>
    <row r="330" spans="1:13" ht="18" customHeight="1">
      <c r="A330" s="325" t="str">
        <f t="shared" si="15"/>
        <v>NL</v>
      </c>
      <c r="B330" s="616">
        <f t="shared" si="16"/>
        <v>313</v>
      </c>
      <c r="C330" s="40" t="s">
        <v>961</v>
      </c>
      <c r="D330" s="328" t="s">
        <v>534</v>
      </c>
      <c r="E330" s="8"/>
      <c r="F330" s="8"/>
      <c r="G330" s="25">
        <f t="array" ref="G330">SUM(IF("1521"&amp;C330=KHN&amp;MH,SL))</f>
        <v>100</v>
      </c>
      <c r="H330" s="25">
        <f t="array" ref="H330">SUM(IF("1521"&amp;C330=KHN&amp;MH,TH))</f>
        <v>1173000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>E330+G330-I330</f>
        <v>100</v>
      </c>
      <c r="L330" s="8">
        <f>F330+H330-J330</f>
        <v>1173000</v>
      </c>
      <c r="M330" s="329"/>
    </row>
    <row r="331" spans="1:13" ht="18" customHeight="1">
      <c r="A331" s="325" t="str">
        <f t="shared" si="15"/>
        <v>NL</v>
      </c>
      <c r="B331" s="616">
        <f t="shared" si="16"/>
        <v>314</v>
      </c>
      <c r="C331" s="203" t="s">
        <v>744</v>
      </c>
      <c r="D331" s="328" t="s">
        <v>534</v>
      </c>
      <c r="E331" s="8"/>
      <c r="F331" s="8"/>
      <c r="G331" s="25">
        <f t="array" ref="G331">SUM(IF("1521"&amp;C331=KHN&amp;MH,SL))</f>
        <v>80</v>
      </c>
      <c r="H331" s="25">
        <f t="array" ref="H331">SUM(IF("1521"&amp;C331=KHN&amp;MH,TH))</f>
        <v>1899840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>E331+G331-I331</f>
        <v>80</v>
      </c>
      <c r="L331" s="8">
        <f>F331+H331-J331</f>
        <v>1899840</v>
      </c>
      <c r="M331" s="329"/>
    </row>
    <row r="332" spans="1:13" ht="18" customHeight="1">
      <c r="A332" s="325" t="str">
        <f t="shared" si="15"/>
        <v>NL</v>
      </c>
      <c r="B332" s="616">
        <f t="shared" si="16"/>
        <v>315</v>
      </c>
      <c r="C332" s="40" t="s">
        <v>720</v>
      </c>
      <c r="D332" s="328" t="s">
        <v>534</v>
      </c>
      <c r="E332" s="8"/>
      <c r="F332" s="8"/>
      <c r="G332" s="25">
        <f t="array" ref="G332">SUM(IF("1521"&amp;C332=KHN&amp;MH,SL))</f>
        <v>50</v>
      </c>
      <c r="H332" s="25">
        <f t="array" ref="H332">SUM(IF("1521"&amp;C332=KHN&amp;MH,TH))</f>
        <v>808800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>E332+G332-I332</f>
        <v>50</v>
      </c>
      <c r="L332" s="8">
        <f>F332+H332-J332</f>
        <v>808800</v>
      </c>
      <c r="M332" s="329"/>
    </row>
    <row r="333" spans="1:13" ht="18" customHeight="1">
      <c r="A333" s="325" t="str">
        <f t="shared" si="15"/>
        <v>NL</v>
      </c>
      <c r="B333" s="616">
        <f t="shared" si="16"/>
        <v>316</v>
      </c>
      <c r="C333" s="40" t="s">
        <v>1013</v>
      </c>
      <c r="D333" s="328" t="s">
        <v>534</v>
      </c>
      <c r="E333" s="8"/>
      <c r="F333" s="8"/>
      <c r="G333" s="25">
        <f t="array" ref="G333">SUM(IF("1521"&amp;C333=KHN&amp;MH,SL))</f>
        <v>150</v>
      </c>
      <c r="H333" s="25">
        <f t="array" ref="H333">SUM(IF("1521"&amp;C333=KHN&amp;MH,TH))</f>
        <v>1785600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>E333+G333-I333</f>
        <v>150</v>
      </c>
      <c r="L333" s="8">
        <f>F333+H333-J333</f>
        <v>1785600</v>
      </c>
      <c r="M333" s="329"/>
    </row>
    <row r="334" spans="1:13" ht="18" customHeight="1">
      <c r="A334" s="325" t="str">
        <f t="shared" si="15"/>
        <v>NL</v>
      </c>
      <c r="B334" s="616">
        <f t="shared" si="16"/>
        <v>317</v>
      </c>
      <c r="C334" s="40" t="s">
        <v>1012</v>
      </c>
      <c r="D334" s="328" t="s">
        <v>534</v>
      </c>
      <c r="E334" s="8"/>
      <c r="F334" s="8"/>
      <c r="G334" s="25">
        <f t="array" ref="G334">SUM(IF("1521"&amp;C334=KHN&amp;MH,SL))</f>
        <v>100</v>
      </c>
      <c r="H334" s="25">
        <f t="array" ref="H334">SUM(IF("1521"&amp;C334=KHN&amp;MH,TH))</f>
        <v>2108160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>E334+G334-I334</f>
        <v>100</v>
      </c>
      <c r="L334" s="8">
        <f>F334+H334-J334</f>
        <v>2108160</v>
      </c>
      <c r="M334" s="329"/>
    </row>
    <row r="335" spans="1:13" ht="18" customHeight="1">
      <c r="A335" s="325" t="str">
        <f t="shared" si="15"/>
        <v>NL</v>
      </c>
      <c r="B335" s="616">
        <f t="shared" si="16"/>
        <v>318</v>
      </c>
      <c r="C335" s="40" t="s">
        <v>965</v>
      </c>
      <c r="D335" s="328" t="s">
        <v>534</v>
      </c>
      <c r="E335" s="8"/>
      <c r="F335" s="8"/>
      <c r="G335" s="25">
        <f t="array" ref="G335">SUM(IF("1521"&amp;C335=KHN&amp;MH,SL))</f>
        <v>150</v>
      </c>
      <c r="H335" s="25">
        <f t="array" ref="H335">SUM(IF("1521"&amp;C335=KHN&amp;MH,TH))</f>
        <v>1428480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>E335+G335-I335</f>
        <v>150</v>
      </c>
      <c r="L335" s="8">
        <f>F335+H335-J335</f>
        <v>1428480</v>
      </c>
      <c r="M335" s="329"/>
    </row>
    <row r="336" spans="1:13" ht="18" customHeight="1">
      <c r="A336" s="325" t="str">
        <f t="shared" si="15"/>
        <v>NL</v>
      </c>
      <c r="B336" s="616">
        <f t="shared" si="16"/>
        <v>319</v>
      </c>
      <c r="C336" s="40" t="s">
        <v>964</v>
      </c>
      <c r="D336" s="328" t="s">
        <v>534</v>
      </c>
      <c r="E336" s="8"/>
      <c r="F336" s="8"/>
      <c r="G336" s="25">
        <f t="array" ref="G336">SUM(IF("1521"&amp;C336=KHN&amp;MH,SL))</f>
        <v>200</v>
      </c>
      <c r="H336" s="25">
        <f t="array" ref="H336">SUM(IF("1521"&amp;C336=KHN&amp;MH,TH))</f>
        <v>2211840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>E336+G336-I336</f>
        <v>200</v>
      </c>
      <c r="L336" s="8">
        <f>F336+H336-J336</f>
        <v>2211840</v>
      </c>
      <c r="M336" s="329"/>
    </row>
    <row r="337" spans="1:13" ht="18" customHeight="1">
      <c r="A337" s="325" t="str">
        <f t="shared" si="15"/>
        <v>NL</v>
      </c>
      <c r="B337" s="616">
        <f t="shared" si="16"/>
        <v>320</v>
      </c>
      <c r="C337" s="40" t="s">
        <v>1010</v>
      </c>
      <c r="D337" s="328" t="s">
        <v>534</v>
      </c>
      <c r="E337" s="8"/>
      <c r="F337" s="8"/>
      <c r="G337" s="25">
        <f t="array" ref="G337">SUM(IF("1521"&amp;C337=KHN&amp;MH,SL))</f>
        <v>250</v>
      </c>
      <c r="H337" s="25">
        <f t="array" ref="H337">SUM(IF("1521"&amp;C337=KHN&amp;MH,TH))</f>
        <v>3617280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>E337+G337-I337</f>
        <v>250</v>
      </c>
      <c r="L337" s="8">
        <f>F337+H337-J337</f>
        <v>3617280</v>
      </c>
      <c r="M337" s="329"/>
    </row>
    <row r="338" spans="1:13" ht="18" customHeight="1">
      <c r="A338" s="325" t="str">
        <f t="shared" si="15"/>
        <v>NL</v>
      </c>
      <c r="B338" s="616">
        <f t="shared" si="16"/>
        <v>321</v>
      </c>
      <c r="C338" s="40" t="s">
        <v>1082</v>
      </c>
      <c r="D338" s="328" t="s">
        <v>534</v>
      </c>
      <c r="E338" s="8"/>
      <c r="F338" s="8"/>
      <c r="G338" s="25">
        <f t="array" ref="G338">SUM(IF("1521"&amp;C338=KHN&amp;MH,SL))</f>
        <v>630</v>
      </c>
      <c r="H338" s="25">
        <f t="array" ref="H338">SUM(IF("1521"&amp;C338=KHN&amp;MH,TH))</f>
        <v>6746040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>E338+G338-I338</f>
        <v>630</v>
      </c>
      <c r="L338" s="8">
        <f>F338+H338-J338</f>
        <v>6746040</v>
      </c>
      <c r="M338" s="329"/>
    </row>
    <row r="339" spans="1:13" ht="18" customHeight="1">
      <c r="A339" s="325" t="str">
        <f t="shared" ref="A339:A347" si="17">IF(B339&lt;&gt;"","NL","")</f>
        <v>NL</v>
      </c>
      <c r="B339" s="616">
        <f t="shared" ref="B339:B347" si="18">IF(C339&lt;&gt;"",B338+1,"")</f>
        <v>322</v>
      </c>
      <c r="C339" s="40" t="s">
        <v>1072</v>
      </c>
      <c r="D339" s="328" t="s">
        <v>534</v>
      </c>
      <c r="E339" s="8"/>
      <c r="F339" s="8"/>
      <c r="G339" s="25">
        <f t="array" ref="G339">SUM(IF("1521"&amp;C339=KHN&amp;MH,SL))</f>
        <v>200</v>
      </c>
      <c r="H339" s="25">
        <f t="array" ref="H339">SUM(IF("1521"&amp;C339=KHN&amp;MH,TH))</f>
        <v>2036000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>E339+G339-I339</f>
        <v>200</v>
      </c>
      <c r="L339" s="8">
        <f>F339+H339-J339</f>
        <v>2036000</v>
      </c>
      <c r="M339" s="329"/>
    </row>
    <row r="340" spans="1:13" ht="18" customHeight="1">
      <c r="A340" s="325" t="str">
        <f t="shared" si="17"/>
        <v>NL</v>
      </c>
      <c r="B340" s="616">
        <f t="shared" si="18"/>
        <v>323</v>
      </c>
      <c r="C340" s="40" t="s">
        <v>1071</v>
      </c>
      <c r="D340" s="328" t="s">
        <v>534</v>
      </c>
      <c r="E340" s="8"/>
      <c r="F340" s="8"/>
      <c r="G340" s="25">
        <f t="array" ref="G340">SUM(IF("1521"&amp;C340=KHN&amp;MH,SL))</f>
        <v>250</v>
      </c>
      <c r="H340" s="25">
        <f t="array" ref="H340">SUM(IF("1521"&amp;C340=KHN&amp;MH,TH))</f>
        <v>2419000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>E340+G340-I340</f>
        <v>250</v>
      </c>
      <c r="L340" s="8">
        <f>F340+H340-J340</f>
        <v>2419000</v>
      </c>
      <c r="M340" s="329"/>
    </row>
    <row r="341" spans="1:13" ht="18" customHeight="1">
      <c r="A341" s="325" t="str">
        <f t="shared" si="17"/>
        <v>NL</v>
      </c>
      <c r="B341" s="616">
        <f t="shared" si="18"/>
        <v>324</v>
      </c>
      <c r="C341" s="40" t="s">
        <v>1070</v>
      </c>
      <c r="D341" s="328" t="s">
        <v>534</v>
      </c>
      <c r="E341" s="8"/>
      <c r="F341" s="8"/>
      <c r="G341" s="25">
        <f t="array" ref="G341">SUM(IF("1521"&amp;C341=KHN&amp;MH,SL))</f>
        <v>130</v>
      </c>
      <c r="H341" s="25">
        <f t="array" ref="H341">SUM(IF("1521"&amp;C341=KHN&amp;MH,TH))</f>
        <v>1739530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>E341+G341-I341</f>
        <v>130</v>
      </c>
      <c r="L341" s="8">
        <f>F341+H341-J341</f>
        <v>1739530</v>
      </c>
      <c r="M341" s="329"/>
    </row>
    <row r="342" spans="1:13" ht="18" customHeight="1">
      <c r="A342" s="325" t="str">
        <f t="shared" si="17"/>
        <v>NL</v>
      </c>
      <c r="B342" s="616">
        <f t="shared" si="18"/>
        <v>325</v>
      </c>
      <c r="C342" s="40" t="s">
        <v>1067</v>
      </c>
      <c r="D342" s="328" t="s">
        <v>534</v>
      </c>
      <c r="E342" s="8"/>
      <c r="F342" s="8"/>
      <c r="G342" s="25">
        <f t="array" ref="G342">SUM(IF("1521"&amp;C342=KHN&amp;MH,SL))</f>
        <v>120</v>
      </c>
      <c r="H342" s="25">
        <f t="array" ref="H342">SUM(IF("1521"&amp;C342=KHN&amp;MH,TH))</f>
        <v>1687320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>E342+G342-I342</f>
        <v>120</v>
      </c>
      <c r="L342" s="8">
        <f>F342+H342-J342</f>
        <v>1687320</v>
      </c>
      <c r="M342" s="329"/>
    </row>
    <row r="343" spans="1:13" ht="18" customHeight="1">
      <c r="A343" s="325" t="str">
        <f t="shared" si="17"/>
        <v>NL</v>
      </c>
      <c r="B343" s="616">
        <f t="shared" si="18"/>
        <v>326</v>
      </c>
      <c r="C343" s="40" t="s">
        <v>971</v>
      </c>
      <c r="D343" s="328" t="s">
        <v>534</v>
      </c>
      <c r="E343" s="8"/>
      <c r="F343" s="8"/>
      <c r="G343" s="25">
        <f t="array" ref="G343">SUM(IF("1521"&amp;C343=KHN&amp;MH,SL))</f>
        <v>600</v>
      </c>
      <c r="H343" s="25">
        <f t="array" ref="H343">SUM(IF("1521"&amp;C343=KHN&amp;MH,TH))</f>
        <v>7239600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>E343+G343-I343</f>
        <v>600</v>
      </c>
      <c r="L343" s="8">
        <f>F343+H343-J343</f>
        <v>7239600</v>
      </c>
      <c r="M343" s="329"/>
    </row>
    <row r="344" spans="1:13" ht="18" customHeight="1">
      <c r="A344" s="325" t="str">
        <f t="shared" si="17"/>
        <v>NL</v>
      </c>
      <c r="B344" s="616">
        <f t="shared" si="18"/>
        <v>327</v>
      </c>
      <c r="C344" s="40" t="s">
        <v>968</v>
      </c>
      <c r="D344" s="328" t="s">
        <v>534</v>
      </c>
      <c r="E344" s="8"/>
      <c r="F344" s="8"/>
      <c r="G344" s="25">
        <f t="array" ref="G344">SUM(IF("1521"&amp;C344=KHN&amp;MH,SL))</f>
        <v>600</v>
      </c>
      <c r="H344" s="25">
        <f t="array" ref="H344">SUM(IF("1521"&amp;C344=KHN&amp;MH,TH))</f>
        <v>5358000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>E344+G344-I344</f>
        <v>600</v>
      </c>
      <c r="L344" s="8">
        <f>F344+H344-J344</f>
        <v>5358000</v>
      </c>
      <c r="M344" s="329"/>
    </row>
    <row r="345" spans="1:13" ht="18" customHeight="1">
      <c r="A345" s="325" t="str">
        <f t="shared" si="17"/>
        <v>NL</v>
      </c>
      <c r="B345" s="616">
        <f t="shared" si="18"/>
        <v>328</v>
      </c>
      <c r="C345" s="40" t="s">
        <v>1107</v>
      </c>
      <c r="D345" s="328" t="s">
        <v>1204</v>
      </c>
      <c r="E345" s="8"/>
      <c r="F345" s="8"/>
      <c r="G345" s="25">
        <f t="array" ref="G345">SUM(IF("1521"&amp;C345=KHN&amp;MH,SL))</f>
        <v>500</v>
      </c>
      <c r="H345" s="25">
        <f t="array" ref="H345">SUM(IF("1521"&amp;C345=KHN&amp;MH,TH))</f>
        <v>5431500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>E345+G345-I345</f>
        <v>500</v>
      </c>
      <c r="L345" s="8">
        <f>F345+H345-J345</f>
        <v>5431500</v>
      </c>
      <c r="M345" s="329"/>
    </row>
    <row r="346" spans="1:13" ht="18" customHeight="1">
      <c r="A346" s="325" t="str">
        <f t="shared" si="17"/>
        <v>NL</v>
      </c>
      <c r="B346" s="616">
        <f t="shared" si="18"/>
        <v>329</v>
      </c>
      <c r="C346" s="40" t="s">
        <v>1105</v>
      </c>
      <c r="D346" s="328" t="s">
        <v>1204</v>
      </c>
      <c r="E346" s="8"/>
      <c r="F346" s="8"/>
      <c r="G346" s="25">
        <f t="array" ref="G346">SUM(IF("1521"&amp;C346=KHN&amp;MH,SL))</f>
        <v>500</v>
      </c>
      <c r="H346" s="25">
        <f t="array" ref="H346">SUM(IF("1521"&amp;C346=KHN&amp;MH,TH))</f>
        <v>6562500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>E346+G346-I346</f>
        <v>500</v>
      </c>
      <c r="L346" s="8">
        <f>F346+H346-J346</f>
        <v>6562500</v>
      </c>
      <c r="M346" s="329"/>
    </row>
    <row r="347" spans="1:13" ht="18" customHeight="1">
      <c r="A347" s="325" t="str">
        <f t="shared" si="17"/>
        <v>NL</v>
      </c>
      <c r="B347" s="616">
        <f t="shared" si="18"/>
        <v>330</v>
      </c>
      <c r="C347" s="40" t="s">
        <v>1108</v>
      </c>
      <c r="D347" s="328" t="s">
        <v>1204</v>
      </c>
      <c r="E347" s="8"/>
      <c r="F347" s="8"/>
      <c r="G347" s="25">
        <f t="array" ref="G347">SUM(IF("1521"&amp;C347=KHN&amp;MH,SL))</f>
        <v>1000</v>
      </c>
      <c r="H347" s="25">
        <f t="array" ref="H347">SUM(IF("1521"&amp;C347=KHN&amp;MH,TH))</f>
        <v>4600000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>E347+G347-I347</f>
        <v>1000</v>
      </c>
      <c r="L347" s="8">
        <f>F347+H347-J347</f>
        <v>4600000</v>
      </c>
      <c r="M347" s="329"/>
    </row>
    <row r="348" spans="1:13" ht="19.5" customHeight="1">
      <c r="A348" s="325" t="str">
        <f t="shared" ref="A348" si="19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20">IF(B349&lt;&gt;"","NL","")</f>
        <v/>
      </c>
      <c r="B349" s="323"/>
      <c r="C349" s="336" t="s">
        <v>495</v>
      </c>
      <c r="D349" s="323"/>
      <c r="E349" s="13">
        <f>SUM(E18:E348)</f>
        <v>0</v>
      </c>
      <c r="F349" s="13">
        <f>SUM(F18:F348)</f>
        <v>0</v>
      </c>
      <c r="G349" s="13">
        <f>SUM(G18:G348)</f>
        <v>148084</v>
      </c>
      <c r="H349" s="13">
        <f>SUM(H18:H348)</f>
        <v>2465538784</v>
      </c>
      <c r="I349" s="13">
        <f>SUM(I18:I348)</f>
        <v>0</v>
      </c>
      <c r="J349" s="13">
        <f>SUM(J18:J348)</f>
        <v>0</v>
      </c>
      <c r="K349" s="13">
        <f>SUM(K18:K348)</f>
        <v>148084</v>
      </c>
      <c r="L349" s="13">
        <f>SUM(L18:L348)</f>
        <v>2465538784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2465538784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2465538784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21">E351+G351-I351</f>
        <v>0</v>
      </c>
      <c r="L351" s="25">
        <f t="shared" si="21"/>
        <v>0</v>
      </c>
      <c r="M351" s="329"/>
    </row>
    <row r="352" spans="1:13" ht="19.5" customHeight="1">
      <c r="A352" s="325" t="str">
        <f t="shared" ref="A352:A360" si="22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21"/>
        <v>0</v>
      </c>
      <c r="L352" s="8">
        <f t="shared" si="21"/>
        <v>0</v>
      </c>
      <c r="M352" s="329"/>
    </row>
    <row r="353" spans="1:13" ht="19.5" customHeight="1">
      <c r="A353" s="325" t="str">
        <f t="shared" si="22"/>
        <v/>
      </c>
      <c r="B353" s="342" t="str">
        <f t="shared" ref="B353:B358" si="23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21"/>
        <v>0</v>
      </c>
      <c r="L353" s="8">
        <f t="shared" si="21"/>
        <v>0</v>
      </c>
      <c r="M353" s="329"/>
    </row>
    <row r="354" spans="1:13" ht="18" customHeight="1">
      <c r="A354" s="325" t="str">
        <f t="shared" si="22"/>
        <v/>
      </c>
      <c r="B354" s="342" t="str">
        <f t="shared" si="23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21"/>
        <v>0</v>
      </c>
      <c r="L354" s="8">
        <f t="shared" si="21"/>
        <v>0</v>
      </c>
      <c r="M354" s="329"/>
    </row>
    <row r="355" spans="1:13" ht="18" customHeight="1">
      <c r="A355" s="325" t="str">
        <f t="shared" si="22"/>
        <v/>
      </c>
      <c r="B355" s="342" t="str">
        <f t="shared" si="23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21"/>
        <v>0</v>
      </c>
      <c r="L355" s="8">
        <f t="shared" si="21"/>
        <v>0</v>
      </c>
      <c r="M355" s="329"/>
    </row>
    <row r="356" spans="1:13" ht="18.75" customHeight="1">
      <c r="A356" s="325" t="str">
        <f t="shared" si="22"/>
        <v/>
      </c>
      <c r="B356" s="342" t="str">
        <f t="shared" si="23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22"/>
        <v/>
      </c>
      <c r="B357" s="342" t="str">
        <f t="shared" si="23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22"/>
        <v/>
      </c>
      <c r="B358" s="342" t="str">
        <f t="shared" si="23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21"/>
        <v>0</v>
      </c>
      <c r="L358" s="8">
        <f t="shared" si="21"/>
        <v>0</v>
      </c>
      <c r="M358" s="329"/>
    </row>
    <row r="359" spans="1:13" ht="18.75" customHeight="1">
      <c r="A359" s="325" t="str">
        <f t="shared" si="22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22"/>
        <v/>
      </c>
      <c r="B360" s="323"/>
      <c r="C360" s="336" t="s">
        <v>263</v>
      </c>
      <c r="D360" s="323"/>
      <c r="E360" s="13">
        <f t="shared" ref="E360:L360" si="24">SUM(E351:E359)</f>
        <v>0</v>
      </c>
      <c r="F360" s="13">
        <f t="shared" si="24"/>
        <v>0</v>
      </c>
      <c r="G360" s="13">
        <f t="shared" si="24"/>
        <v>0</v>
      </c>
      <c r="H360" s="13">
        <f t="shared" si="24"/>
        <v>0</v>
      </c>
      <c r="I360" s="13">
        <f t="shared" si="24"/>
        <v>0</v>
      </c>
      <c r="J360" s="13">
        <f t="shared" si="24"/>
        <v>0</v>
      </c>
      <c r="K360" s="13">
        <f t="shared" si="24"/>
        <v>0</v>
      </c>
      <c r="L360" s="13">
        <f t="shared" si="24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72"/>
      <c r="D364" s="1072"/>
      <c r="E364" s="1072"/>
      <c r="F364" s="346"/>
      <c r="G364" s="346"/>
      <c r="H364" s="346"/>
      <c r="I364" s="346"/>
      <c r="J364" s="1072" t="s">
        <v>1206</v>
      </c>
      <c r="K364" s="1072"/>
      <c r="L364" s="1072"/>
      <c r="M364" s="318"/>
    </row>
    <row r="365" spans="1:13" ht="19.5" customHeight="1">
      <c r="C365" s="347" t="s">
        <v>11</v>
      </c>
      <c r="D365" s="347"/>
      <c r="E365" s="347"/>
      <c r="F365" s="1072" t="s">
        <v>12</v>
      </c>
      <c r="G365" s="1072"/>
      <c r="H365" s="1072"/>
      <c r="I365" s="346"/>
      <c r="J365" s="1072" t="s">
        <v>113</v>
      </c>
      <c r="K365" s="1072"/>
      <c r="L365" s="1072"/>
      <c r="M365" s="318"/>
    </row>
    <row r="366" spans="1:13" ht="19.5" customHeight="1">
      <c r="C366" s="347" t="s">
        <v>13</v>
      </c>
      <c r="D366" s="347" t="s">
        <v>265</v>
      </c>
      <c r="E366" s="347"/>
      <c r="F366" s="1072" t="s">
        <v>13</v>
      </c>
      <c r="G366" s="1072"/>
      <c r="H366" s="1072"/>
      <c r="I366" s="318"/>
      <c r="J366" s="1072" t="s">
        <v>143</v>
      </c>
      <c r="K366" s="1072"/>
      <c r="L366" s="1072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C7:L7"/>
    <mergeCell ref="F366:H366"/>
    <mergeCell ref="J366:L366"/>
    <mergeCell ref="C364:E364"/>
    <mergeCell ref="J364:L364"/>
    <mergeCell ref="F365:H365"/>
    <mergeCell ref="J365:L365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1203</v>
      </c>
      <c r="K5" s="353"/>
      <c r="L5" s="901" t="s">
        <v>1205</v>
      </c>
      <c r="M5" s="354"/>
      <c r="N5" s="902">
        <v>2</v>
      </c>
      <c r="O5" s="349"/>
      <c r="P5" s="349"/>
    </row>
    <row r="6" spans="1:17" ht="12" customHeight="1">
      <c r="D6" s="91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9  năm  2012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>Nợ:  1522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>Có:  331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Cơ Sở Kéo Kẽm Thành Dũng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3" t="s">
        <v>35</v>
      </c>
      <c r="B14" s="1073" t="s">
        <v>267</v>
      </c>
      <c r="C14" s="1073" t="s">
        <v>268</v>
      </c>
      <c r="D14" s="1073" t="s">
        <v>239</v>
      </c>
      <c r="E14" s="1075" t="s">
        <v>269</v>
      </c>
      <c r="F14" s="1075"/>
      <c r="G14" s="1073" t="s">
        <v>270</v>
      </c>
      <c r="H14" s="1073" t="s">
        <v>271</v>
      </c>
    </row>
    <row r="15" spans="1:17" ht="13.5" customHeight="1">
      <c r="A15" s="1074"/>
      <c r="B15" s="1074"/>
      <c r="C15" s="1074"/>
      <c r="D15" s="1074"/>
      <c r="E15" s="918" t="s">
        <v>272</v>
      </c>
      <c r="F15" s="918" t="str">
        <f>IF(LEFT($D$7,1)="N","Thực nhập","Thực xuất")</f>
        <v>Thực xuất</v>
      </c>
      <c r="G15" s="1074"/>
      <c r="H15" s="1074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>
        <f ca="1">IF(B17="","",ROW()-16)</f>
        <v>1</v>
      </c>
      <c r="B17" s="921" t="str">
        <f ca="1">IF(ROWS($1:1)&gt;COUNT(Dong10),"",OFFSET(TH!F$1,SMALL(Dong10,ROWS($1:1)),))</f>
        <v>Kẽm đóng bao bì</v>
      </c>
      <c r="C17" s="922"/>
      <c r="D17" s="923" t="str">
        <f ca="1">IF(ISNA(VLOOKUP(B17,NXT!$C$12:$D$359,2,0)),"",VLOOKUP(B17,NXT!$C$12:$D$359,2,0))</f>
        <v>kg</v>
      </c>
      <c r="E17" s="924"/>
      <c r="F17" s="925">
        <f ca="1">IF(ROWS($1:1)&gt;COUNT(Dong10),"",OFFSET(TH!I$1,SMALL(Dong10,ROWS($1:1)),))</f>
        <v>100</v>
      </c>
      <c r="G17" s="926">
        <f ca="1">IF(ROWS($1:1)&gt;COUNT(Dong10),"",OFFSET(TH!J$1,SMALL(Dong10,ROWS($1:1)),))</f>
        <v>25000</v>
      </c>
      <c r="H17" s="924">
        <f t="shared" ref="H17:H20" ca="1" si="0">IF(F17&lt;&gt;"",ROUND(F17*G17,0),"")</f>
        <v>2500000</v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5" t="s">
        <v>273</v>
      </c>
      <c r="B27" s="1075"/>
      <c r="C27" s="927"/>
      <c r="D27" s="927"/>
      <c r="E27" s="928"/>
      <c r="F27" s="928"/>
      <c r="G27" s="928"/>
      <c r="H27" s="928">
        <f ca="1">SUM(H17:H26)</f>
        <v>2500000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str">
        <f ca="1">"Tổng số tiền (viết bằng chữ):  "&amp; [1]!VND(H27, TRUE)</f>
        <v>Tổng số tiền (viết bằng chữ):  Hai triệu, năm trăm ngàn đồng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9  năm  2012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619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83" t="s">
        <v>277</v>
      </c>
      <c r="K2" s="1083"/>
      <c r="L2" s="1083"/>
      <c r="M2" s="1083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84" t="s">
        <v>48</v>
      </c>
      <c r="K3" s="1084"/>
      <c r="L3" s="1084"/>
      <c r="M3" s="1084"/>
      <c r="N3" s="367"/>
    </row>
    <row r="4" spans="1:17" s="284" customFormat="1" ht="16.5" customHeight="1">
      <c r="B4" s="361"/>
      <c r="C4" s="361"/>
      <c r="D4" s="361"/>
      <c r="E4" s="366"/>
      <c r="F4" s="361"/>
      <c r="J4" s="1084"/>
      <c r="K4" s="1084"/>
      <c r="L4" s="1084"/>
      <c r="M4" s="1084"/>
      <c r="N4" s="367"/>
    </row>
    <row r="5" spans="1:17" ht="18.75" customHeight="1">
      <c r="B5" s="1085" t="s">
        <v>278</v>
      </c>
      <c r="C5" s="1085"/>
      <c r="D5" s="1085"/>
      <c r="E5" s="1085"/>
      <c r="F5" s="1085"/>
      <c r="G5" s="1085"/>
      <c r="H5" s="1085"/>
      <c r="I5" s="1085"/>
      <c r="J5" s="1085"/>
      <c r="K5" s="1085"/>
      <c r="L5" s="1085"/>
      <c r="M5" s="1085"/>
      <c r="N5" s="368"/>
    </row>
    <row r="6" spans="1:17" s="369" customFormat="1" ht="12.75">
      <c r="B6" s="1086" t="s">
        <v>279</v>
      </c>
      <c r="C6" s="1086"/>
      <c r="D6" s="1086"/>
      <c r="E6" s="1086"/>
      <c r="F6" s="1086"/>
      <c r="G6" s="1086"/>
      <c r="H6" s="1086"/>
      <c r="I6" s="1086"/>
      <c r="J6" s="1086"/>
      <c r="K6" s="1086"/>
      <c r="L6" s="1086"/>
      <c r="M6" s="1086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7" t="s">
        <v>535</v>
      </c>
      <c r="K8" s="1087"/>
      <c r="L8" s="1087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77" t="s">
        <v>35</v>
      </c>
      <c r="B10" s="1078" t="s">
        <v>1</v>
      </c>
      <c r="C10" s="1078"/>
      <c r="D10" s="1079" t="s">
        <v>0</v>
      </c>
      <c r="E10" s="1079" t="s">
        <v>282</v>
      </c>
      <c r="F10" s="1079" t="s">
        <v>270</v>
      </c>
      <c r="G10" s="1081" t="s">
        <v>283</v>
      </c>
      <c r="H10" s="1082"/>
      <c r="I10" s="1081" t="s">
        <v>284</v>
      </c>
      <c r="J10" s="1082"/>
      <c r="K10" s="1081" t="s">
        <v>285</v>
      </c>
      <c r="L10" s="1082"/>
      <c r="M10" s="1079" t="s">
        <v>134</v>
      </c>
      <c r="N10" s="378"/>
      <c r="O10" s="379" t="s">
        <v>286</v>
      </c>
    </row>
    <row r="11" spans="1:17" ht="31.5" customHeight="1">
      <c r="A11" s="1077"/>
      <c r="B11" s="380" t="s">
        <v>15</v>
      </c>
      <c r="C11" s="380" t="s">
        <v>32</v>
      </c>
      <c r="D11" s="1079"/>
      <c r="E11" s="1079"/>
      <c r="F11" s="1079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79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 t="str">
        <f ca="1">IF(ROWS($1:1)&gt;COUNT(Dong11),"",OFFSET(TH!D$1,SMALL(Dong11,ROWS($1:1)),))</f>
        <v>VL/N02</v>
      </c>
      <c r="C14" s="391">
        <f ca="1">IF(ROWS($1:1)&gt;COUNT(Dong11),"",OFFSET(TH!E$1,SMALL(Dong11,ROWS($1:1)),))</f>
        <v>40955</v>
      </c>
      <c r="D14" s="392" t="str">
        <f ca="1">IF(ROWS($1:1)&gt;COUNT(Dong11),"",OFFSET(TH!H$1,SMALL(Dong11,ROWS($1:1)),))</f>
        <v>Cơ Sở Kéo Kẽm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100</v>
      </c>
      <c r="H14" s="394">
        <f ca="1">ROUND(F14*G14,0)</f>
        <v>2500000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100</v>
      </c>
      <c r="L14" s="394">
        <f ca="1">IF(D14&lt;&gt;"",L13+H14-J14,0)</f>
        <v>2500000</v>
      </c>
      <c r="M14" s="394"/>
      <c r="N14" s="384"/>
    </row>
    <row r="15" spans="1:17">
      <c r="A15" s="355">
        <f t="shared" ref="A15:A24" ca="1" si="0">IF(B15="","",A14+1)</f>
        <v>2</v>
      </c>
      <c r="B15" s="390" t="str">
        <f ca="1">IF(ROWS($1:2)&gt;COUNT(Dong11),"",OFFSET(TH!D$1,SMALL(Dong11,ROWS($1:2)),))</f>
        <v>VL/N01</v>
      </c>
      <c r="C15" s="391">
        <f ca="1">IF(ROWS($1:2)&gt;COUNT(Dong11),"",OFFSET(TH!E$1,SMALL(Dong11,ROWS($1:2)),))</f>
        <v>41052</v>
      </c>
      <c r="D15" s="392" t="str">
        <f ca="1">IF(ROWS($1:2)&gt;COUNT(Dong11),"",OFFSET(TH!H$1,SMALL(Dong11,ROWS($1:2)),))</f>
        <v>Cơ Sở Kéo Kẽm Thành Dũng</v>
      </c>
      <c r="E15" s="390" t="str">
        <f ca="1">IF(ROWS($1:2)&gt;COUNT(Dong11),"",IF(OFFSET(TH!L$1,SMALL(Dong11,ROWS($1:2)),)=$G$7,OFFSET(TH!M$1,SMALL(Dong11,ROWS($1:2)),),OFFSET(TH!L$1,SMALL(Dong11,ROWS($1:2)),)))</f>
        <v>331</v>
      </c>
      <c r="F15" s="393">
        <f ca="1">IF(ROWS($1:2)&gt;COUNT(Dong11),0,OFFSET(TH!J$1,SMALL(Dong11,ROWS($1:2)),))</f>
        <v>25000</v>
      </c>
      <c r="G15" s="393">
        <f ca="1">IF(ROWS($1:2)&gt;COUNT(Dong11),0,IF(MID(OFFSET(TH!D$1,SMALL(Dong11,ROWS($1:2)),),4,1)="N",OFFSET(TH!I$1,SMALL(Dong11,ROWS($1:2)),),0))</f>
        <v>100</v>
      </c>
      <c r="H15" s="394">
        <f t="shared" ref="H15:H24" ca="1" si="1">ROUND(F15*G15,0)</f>
        <v>2500000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200</v>
      </c>
      <c r="L15" s="394">
        <f t="shared" ref="L15:L24" ca="1" si="4">IF(D15&lt;&gt;"",L14+H15-J15,0)</f>
        <v>5000000</v>
      </c>
      <c r="M15" s="394"/>
      <c r="N15" s="384"/>
      <c r="Q15" s="395"/>
    </row>
    <row r="16" spans="1:17">
      <c r="A16" s="355">
        <f t="shared" ca="1" si="0"/>
        <v>3</v>
      </c>
      <c r="B16" s="390" t="str">
        <f ca="1">IF(ROWS($1:3)&gt;COUNT(Dong11),"",OFFSET(TH!D$1,SMALL(Dong11,ROWS($1:3)),))</f>
        <v>VL/N01</v>
      </c>
      <c r="C16" s="391">
        <f ca="1">IF(ROWS($1:3)&gt;COUNT(Dong11),"",OFFSET(TH!E$1,SMALL(Dong11,ROWS($1:3)),))</f>
        <v>41099</v>
      </c>
      <c r="D16" s="392" t="str">
        <f ca="1">IF(ROWS($1:3)&gt;COUNT(Dong11),"",OFFSET(TH!H$1,SMALL(Dong11,ROWS($1:3)),))</f>
        <v>Cơ Sở Kéo Kẽm Thành Dũng</v>
      </c>
      <c r="E16" s="390" t="str">
        <f ca="1">IF(ROWS($1:3)&gt;COUNT(Dong11),"",IF(OFFSET(TH!L$1,SMALL(Dong11,ROWS($1:3)),)=$G$7,OFFSET(TH!M$1,SMALL(Dong11,ROWS($1:3)),),OFFSET(TH!L$1,SMALL(Dong11,ROWS($1:3)),)))</f>
        <v>331</v>
      </c>
      <c r="F16" s="393">
        <f ca="1">IF(ROWS($1:3)&gt;COUNT(Dong11),0,OFFSET(TH!J$1,SMALL(Dong11,ROWS($1:3)),))</f>
        <v>25000</v>
      </c>
      <c r="G16" s="393">
        <f ca="1">IF(ROWS($1:3)&gt;COUNT(Dong11),0,IF(MID(OFFSET(TH!D$1,SMALL(Dong11,ROWS($1:3)),),4,1)="N",OFFSET(TH!I$1,SMALL(Dong11,ROWS($1:3)),),0))</f>
        <v>100</v>
      </c>
      <c r="H16" s="394">
        <f t="shared" ca="1" si="1"/>
        <v>2500000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300</v>
      </c>
      <c r="L16" s="394">
        <f t="shared" ca="1" si="4"/>
        <v>7500000</v>
      </c>
      <c r="M16" s="394"/>
      <c r="N16" s="384"/>
    </row>
    <row r="17" spans="1:16">
      <c r="A17" s="355">
        <f t="shared" ca="1" si="0"/>
        <v>4</v>
      </c>
      <c r="B17" s="390" t="str">
        <f ca="1">IF(ROWS($1:4)&gt;COUNT(Dong11),"",OFFSET(TH!D$1,SMALL(Dong11,ROWS($1:4)),))</f>
        <v>VL/N02</v>
      </c>
      <c r="C17" s="391">
        <f ca="1">IF(ROWS($1:4)&gt;COUNT(Dong11),"",OFFSET(TH!E$1,SMALL(Dong11,ROWS($1:4)),))</f>
        <v>41156</v>
      </c>
      <c r="D17" s="392" t="str">
        <f ca="1">IF(ROWS($1:4)&gt;COUNT(Dong11),"",OFFSET(TH!H$1,SMALL(Dong11,ROWS($1:4)),))</f>
        <v>Cơ Sở Kéo Kẽm Thành Dũng</v>
      </c>
      <c r="E17" s="390" t="str">
        <f ca="1">IF(ROWS($1:4)&gt;COUNT(Dong11),"",IF(OFFSET(TH!L$1,SMALL(Dong11,ROWS($1:4)),)=$G$7,OFFSET(TH!M$1,SMALL(Dong11,ROWS($1:4)),),OFFSET(TH!L$1,SMALL(Dong11,ROWS($1:4)),)))</f>
        <v>331</v>
      </c>
      <c r="F17" s="393">
        <f ca="1">IF(ROWS($1:4)&gt;COUNT(Dong11),0,OFFSET(TH!J$1,SMALL(Dong11,ROWS($1:4)),))</f>
        <v>25000</v>
      </c>
      <c r="G17" s="393">
        <f ca="1">IF(ROWS($1:4)&gt;COUNT(Dong11),0,IF(MID(OFFSET(TH!D$1,SMALL(Dong11,ROWS($1:4)),),4,1)="N",OFFSET(TH!I$1,SMALL(Dong11,ROWS($1:4)),),0))</f>
        <v>100</v>
      </c>
      <c r="H17" s="394">
        <f t="shared" ca="1" si="1"/>
        <v>2500000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400</v>
      </c>
      <c r="L17" s="394">
        <f t="shared" ca="1" si="4"/>
        <v>10000000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400</v>
      </c>
      <c r="H26" s="403">
        <f ca="1">SUM(H14:H25)</f>
        <v>10000000</v>
      </c>
      <c r="I26" s="403">
        <f ca="1">SUM(I14:I25)</f>
        <v>0</v>
      </c>
      <c r="J26" s="403">
        <f ca="1">SUM(J14:J25)</f>
        <v>0</v>
      </c>
      <c r="K26" s="403">
        <f ca="1">K13+G26-I26</f>
        <v>400</v>
      </c>
      <c r="L26" s="403">
        <f ca="1">L13+H26-J26</f>
        <v>10000000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2 năm 2012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0" t="s">
        <v>264</v>
      </c>
      <c r="K29" s="1080"/>
      <c r="L29" s="1080"/>
      <c r="M29" s="1080"/>
      <c r="N29" s="384"/>
    </row>
    <row r="30" spans="1:16">
      <c r="C30" s="371"/>
      <c r="D30" s="704" t="s">
        <v>11</v>
      </c>
      <c r="E30" s="1080" t="s">
        <v>12</v>
      </c>
      <c r="F30" s="1080"/>
      <c r="G30" s="1080"/>
      <c r="H30" s="1080"/>
      <c r="I30" s="1080"/>
      <c r="J30" s="1080" t="s">
        <v>113</v>
      </c>
      <c r="K30" s="1080"/>
      <c r="L30" s="1080"/>
      <c r="M30" s="1080"/>
      <c r="N30" s="384"/>
    </row>
    <row r="31" spans="1:16">
      <c r="C31" s="371"/>
      <c r="D31" s="704" t="s">
        <v>13</v>
      </c>
      <c r="E31" s="1080" t="s">
        <v>13</v>
      </c>
      <c r="F31" s="1080"/>
      <c r="G31" s="1080"/>
      <c r="H31" s="1080" t="s">
        <v>143</v>
      </c>
      <c r="I31" s="1080"/>
      <c r="J31" s="1080" t="s">
        <v>143</v>
      </c>
      <c r="K31" s="1080"/>
      <c r="L31" s="1080"/>
      <c r="M31" s="1080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76" t="s">
        <v>107</v>
      </c>
      <c r="K40" s="1076"/>
      <c r="L40" s="1076"/>
      <c r="M40" s="1076"/>
      <c r="N40" s="73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16/2/2012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535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088" t="s">
        <v>297</v>
      </c>
      <c r="B9" s="1089"/>
      <c r="C9" s="1089"/>
      <c r="D9" s="1089"/>
      <c r="E9" s="428"/>
      <c r="F9" s="420"/>
      <c r="G9" s="429"/>
      <c r="H9" s="429"/>
      <c r="I9" s="429"/>
      <c r="J9" s="430"/>
      <c r="K9" s="430"/>
    </row>
    <row r="10" spans="1:12" ht="19.5" customHeight="1">
      <c r="A10" s="1090" t="s">
        <v>298</v>
      </c>
      <c r="B10" s="1091" t="s">
        <v>299</v>
      </c>
      <c r="C10" s="1093" t="s">
        <v>15</v>
      </c>
      <c r="D10" s="1094"/>
      <c r="E10" s="1095" t="s">
        <v>0</v>
      </c>
      <c r="F10" s="1104" t="s">
        <v>300</v>
      </c>
      <c r="G10" s="1098" t="s">
        <v>269</v>
      </c>
      <c r="H10" s="1098"/>
      <c r="I10" s="1094"/>
      <c r="J10" s="1099" t="s">
        <v>301</v>
      </c>
      <c r="K10" s="431"/>
      <c r="L10" s="432" t="s">
        <v>286</v>
      </c>
    </row>
    <row r="11" spans="1:12" ht="19.5" customHeight="1">
      <c r="A11" s="1090"/>
      <c r="B11" s="1092"/>
      <c r="C11" s="433" t="s">
        <v>283</v>
      </c>
      <c r="D11" s="433" t="s">
        <v>284</v>
      </c>
      <c r="E11" s="1096"/>
      <c r="F11" s="1105"/>
      <c r="G11" s="434" t="s">
        <v>283</v>
      </c>
      <c r="H11" s="434" t="s">
        <v>284</v>
      </c>
      <c r="I11" s="434" t="s">
        <v>285</v>
      </c>
      <c r="J11" s="1100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40955</v>
      </c>
      <c r="C14" s="602" t="str">
        <f ca="1">IF(ROWS($1:1)&gt;COUNT(Dong12),"",IF(MID(OFFSET(TH!D$1,SMALL(Dong12,ROWS($1:1)),),4,1)="N",OFFSET(TH!D$1,SMALL(Dong12,ROWS($1:1)),),""))</f>
        <v>VL/N02</v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Cơ Sở Kéo Kẽm Thành Dũng</v>
      </c>
      <c r="F14" s="449">
        <f ca="1">B14</f>
        <v>40955</v>
      </c>
      <c r="G14" s="450">
        <f ca="1">IF(ROWS($1:1)&gt;COUNT(Dong12),0,IF(MID(OFFSET(TH!D$1,SMALL(Dong12,ROWS($1:1)),),4,1)="N",OFFSET(TH!I$1,SMALL(Dong12,ROWS($1:1)),),0))</f>
        <v>100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100</v>
      </c>
      <c r="J14" s="452"/>
      <c r="K14" s="453"/>
    </row>
    <row r="15" spans="1:12" ht="16.5" customHeight="1">
      <c r="A15" s="454">
        <f ca="1">IF(B15&lt;&gt;"",A14+1,"")</f>
        <v>2</v>
      </c>
      <c r="B15" s="449">
        <f ca="1">IF(ROWS($1:2)&gt;COUNT(Dong12),"",OFFSET(TH!E$1,SMALL(Dong12,ROWS($1:2)),))</f>
        <v>41052</v>
      </c>
      <c r="C15" s="602" t="str">
        <f ca="1">IF(ROWS($1:2)&gt;COUNT(Dong12),"",IF(MID(OFFSET(TH!D$1,SMALL(Dong12,ROWS($1:2)),),4,1)="N",OFFSET(TH!D$1,SMALL(Dong12,ROWS($1:2)),),""))</f>
        <v>VL/N01</v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>Cơ Sở Kéo Kẽm Thành Dũng</v>
      </c>
      <c r="F15" s="449">
        <f t="shared" ref="F15:F30" ca="1" si="0">B15</f>
        <v>41052</v>
      </c>
      <c r="G15" s="450">
        <f ca="1">IF(ROWS($1:2)&gt;COUNT(Dong12),0,IF(MID(OFFSET(TH!D$1,SMALL(Dong12,ROWS($1:2)),),4,1)="N",OFFSET(TH!I$1,SMALL(Dong12,ROWS($1:2)),),0))</f>
        <v>100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200</v>
      </c>
      <c r="J15" s="452"/>
      <c r="K15" s="453"/>
    </row>
    <row r="16" spans="1:12" ht="16.5" customHeight="1">
      <c r="A16" s="454">
        <f t="shared" ref="A16:A30" ca="1" si="2">IF(B16&lt;&gt;"",A15+1,"")</f>
        <v>3</v>
      </c>
      <c r="B16" s="449">
        <f ca="1">IF(ROWS($1:3)&gt;COUNT(Dong12),"",OFFSET(TH!E$1,SMALL(Dong12,ROWS($1:3)),))</f>
        <v>41099</v>
      </c>
      <c r="C16" s="602" t="str">
        <f ca="1">IF(ROWS($1:3)&gt;COUNT(Dong12),"",IF(MID(OFFSET(TH!D$1,SMALL(Dong12,ROWS($1:3)),),4,1)="N",OFFSET(TH!D$1,SMALL(Dong12,ROWS($1:3)),),""))</f>
        <v>VL/N01</v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>Cơ Sở Kéo Kẽm Thành Dũng</v>
      </c>
      <c r="F16" s="449">
        <f t="shared" ca="1" si="0"/>
        <v>41099</v>
      </c>
      <c r="G16" s="450">
        <f ca="1">IF(ROWS($1:3)&gt;COUNT(Dong12),0,IF(MID(OFFSET(TH!D$1,SMALL(Dong12,ROWS($1:3)),),4,1)="N",OFFSET(TH!I$1,SMALL(Dong12,ROWS($1:3)),),0))</f>
        <v>100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300</v>
      </c>
      <c r="J16" s="452"/>
      <c r="K16" s="453"/>
    </row>
    <row r="17" spans="1:11" ht="16.5" customHeight="1">
      <c r="A17" s="454">
        <f t="shared" ca="1" si="2"/>
        <v>4</v>
      </c>
      <c r="B17" s="449">
        <f ca="1">IF(ROWS($1:4)&gt;COUNT(Dong12),"",OFFSET(TH!E$1,SMALL(Dong12,ROWS($1:4)),))</f>
        <v>41156</v>
      </c>
      <c r="C17" s="602" t="str">
        <f ca="1">IF(ROWS($1:4)&gt;COUNT(Dong12),"",IF(MID(OFFSET(TH!D$1,SMALL(Dong12,ROWS($1:4)),),4,1)="N",OFFSET(TH!D$1,SMALL(Dong12,ROWS($1:4)),),""))</f>
        <v>VL/N02</v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>Cơ Sở Kéo Kẽm Thành Dũng</v>
      </c>
      <c r="F17" s="449">
        <f t="shared" ca="1" si="0"/>
        <v>41156</v>
      </c>
      <c r="G17" s="450">
        <f ca="1">IF(ROWS($1:4)&gt;COUNT(Dong12),0,IF(MID(OFFSET(TH!D$1,SMALL(Dong12,ROWS($1:4)),),4,1)="N",OFFSET(TH!I$1,SMALL(Dong12,ROWS($1:4)),),0))</f>
        <v>100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400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400</v>
      </c>
      <c r="H32" s="462">
        <f ca="1">SUM(H14:H31)</f>
        <v>0</v>
      </c>
      <c r="I32" s="462">
        <f ca="1">I13+G32-H32</f>
        <v>400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10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16 tháng 2 năm 2012</v>
      </c>
      <c r="B35" s="1102"/>
      <c r="C35" s="1102"/>
      <c r="D35" s="1102"/>
      <c r="E35" s="1102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103" t="s">
        <v>12</v>
      </c>
      <c r="F37" s="1103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97" t="s">
        <v>13</v>
      </c>
      <c r="F38" s="1097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06"/>
      <c r="T5" s="1106"/>
      <c r="U5" s="501"/>
      <c r="V5" s="1106"/>
      <c r="W5" s="1106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07"/>
      <c r="S17" s="1107"/>
      <c r="T17" s="1107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09" t="s">
        <v>334</v>
      </c>
      <c r="G1" s="1109"/>
      <c r="H1" s="1109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0" t="s">
        <v>126</v>
      </c>
      <c r="G2" s="1110"/>
      <c r="H2" s="1110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0"/>
      <c r="G3" s="1110"/>
      <c r="H3" s="1110"/>
      <c r="I3" s="591"/>
    </row>
    <row r="4" spans="1:10" s="722" customFormat="1" ht="17.25" customHeight="1">
      <c r="A4" s="1111" t="s">
        <v>335</v>
      </c>
      <c r="B4" s="1111"/>
      <c r="C4" s="1111"/>
      <c r="D4" s="1111"/>
      <c r="E4" s="1111"/>
      <c r="F4" s="1111"/>
      <c r="G4" s="1111"/>
      <c r="H4" s="1111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2" t="s">
        <v>336</v>
      </c>
      <c r="D6" s="1112"/>
      <c r="E6" s="1113" t="s">
        <v>261</v>
      </c>
      <c r="F6" s="1113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4" t="s">
        <v>337</v>
      </c>
      <c r="B8" s="1115" t="s">
        <v>338</v>
      </c>
      <c r="C8" s="1115" t="s">
        <v>339</v>
      </c>
      <c r="D8" s="1115"/>
      <c r="E8" s="1115"/>
      <c r="F8" s="1115"/>
      <c r="G8" s="1115"/>
      <c r="H8" s="1115"/>
      <c r="I8" s="594"/>
    </row>
    <row r="9" spans="1:10" s="598" customFormat="1" ht="28.5">
      <c r="A9" s="1114"/>
      <c r="B9" s="1115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08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8"/>
      <c r="G16" s="1108"/>
      <c r="H16" s="1108"/>
      <c r="I16" s="724"/>
    </row>
    <row r="17" spans="2:9" s="723" customFormat="1" ht="15">
      <c r="B17" s="601" t="s">
        <v>350</v>
      </c>
      <c r="C17" s="724"/>
      <c r="D17" s="724"/>
      <c r="E17" s="1108" t="s">
        <v>12</v>
      </c>
      <c r="F17" s="1108"/>
      <c r="G17" s="1108"/>
      <c r="H17" s="1108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25" t="s">
        <v>386</v>
      </c>
      <c r="B5" s="1125"/>
      <c r="C5" s="1125"/>
      <c r="D5" s="1125"/>
      <c r="E5" s="1125"/>
      <c r="F5" s="1125"/>
      <c r="G5" s="1125"/>
      <c r="H5" s="1125"/>
      <c r="I5" s="1125"/>
      <c r="J5" s="1125"/>
      <c r="K5" s="1125"/>
      <c r="L5" s="1125"/>
      <c r="M5" s="1125"/>
      <c r="N5" s="1125"/>
      <c r="O5" s="1125"/>
      <c r="P5" s="707"/>
    </row>
    <row r="6" spans="1:17" s="643" customFormat="1" ht="21" customHeight="1">
      <c r="A6" s="1126" t="s">
        <v>1207</v>
      </c>
      <c r="B6" s="1126"/>
      <c r="C6" s="1126"/>
      <c r="D6" s="1126"/>
      <c r="E6" s="1126"/>
      <c r="F6" s="1126"/>
      <c r="G6" s="1126"/>
      <c r="H6" s="1126"/>
      <c r="I6" s="1126"/>
      <c r="J6" s="1126"/>
      <c r="K6" s="1126"/>
      <c r="L6" s="1126"/>
      <c r="M6" s="1126"/>
      <c r="N6" s="1126"/>
      <c r="O6" s="1126"/>
      <c r="P6" s="707"/>
    </row>
    <row r="7" spans="1:17" s="643" customFormat="1" ht="21" customHeight="1">
      <c r="A7" s="1127" t="s">
        <v>430</v>
      </c>
      <c r="B7" s="1127"/>
      <c r="C7" s="1127"/>
      <c r="D7" s="1127"/>
      <c r="E7" s="1127"/>
      <c r="F7" s="1127"/>
      <c r="G7" s="1127"/>
      <c r="H7" s="1127"/>
      <c r="I7" s="1127"/>
      <c r="J7" s="1127"/>
      <c r="K7" s="1127"/>
      <c r="L7" s="1127"/>
      <c r="M7" s="1127"/>
      <c r="N7" s="1127"/>
      <c r="O7" s="1127"/>
      <c r="P7" s="707"/>
    </row>
    <row r="8" spans="1:17">
      <c r="D8" s="638"/>
    </row>
    <row r="9" spans="1:17" s="644" customFormat="1" ht="24" customHeight="1">
      <c r="A9" s="1116" t="s">
        <v>298</v>
      </c>
      <c r="B9" s="1119" t="s">
        <v>387</v>
      </c>
      <c r="C9" s="1120"/>
      <c r="D9" s="1120"/>
      <c r="E9" s="1120"/>
      <c r="F9" s="1120"/>
      <c r="G9" s="1120"/>
      <c r="H9" s="1121"/>
      <c r="I9" s="1119" t="s">
        <v>388</v>
      </c>
      <c r="J9" s="1120"/>
      <c r="K9" s="1120"/>
      <c r="L9" s="1121"/>
      <c r="M9" s="1122" t="s">
        <v>389</v>
      </c>
      <c r="N9" s="1122"/>
      <c r="O9" s="1122"/>
      <c r="P9" s="708"/>
    </row>
    <row r="10" spans="1:17" s="644" customFormat="1" ht="24" customHeight="1">
      <c r="A10" s="1117"/>
      <c r="B10" s="1119" t="s">
        <v>390</v>
      </c>
      <c r="C10" s="1121"/>
      <c r="D10" s="1116" t="s">
        <v>391</v>
      </c>
      <c r="E10" s="1116" t="s">
        <v>392</v>
      </c>
      <c r="F10" s="1116" t="s">
        <v>393</v>
      </c>
      <c r="G10" s="1116" t="s">
        <v>394</v>
      </c>
      <c r="H10" s="1116" t="s">
        <v>395</v>
      </c>
      <c r="I10" s="1119" t="s">
        <v>396</v>
      </c>
      <c r="J10" s="1121"/>
      <c r="K10" s="1123" t="s">
        <v>397</v>
      </c>
      <c r="L10" s="1116" t="s">
        <v>398</v>
      </c>
      <c r="M10" s="1122" t="s">
        <v>390</v>
      </c>
      <c r="N10" s="1122"/>
      <c r="O10" s="1122" t="s">
        <v>399</v>
      </c>
      <c r="P10" s="708"/>
    </row>
    <row r="11" spans="1:17" s="644" customFormat="1" ht="55.5" customHeight="1">
      <c r="A11" s="1118"/>
      <c r="B11" s="645" t="s">
        <v>400</v>
      </c>
      <c r="C11" s="645" t="s">
        <v>299</v>
      </c>
      <c r="D11" s="1118"/>
      <c r="E11" s="1118"/>
      <c r="F11" s="1118"/>
      <c r="G11" s="1118"/>
      <c r="H11" s="1118"/>
      <c r="I11" s="645" t="s">
        <v>401</v>
      </c>
      <c r="J11" s="645" t="s">
        <v>402</v>
      </c>
      <c r="K11" s="1124"/>
      <c r="L11" s="1118"/>
      <c r="M11" s="645" t="s">
        <v>15</v>
      </c>
      <c r="N11" s="645" t="s">
        <v>299</v>
      </c>
      <c r="O11" s="1122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579</v>
      </c>
      <c r="C14" s="649">
        <v>40682</v>
      </c>
      <c r="D14" s="225" t="s">
        <v>555</v>
      </c>
      <c r="E14" s="518" t="s">
        <v>407</v>
      </c>
      <c r="F14" s="679"/>
      <c r="G14" s="710" t="s">
        <v>621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582</v>
      </c>
      <c r="C15" s="649">
        <v>40686</v>
      </c>
      <c r="D15" s="225" t="s">
        <v>556</v>
      </c>
      <c r="E15" s="518" t="s">
        <v>407</v>
      </c>
      <c r="F15" s="679"/>
      <c r="G15" s="710" t="s">
        <v>622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454</v>
      </c>
      <c r="C16" s="649">
        <v>40710</v>
      </c>
      <c r="D16" s="225" t="s">
        <v>557</v>
      </c>
      <c r="E16" s="518" t="s">
        <v>407</v>
      </c>
      <c r="F16" s="679"/>
      <c r="G16" s="710" t="s">
        <v>623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2" t="s">
        <v>412</v>
      </c>
      <c r="B6" s="1142"/>
      <c r="C6" s="1142"/>
      <c r="D6" s="1142"/>
      <c r="E6" s="1142"/>
      <c r="F6" s="1142"/>
      <c r="G6" s="1142"/>
      <c r="H6" s="1142"/>
    </row>
    <row r="7" spans="1:11" ht="17.25" customHeight="1" thickBot="1">
      <c r="A7" s="1128" t="str">
        <f ca="1" xml:space="preserve"> IF(ROWS($1:1)&gt;COUNT(Dong3),"","Số: "&amp;OFFSET('SO-TS'!$G$1,SMALL(Dong3,ROWS($1:1)),))</f>
        <v>Số: SX01/11</v>
      </c>
      <c r="B7" s="1128"/>
      <c r="C7" s="1128"/>
      <c r="D7" s="1128"/>
      <c r="E7" s="1128"/>
      <c r="F7" s="1128"/>
      <c r="G7" s="1128"/>
      <c r="H7" s="1128"/>
      <c r="J7" s="699" t="s">
        <v>431</v>
      </c>
      <c r="K7" s="700" t="s">
        <v>437</v>
      </c>
    </row>
    <row r="8" spans="1:11" ht="17.25" customHeight="1">
      <c r="A8" s="1143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3"/>
      <c r="C8" s="1143"/>
      <c r="D8" s="1143"/>
      <c r="E8" s="1143"/>
      <c r="F8" s="1143"/>
      <c r="G8" s="1143"/>
      <c r="H8" s="1143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555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2" t="s">
        <v>132</v>
      </c>
      <c r="B17" s="1133"/>
      <c r="C17" s="1136" t="s">
        <v>414</v>
      </c>
      <c r="D17" s="1137"/>
      <c r="E17" s="1138"/>
      <c r="F17" s="1139" t="s">
        <v>415</v>
      </c>
      <c r="G17" s="1140"/>
      <c r="H17" s="1141"/>
    </row>
    <row r="18" spans="1:8" s="695" customFormat="1" ht="28.5" customHeight="1">
      <c r="A18" s="1134"/>
      <c r="B18" s="1135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4" t="s">
        <v>2</v>
      </c>
      <c r="B19" s="1145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6" t="s">
        <v>422</v>
      </c>
      <c r="B29" s="1146"/>
      <c r="C29" s="1146"/>
      <c r="D29" s="1146"/>
      <c r="E29" s="1146"/>
      <c r="F29" s="1146"/>
      <c r="G29" s="1146"/>
      <c r="H29" s="1146"/>
    </row>
    <row r="30" spans="1:8" ht="27" customHeight="1">
      <c r="A30" s="652" t="s">
        <v>35</v>
      </c>
      <c r="B30" s="1119" t="s">
        <v>423</v>
      </c>
      <c r="C30" s="1121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7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7"/>
      <c r="C38" s="1147"/>
      <c r="D38" s="1147"/>
      <c r="E38" s="1147"/>
      <c r="F38" s="1147"/>
      <c r="G38" s="1147"/>
      <c r="H38" s="1147"/>
    </row>
    <row r="39" spans="1:8">
      <c r="A39" s="1147" t="str">
        <f ca="1" xml:space="preserve"> IF(ROWS($1:1)&gt;COUNT(Dong3),"","Lý do giảm:   "&amp;OFFSET('SO-TS'!$O$1,SMALL(Dong3,ROWS($1:1)),))</f>
        <v xml:space="preserve">Lý do giảm:   </v>
      </c>
      <c r="B39" s="1147"/>
      <c r="C39" s="1147"/>
      <c r="D39" s="1147"/>
      <c r="E39" s="1147"/>
      <c r="F39" s="1147"/>
      <c r="G39" s="1147"/>
      <c r="H39" s="1147"/>
    </row>
    <row r="40" spans="1:8">
      <c r="A40" s="662"/>
      <c r="B40" s="662"/>
      <c r="C40" s="657"/>
      <c r="D40" s="657"/>
      <c r="E40" s="1131" t="s">
        <v>624</v>
      </c>
      <c r="F40" s="1131"/>
      <c r="G40" s="1131"/>
      <c r="H40" s="1131"/>
    </row>
    <row r="41" spans="1:8">
      <c r="A41" s="1128" t="s">
        <v>426</v>
      </c>
      <c r="B41" s="1128"/>
      <c r="C41" s="1128" t="s">
        <v>12</v>
      </c>
      <c r="D41" s="1128"/>
      <c r="E41" s="1129" t="s">
        <v>113</v>
      </c>
      <c r="F41" s="1129"/>
      <c r="G41" s="1129"/>
      <c r="H41" s="1129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30" t="s">
        <v>172</v>
      </c>
      <c r="B49" s="1130"/>
      <c r="C49" s="657"/>
      <c r="D49" s="657"/>
      <c r="E49" s="1131" t="s">
        <v>107</v>
      </c>
      <c r="F49" s="1131"/>
      <c r="G49" s="1131"/>
      <c r="H49" s="1131"/>
    </row>
  </sheetData>
  <dataConsolidate/>
  <mergeCells count="17"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  <mergeCell ref="A41:B41"/>
    <mergeCell ref="C41:D41"/>
    <mergeCell ref="E41:H41"/>
    <mergeCell ref="A49:B49"/>
    <mergeCell ref="E49:H4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0"/>
      <c r="E1" s="1150"/>
      <c r="F1" s="1150"/>
      <c r="G1" s="1150"/>
      <c r="I1" s="1150" t="s">
        <v>180</v>
      </c>
      <c r="J1" s="1150"/>
      <c r="K1" s="1150"/>
      <c r="L1" s="1150"/>
    </row>
    <row r="2" spans="1:12">
      <c r="A2" s="250" t="s">
        <v>121</v>
      </c>
      <c r="D2" s="1150"/>
      <c r="E2" s="1150"/>
      <c r="F2" s="1150"/>
      <c r="G2" s="1150"/>
      <c r="I2" s="1150" t="s">
        <v>176</v>
      </c>
      <c r="J2" s="1150"/>
      <c r="K2" s="1150"/>
      <c r="L2" s="1150"/>
    </row>
    <row r="3" spans="1:12">
      <c r="D3" s="1150"/>
      <c r="E3" s="1150"/>
      <c r="F3" s="1150"/>
      <c r="G3" s="1150"/>
      <c r="I3" s="1150" t="s">
        <v>181</v>
      </c>
      <c r="J3" s="1150"/>
      <c r="K3" s="1150"/>
      <c r="L3" s="1150"/>
    </row>
    <row r="8" spans="1:12" ht="40.5" customHeight="1">
      <c r="H8" s="271"/>
      <c r="I8" s="271"/>
      <c r="J8" s="271"/>
    </row>
    <row r="10" spans="1:12" ht="29.25" customHeight="1">
      <c r="A10" s="1148" t="s">
        <v>97</v>
      </c>
      <c r="B10" s="1148"/>
      <c r="C10" s="1148"/>
      <c r="D10" s="1148"/>
      <c r="E10" s="1148"/>
      <c r="F10" s="1148"/>
      <c r="G10" s="1148"/>
    </row>
    <row r="11" spans="1:12" ht="6" customHeight="1">
      <c r="H11" s="272"/>
      <c r="I11" s="272"/>
    </row>
    <row r="12" spans="1:12" ht="20.25">
      <c r="A12" s="1149" t="s">
        <v>182</v>
      </c>
      <c r="B12" s="1149"/>
      <c r="C12" s="1149"/>
      <c r="D12" s="1149"/>
      <c r="E12" s="1149"/>
      <c r="F12" s="1149"/>
      <c r="G12" s="1149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2016-05-03T05:47:56Z</dcterms:modified>
</cp:coreProperties>
</file>